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dp" ContentType="image/vnd.ms-photo"/>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ml.chartshapes+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8.xml" ContentType="application/vnd.openxmlformats-officedocument.drawing+xml"/>
  <Override PartName="/xl/pivotTables/pivotTable2.xml" ContentType="application/vnd.openxmlformats-officedocument.spreadsheetml.pivotTable+xml"/>
  <Override PartName="/xl/drawings/drawing9.xml" ContentType="application/vnd.openxmlformats-officedocument.drawing+xml"/>
  <Override PartName="/xl/tables/table2.xml" ContentType="application/vnd.openxmlformats-officedocument.spreadsheetml.tab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codeName="{37A63EE7-654F-3FA9-A528-636911D70600}"/>
  <workbookPr codeName="ThisWorkbook" hidePivotFieldList="1"/>
  <mc:AlternateContent xmlns:mc="http://schemas.openxmlformats.org/markup-compatibility/2006">
    <mc:Choice Requires="x15">
      <x15ac:absPath xmlns:x15ac="http://schemas.microsoft.com/office/spreadsheetml/2010/11/ac" url="D:\00-SPREADSHEET\01 - PREMIUM EXCEL PRODUCTS\01_Published\04_Forex Trading Journal_FTJ\02_Version 01\01_V00\02_Published\"/>
    </mc:Choice>
  </mc:AlternateContent>
  <xr:revisionPtr revIDLastSave="0" documentId="13_ncr:1_{C060BCD7-1974-4BC7-A5FD-21B5A7A507FB}" xr6:coauthVersionLast="47" xr6:coauthVersionMax="47" xr10:uidLastSave="{00000000-0000-0000-0000-000000000000}"/>
  <bookViews>
    <workbookView xWindow="-120" yWindow="-120" windowWidth="20730" windowHeight="11160" tabRatio="812" firstSheet="1" activeTab="1" xr2:uid="{B88C633A-3B8D-4B84-968E-C1950736F24B}"/>
  </bookViews>
  <sheets>
    <sheet name="Form" sheetId="16" state="veryHidden" r:id="rId1"/>
    <sheet name="HOME" sheetId="13" r:id="rId2"/>
    <sheet name="Bank Transfers" sheetId="8" state="veryHidden" r:id="rId3"/>
    <sheet name="DASHBOARD" sheetId="15" state="veryHidden" r:id="rId4"/>
    <sheet name="TRADE LOG" sheetId="4" state="veryHidden" r:id="rId5"/>
    <sheet name="TRADE STATISTICS" sheetId="5" state="veryHidden" r:id="rId6"/>
    <sheet name="MONTHLY REPORT" sheetId="7" state="veryHidden" r:id="rId7"/>
    <sheet name="CALENDAR" sheetId="17" state="veryHidden" r:id="rId8"/>
    <sheet name="SETTINGS" sheetId="11" state="veryHidden" r:id="rId9"/>
  </sheets>
  <definedNames>
    <definedName name="_xlnm._FilterDatabase" localSheetId="4" hidden="1">'TRADE LOG'!$B$14:$AO$833</definedName>
    <definedName name="_xlnm._FilterDatabase" localSheetId="5" hidden="1">'TRADE STATISTICS'!$C$15:$T$15</definedName>
    <definedName name="aCode">Form!$G$7</definedName>
    <definedName name="ActionLog">'TRADE LOG'!$D$15:$D$9733</definedName>
    <definedName name="BuyAmount">'TRADE LOG'!$Q$15:$Q$9733</definedName>
    <definedName name="closeDate">'TRADE LOG'!$J$15:$J$9733</definedName>
    <definedName name="curpairs">SETTINGS!$AF$26:$AF$181</definedName>
    <definedName name="datecode">'TRADE LOG'!$AV$15:$AV$9733</definedName>
    <definedName name="DateExit">'TRADE LOG'!$AS$15:$AS$9733</definedName>
    <definedName name="Datelog">'TRADE LOG'!$C$15:$C$9733</definedName>
    <definedName name="Emotion">'TRADE LOG'!$Z$15:$Z$9733</definedName>
    <definedName name="EntryExit">'TRADE LOG'!$Y$15:$Y$9733</definedName>
    <definedName name="Fees">'TRADE LOG'!$L$15:$L$9733</definedName>
    <definedName name="GrossAmount">'TRADE LOG'!$AG$15:$AG$9733</definedName>
    <definedName name="LogRow">'TRADE LOG'!$B$15:$B$9733</definedName>
    <definedName name="M2O">'MONTHLY REPORT'!$Y$4</definedName>
    <definedName name="myData">'TRADE LOG'!XDR1:A10001</definedName>
    <definedName name="Nameko">'TRADE LOG'!$E$2</definedName>
    <definedName name="NetAmount">'TRADE LOG'!$R$15:$R$9733</definedName>
    <definedName name="PercentPandL">'TRADE LOG'!$BE$15:$BE$9733</definedName>
    <definedName name="PNLPercent">'TRADE LOG'!$U$15:$U$9733</definedName>
    <definedName name="PNLwFees">'TRADE LOG'!$T$15:$T$9733</definedName>
    <definedName name="_xlnm.Print_Area" localSheetId="3">DASHBOARD!$A$1:$T$58</definedName>
    <definedName name="ProfitLoss">'TRADE LOG'!$BD$15:$BD$9733</definedName>
    <definedName name="ReviewRow">'TRADE LOG'!$B$15:$B$9733</definedName>
    <definedName name="S2O">'MONTHLY REPORT'!$X$15</definedName>
    <definedName name="SetupLog">'TRADE LOG'!$X$15:$X$9733</definedName>
    <definedName name="SheetIAA6">'TRADE LOG'!$AL$7</definedName>
    <definedName name="SheetlU13">'TRADE STATISTICS'!$X$13</definedName>
    <definedName name="SheetlU14">'TRADE STATISTICS'!$X$15</definedName>
    <definedName name="SIZE">'TRADE LOG'!$E$15:$E$9733</definedName>
    <definedName name="Slicer_ChartSet">#N/A</definedName>
    <definedName name="Slicer_selection1">#N/A</definedName>
    <definedName name="StockLog">'TRADE LOG'!$F$15:$F$9733</definedName>
    <definedName name="TotalShares">'TRADE LOG'!$E$15:$E$9733</definedName>
    <definedName name="WL">'TRADE LOG'!$AD$15:$AD$9733</definedName>
  </definedNames>
  <calcPr calcId="181029"/>
  <pivotCaches>
    <pivotCache cacheId="0" r:id="rId10"/>
    <pivotCache cacheId="1" r:id="rId11"/>
  </pivotCaches>
  <fileRecoveryPr autoRecover="0"/>
  <extLst>
    <ext xmlns:x14="http://schemas.microsoft.com/office/spreadsheetml/2009/9/main" uri="{BBE1A952-AA13-448e-AADC-164F8A28A991}">
      <x14:slicerCaches>
        <x14:slicerCache r:id="rId12"/>
        <x14:slicerCache r:id="rId13"/>
      </x14:slicerCaches>
    </ext>
    <ext xmlns:x14="http://schemas.microsoft.com/office/spreadsheetml/2009/9/main" uri="{79F54976-1DA5-4618-B147-4CDE4B953A38}">
      <x14:workbookPr/>
    </ext>
  </extLst>
</workbook>
</file>

<file path=xl/calcChain.xml><?xml version="1.0" encoding="utf-8"?>
<calcChain xmlns="http://schemas.openxmlformats.org/spreadsheetml/2006/main">
  <c r="G241" i="17" l="1"/>
  <c r="C241" i="17"/>
  <c r="G240" i="17"/>
  <c r="F240" i="17"/>
  <c r="C240" i="17"/>
  <c r="I239" i="17"/>
  <c r="C242" i="17" s="1"/>
  <c r="H239" i="17"/>
  <c r="G239" i="17"/>
  <c r="F239" i="17"/>
  <c r="F241" i="17" s="1"/>
  <c r="E239" i="17"/>
  <c r="E240" i="17" s="1"/>
  <c r="D239" i="17"/>
  <c r="C239" i="17"/>
  <c r="G220" i="17"/>
  <c r="C220" i="17"/>
  <c r="G219" i="17"/>
  <c r="F219" i="17"/>
  <c r="C219" i="17"/>
  <c r="I218" i="17"/>
  <c r="C221" i="17" s="1"/>
  <c r="H218" i="17"/>
  <c r="G218" i="17"/>
  <c r="F218" i="17"/>
  <c r="F220" i="17" s="1"/>
  <c r="E218" i="17"/>
  <c r="E219" i="17" s="1"/>
  <c r="D218" i="17"/>
  <c r="C218" i="17"/>
  <c r="G199" i="17"/>
  <c r="C199" i="17"/>
  <c r="G198" i="17"/>
  <c r="F198" i="17"/>
  <c r="C198" i="17"/>
  <c r="I197" i="17"/>
  <c r="C200" i="17" s="1"/>
  <c r="H197" i="17"/>
  <c r="G197" i="17"/>
  <c r="F197" i="17"/>
  <c r="F199" i="17" s="1"/>
  <c r="E197" i="17"/>
  <c r="E198" i="17" s="1"/>
  <c r="D197" i="17"/>
  <c r="C197" i="17"/>
  <c r="G178" i="17"/>
  <c r="C178" i="17"/>
  <c r="G177" i="17"/>
  <c r="F177" i="17"/>
  <c r="C177" i="17"/>
  <c r="I176" i="17"/>
  <c r="C179" i="17" s="1"/>
  <c r="H176" i="17"/>
  <c r="H177" i="17" s="1"/>
  <c r="G176" i="17"/>
  <c r="F176" i="17"/>
  <c r="F178" i="17" s="1"/>
  <c r="E176" i="17"/>
  <c r="E177" i="17" s="1"/>
  <c r="D176" i="17"/>
  <c r="D177" i="17" s="1"/>
  <c r="C176" i="17"/>
  <c r="G157" i="17"/>
  <c r="C157" i="17"/>
  <c r="G156" i="17"/>
  <c r="F156" i="17"/>
  <c r="C156" i="17"/>
  <c r="I155" i="17"/>
  <c r="C158" i="17" s="1"/>
  <c r="H155" i="17"/>
  <c r="H156" i="17" s="1"/>
  <c r="G155" i="17"/>
  <c r="F155" i="17"/>
  <c r="F157" i="17" s="1"/>
  <c r="E155" i="17"/>
  <c r="E156" i="17" s="1"/>
  <c r="D155" i="17"/>
  <c r="D156" i="17" s="1"/>
  <c r="C155" i="17"/>
  <c r="I136" i="17"/>
  <c r="E136" i="17"/>
  <c r="H135" i="17"/>
  <c r="D135" i="17"/>
  <c r="I134" i="17"/>
  <c r="C137" i="17" s="1"/>
  <c r="H134" i="17"/>
  <c r="H136" i="17" s="1"/>
  <c r="G134" i="17"/>
  <c r="F136" i="17" s="1"/>
  <c r="F134" i="17"/>
  <c r="F135" i="17" s="1"/>
  <c r="E134" i="17"/>
  <c r="E135" i="17" s="1"/>
  <c r="D134" i="17"/>
  <c r="D136" i="17" s="1"/>
  <c r="C134" i="17"/>
  <c r="C135" i="17" s="1"/>
  <c r="G115" i="17"/>
  <c r="C115" i="17"/>
  <c r="G114" i="17"/>
  <c r="F114" i="17"/>
  <c r="C114" i="17"/>
  <c r="I113" i="17"/>
  <c r="C116" i="17" s="1"/>
  <c r="H113" i="17"/>
  <c r="H114" i="17" s="1"/>
  <c r="G113" i="17"/>
  <c r="F113" i="17"/>
  <c r="F115" i="17" s="1"/>
  <c r="E113" i="17"/>
  <c r="E114" i="17" s="1"/>
  <c r="D113" i="17"/>
  <c r="D114" i="17" s="1"/>
  <c r="C113" i="17"/>
  <c r="G94" i="17"/>
  <c r="C94" i="17"/>
  <c r="G93" i="17"/>
  <c r="F93" i="17"/>
  <c r="C93" i="17"/>
  <c r="I92" i="17"/>
  <c r="C95" i="17" s="1"/>
  <c r="H92" i="17"/>
  <c r="H93" i="17" s="1"/>
  <c r="G92" i="17"/>
  <c r="F92" i="17"/>
  <c r="F94" i="17" s="1"/>
  <c r="E92" i="17"/>
  <c r="E93" i="17" s="1"/>
  <c r="D92" i="17"/>
  <c r="D93" i="17" s="1"/>
  <c r="C92" i="17"/>
  <c r="G73" i="17"/>
  <c r="C73" i="17"/>
  <c r="G72" i="17"/>
  <c r="F72" i="17"/>
  <c r="C72" i="17"/>
  <c r="I71" i="17"/>
  <c r="C74" i="17" s="1"/>
  <c r="H71" i="17"/>
  <c r="H72" i="17" s="1"/>
  <c r="G71" i="17"/>
  <c r="F71" i="17"/>
  <c r="F73" i="17" s="1"/>
  <c r="E71" i="17"/>
  <c r="E72" i="17" s="1"/>
  <c r="D71" i="17"/>
  <c r="D72" i="17" s="1"/>
  <c r="C71" i="17"/>
  <c r="C53" i="17"/>
  <c r="I52" i="17"/>
  <c r="E52" i="17"/>
  <c r="I51" i="17"/>
  <c r="H51" i="17"/>
  <c r="E51" i="17"/>
  <c r="D51" i="17"/>
  <c r="I50" i="17"/>
  <c r="H50" i="17"/>
  <c r="H52" i="17" s="1"/>
  <c r="G50" i="17"/>
  <c r="G51" i="17" s="1"/>
  <c r="F50" i="17"/>
  <c r="F52" i="17" s="1"/>
  <c r="E50" i="17"/>
  <c r="D50" i="17"/>
  <c r="D52" i="17" s="1"/>
  <c r="C50" i="17"/>
  <c r="C51" i="17" s="1"/>
  <c r="G31" i="17"/>
  <c r="C31" i="17"/>
  <c r="G30" i="17"/>
  <c r="F30" i="17"/>
  <c r="C30" i="17"/>
  <c r="I29" i="17"/>
  <c r="C32" i="17" s="1"/>
  <c r="H29" i="17"/>
  <c r="G29" i="17"/>
  <c r="F29" i="17"/>
  <c r="F31" i="17" s="1"/>
  <c r="E29" i="17"/>
  <c r="E30" i="17" s="1"/>
  <c r="D29" i="17"/>
  <c r="C29" i="17"/>
  <c r="I18" i="17"/>
  <c r="I24" i="17"/>
  <c r="E24" i="17"/>
  <c r="F24" i="17"/>
  <c r="G24" i="17"/>
  <c r="H24" i="17"/>
  <c r="E25" i="17"/>
  <c r="F25" i="17"/>
  <c r="G25" i="17"/>
  <c r="H25" i="17"/>
  <c r="D25" i="17"/>
  <c r="D24" i="17"/>
  <c r="C25" i="17"/>
  <c r="C24" i="17"/>
  <c r="C22" i="17"/>
  <c r="C21" i="17"/>
  <c r="D21" i="17"/>
  <c r="E21" i="17"/>
  <c r="F21" i="17"/>
  <c r="G21" i="17"/>
  <c r="D22" i="17"/>
  <c r="E22" i="17"/>
  <c r="F22" i="17"/>
  <c r="G22" i="17"/>
  <c r="H22" i="17"/>
  <c r="H21" i="17"/>
  <c r="I21" i="17"/>
  <c r="AV74" i="4"/>
  <c r="AS74" i="4"/>
  <c r="AQ74" i="4"/>
  <c r="AO74" i="4"/>
  <c r="AN74" i="4"/>
  <c r="AH74" i="4"/>
  <c r="AI74" i="4" s="1"/>
  <c r="AG74" i="4"/>
  <c r="AF74" i="4"/>
  <c r="AV73" i="4"/>
  <c r="AS73" i="4"/>
  <c r="AQ73" i="4"/>
  <c r="AO73" i="4"/>
  <c r="AN73" i="4"/>
  <c r="AH73" i="4"/>
  <c r="AI73" i="4" s="1"/>
  <c r="AG73" i="4"/>
  <c r="AF73" i="4"/>
  <c r="AV72" i="4"/>
  <c r="AS72" i="4"/>
  <c r="AQ72" i="4"/>
  <c r="AO72" i="4"/>
  <c r="AN72" i="4"/>
  <c r="AH72" i="4"/>
  <c r="AI72" i="4" s="1"/>
  <c r="AG72" i="4"/>
  <c r="AF72" i="4"/>
  <c r="AV71" i="4"/>
  <c r="AS71" i="4"/>
  <c r="AQ71" i="4"/>
  <c r="AO71" i="4"/>
  <c r="AN71" i="4"/>
  <c r="AH71" i="4"/>
  <c r="AI71" i="4" s="1"/>
  <c r="AG71" i="4"/>
  <c r="AF71" i="4"/>
  <c r="AV70" i="4"/>
  <c r="AQ70" i="4"/>
  <c r="AO70" i="4"/>
  <c r="AN70" i="4"/>
  <c r="AH70" i="4"/>
  <c r="AI70" i="4" s="1"/>
  <c r="AG70" i="4"/>
  <c r="AF70" i="4"/>
  <c r="AV69" i="4"/>
  <c r="AQ69" i="4"/>
  <c r="AO69" i="4"/>
  <c r="AN69" i="4"/>
  <c r="AH69" i="4"/>
  <c r="AI69" i="4" s="1"/>
  <c r="AG69" i="4"/>
  <c r="AF69" i="4"/>
  <c r="AV68" i="4"/>
  <c r="AQ68" i="4"/>
  <c r="AO68" i="4"/>
  <c r="AN68" i="4"/>
  <c r="AH68" i="4"/>
  <c r="AI68" i="4" s="1"/>
  <c r="AG68" i="4"/>
  <c r="AF68" i="4"/>
  <c r="AV67" i="4"/>
  <c r="AQ67" i="4"/>
  <c r="AO67" i="4"/>
  <c r="AN67" i="4"/>
  <c r="AH67" i="4"/>
  <c r="AI67" i="4" s="1"/>
  <c r="AG67" i="4"/>
  <c r="AF67" i="4"/>
  <c r="AV66" i="4"/>
  <c r="AQ66" i="4"/>
  <c r="AO66" i="4"/>
  <c r="AN66" i="4"/>
  <c r="AH66" i="4"/>
  <c r="AI66" i="4" s="1"/>
  <c r="AG66" i="4"/>
  <c r="AF66" i="4"/>
  <c r="AV65" i="4"/>
  <c r="AQ65" i="4"/>
  <c r="AO65" i="4"/>
  <c r="AN65" i="4"/>
  <c r="AH65" i="4"/>
  <c r="AI65" i="4" s="1"/>
  <c r="AG65" i="4"/>
  <c r="AF65" i="4"/>
  <c r="AV64" i="4"/>
  <c r="AQ64" i="4"/>
  <c r="AO64" i="4"/>
  <c r="AN64" i="4"/>
  <c r="AH64" i="4"/>
  <c r="AI64" i="4" s="1"/>
  <c r="AG64" i="4"/>
  <c r="AF64" i="4"/>
  <c r="AV63" i="4"/>
  <c r="AQ63" i="4"/>
  <c r="AO63" i="4"/>
  <c r="AN63" i="4"/>
  <c r="AH63" i="4"/>
  <c r="AI63" i="4" s="1"/>
  <c r="AG63" i="4"/>
  <c r="AF63" i="4"/>
  <c r="AV62" i="4"/>
  <c r="AQ62" i="4"/>
  <c r="AO62" i="4"/>
  <c r="AN62" i="4"/>
  <c r="AH62" i="4"/>
  <c r="AI62" i="4" s="1"/>
  <c r="AG62" i="4"/>
  <c r="AF62" i="4"/>
  <c r="AV61" i="4"/>
  <c r="AQ61" i="4"/>
  <c r="AO61" i="4"/>
  <c r="AN61" i="4"/>
  <c r="AH61" i="4"/>
  <c r="AI61" i="4" s="1"/>
  <c r="AG61" i="4"/>
  <c r="AF61" i="4"/>
  <c r="AV60" i="4"/>
  <c r="AQ60" i="4"/>
  <c r="AO60" i="4"/>
  <c r="AN60" i="4"/>
  <c r="AH60" i="4"/>
  <c r="AI60" i="4" s="1"/>
  <c r="AG60" i="4"/>
  <c r="AF60" i="4"/>
  <c r="AE60" i="4"/>
  <c r="AV59" i="4"/>
  <c r="AQ59" i="4"/>
  <c r="AO59" i="4"/>
  <c r="AN59" i="4"/>
  <c r="AH59" i="4"/>
  <c r="AI59" i="4" s="1"/>
  <c r="AG59" i="4"/>
  <c r="AF59" i="4"/>
  <c r="AV58" i="4"/>
  <c r="AQ58" i="4"/>
  <c r="AO58" i="4"/>
  <c r="AN58" i="4"/>
  <c r="AH58" i="4"/>
  <c r="AI58" i="4" s="1"/>
  <c r="AG58" i="4"/>
  <c r="AF58" i="4"/>
  <c r="AV57" i="4"/>
  <c r="AQ57" i="4"/>
  <c r="AO57" i="4"/>
  <c r="AN57" i="4"/>
  <c r="AH57" i="4"/>
  <c r="AI57" i="4" s="1"/>
  <c r="AG57" i="4"/>
  <c r="AF57" i="4"/>
  <c r="AV56" i="4"/>
  <c r="AQ56" i="4"/>
  <c r="AO56" i="4"/>
  <c r="AN56" i="4"/>
  <c r="AH56" i="4"/>
  <c r="AI56" i="4" s="1"/>
  <c r="AE56" i="4" s="1"/>
  <c r="AG56" i="4"/>
  <c r="AF56" i="4"/>
  <c r="AV55" i="4"/>
  <c r="AQ55" i="4"/>
  <c r="AO55" i="4"/>
  <c r="AN55" i="4"/>
  <c r="AH55" i="4"/>
  <c r="AI55" i="4" s="1"/>
  <c r="AE55" i="4" s="1"/>
  <c r="AG55" i="4"/>
  <c r="AF55" i="4"/>
  <c r="AV54" i="4"/>
  <c r="AQ54" i="4"/>
  <c r="AO54" i="4"/>
  <c r="AN54" i="4"/>
  <c r="AH54" i="4"/>
  <c r="AI54" i="4" s="1"/>
  <c r="AE54" i="4" s="1"/>
  <c r="AG54" i="4"/>
  <c r="AF54" i="4"/>
  <c r="AV53" i="4"/>
  <c r="AQ53" i="4"/>
  <c r="AO53" i="4"/>
  <c r="AN53" i="4"/>
  <c r="AH53" i="4"/>
  <c r="AI53" i="4" s="1"/>
  <c r="AG53" i="4"/>
  <c r="AF53" i="4"/>
  <c r="AV52" i="4"/>
  <c r="AQ52" i="4"/>
  <c r="AO52" i="4"/>
  <c r="AN52" i="4"/>
  <c r="AH52" i="4"/>
  <c r="AI52" i="4" s="1"/>
  <c r="AG52" i="4"/>
  <c r="AF52" i="4"/>
  <c r="AV51" i="4"/>
  <c r="AQ51" i="4"/>
  <c r="AO51" i="4"/>
  <c r="AN51" i="4"/>
  <c r="AH51" i="4"/>
  <c r="AI51" i="4" s="1"/>
  <c r="AG51" i="4"/>
  <c r="AF51" i="4"/>
  <c r="AV50" i="4"/>
  <c r="AO50" i="4"/>
  <c r="AN50" i="4"/>
  <c r="AH50" i="4"/>
  <c r="AI50" i="4" s="1"/>
  <c r="AG50" i="4"/>
  <c r="AF50" i="4"/>
  <c r="AV49" i="4"/>
  <c r="AQ49" i="4"/>
  <c r="AO49" i="4"/>
  <c r="AN49" i="4"/>
  <c r="AH49" i="4"/>
  <c r="AI49" i="4" s="1"/>
  <c r="AG49" i="4"/>
  <c r="AF49" i="4"/>
  <c r="AV48" i="4"/>
  <c r="AQ48" i="4"/>
  <c r="AO48" i="4"/>
  <c r="AN48" i="4"/>
  <c r="AH48" i="4"/>
  <c r="AI48" i="4" s="1"/>
  <c r="AG48" i="4"/>
  <c r="AF48" i="4"/>
  <c r="AE48" i="4"/>
  <c r="AV47" i="4"/>
  <c r="AQ47" i="4"/>
  <c r="AO47" i="4"/>
  <c r="AN47" i="4"/>
  <c r="AH47" i="4"/>
  <c r="AI47" i="4" s="1"/>
  <c r="AG47" i="4"/>
  <c r="AF47" i="4"/>
  <c r="AV46" i="4"/>
  <c r="AQ46" i="4"/>
  <c r="AO46" i="4"/>
  <c r="AN46" i="4"/>
  <c r="AH46" i="4"/>
  <c r="AI46" i="4" s="1"/>
  <c r="AG46" i="4"/>
  <c r="AF46" i="4"/>
  <c r="AV45" i="4"/>
  <c r="AQ45" i="4"/>
  <c r="AO45" i="4"/>
  <c r="AN45" i="4"/>
  <c r="AH45" i="4"/>
  <c r="AI45" i="4" s="1"/>
  <c r="AG45" i="4"/>
  <c r="AF45" i="4"/>
  <c r="AV44" i="4"/>
  <c r="AQ44" i="4"/>
  <c r="AO44" i="4"/>
  <c r="AN44" i="4"/>
  <c r="AH44" i="4"/>
  <c r="AI44" i="4" s="1"/>
  <c r="AG44" i="4"/>
  <c r="AF44" i="4"/>
  <c r="AV43" i="4"/>
  <c r="AQ43" i="4"/>
  <c r="AO43" i="4"/>
  <c r="AN43" i="4"/>
  <c r="AH43" i="4"/>
  <c r="AI43" i="4" s="1"/>
  <c r="AG43" i="4"/>
  <c r="AF43" i="4"/>
  <c r="AV42" i="4"/>
  <c r="AO42" i="4"/>
  <c r="AN42" i="4"/>
  <c r="AH42" i="4"/>
  <c r="AI42" i="4" s="1"/>
  <c r="AG42" i="4"/>
  <c r="AF42" i="4"/>
  <c r="AE42" i="4"/>
  <c r="AV41" i="4"/>
  <c r="AQ41" i="4"/>
  <c r="AO41" i="4"/>
  <c r="AN41" i="4"/>
  <c r="AH41" i="4"/>
  <c r="AI41" i="4" s="1"/>
  <c r="AG41" i="4"/>
  <c r="AF41" i="4"/>
  <c r="AV40" i="4"/>
  <c r="AO40" i="4"/>
  <c r="AN40" i="4"/>
  <c r="AH40" i="4"/>
  <c r="AI40" i="4" s="1"/>
  <c r="AG40" i="4"/>
  <c r="AF40" i="4"/>
  <c r="AV39" i="4"/>
  <c r="AQ39" i="4"/>
  <c r="AO39" i="4"/>
  <c r="AN39" i="4"/>
  <c r="AH39" i="4"/>
  <c r="AI39" i="4" s="1"/>
  <c r="AG39" i="4"/>
  <c r="AF39" i="4"/>
  <c r="AV38" i="4"/>
  <c r="AQ38" i="4"/>
  <c r="AO38" i="4"/>
  <c r="AN38" i="4"/>
  <c r="AH38" i="4"/>
  <c r="AI38" i="4" s="1"/>
  <c r="AG38" i="4"/>
  <c r="AF38" i="4"/>
  <c r="AV37" i="4"/>
  <c r="AQ37" i="4"/>
  <c r="AO37" i="4"/>
  <c r="AN37" i="4"/>
  <c r="AH37" i="4"/>
  <c r="AI37" i="4" s="1"/>
  <c r="AG37" i="4"/>
  <c r="AF37" i="4"/>
  <c r="AV36" i="4"/>
  <c r="AQ36" i="4"/>
  <c r="AO36" i="4"/>
  <c r="AN36" i="4"/>
  <c r="AH36" i="4"/>
  <c r="AI36" i="4" s="1"/>
  <c r="AG36" i="4"/>
  <c r="AF36" i="4"/>
  <c r="AV35" i="4"/>
  <c r="AQ35" i="4"/>
  <c r="AO35" i="4"/>
  <c r="AN35" i="4"/>
  <c r="AH35" i="4"/>
  <c r="AI35" i="4" s="1"/>
  <c r="AG35" i="4"/>
  <c r="AF35" i="4"/>
  <c r="AV34" i="4"/>
  <c r="AQ34" i="4"/>
  <c r="AO34" i="4"/>
  <c r="AN34" i="4"/>
  <c r="AH34" i="4"/>
  <c r="AI34" i="4" s="1"/>
  <c r="AG34" i="4"/>
  <c r="AF34" i="4"/>
  <c r="AV33" i="4"/>
  <c r="AQ33" i="4"/>
  <c r="AO33" i="4"/>
  <c r="AN33" i="4"/>
  <c r="AH33" i="4"/>
  <c r="AI33" i="4" s="1"/>
  <c r="AG33" i="4"/>
  <c r="AF33" i="4"/>
  <c r="AV32" i="4"/>
  <c r="AQ32" i="4"/>
  <c r="AO32" i="4"/>
  <c r="AN32" i="4"/>
  <c r="AH32" i="4"/>
  <c r="AI32" i="4" s="1"/>
  <c r="AG32" i="4"/>
  <c r="AF32" i="4"/>
  <c r="AV31" i="4"/>
  <c r="AQ31" i="4"/>
  <c r="AO31" i="4"/>
  <c r="AN31" i="4"/>
  <c r="AH31" i="4"/>
  <c r="AI31" i="4" s="1"/>
  <c r="AG31" i="4"/>
  <c r="AF31" i="4"/>
  <c r="AV30" i="4"/>
  <c r="AQ30" i="4"/>
  <c r="AO30" i="4"/>
  <c r="AN30" i="4"/>
  <c r="AH30" i="4"/>
  <c r="AI30" i="4" s="1"/>
  <c r="AG30" i="4"/>
  <c r="AF30" i="4"/>
  <c r="AV29" i="4"/>
  <c r="AQ29" i="4"/>
  <c r="AO29" i="4"/>
  <c r="AN29" i="4"/>
  <c r="AH29" i="4"/>
  <c r="AI29" i="4" s="1"/>
  <c r="AG29" i="4"/>
  <c r="AF29" i="4"/>
  <c r="AV28" i="4"/>
  <c r="AQ28" i="4"/>
  <c r="AO28" i="4"/>
  <c r="AN28" i="4"/>
  <c r="AH28" i="4"/>
  <c r="AI28" i="4" s="1"/>
  <c r="AG28" i="4"/>
  <c r="AF28" i="4"/>
  <c r="AV27" i="4"/>
  <c r="AQ27" i="4"/>
  <c r="AO27" i="4"/>
  <c r="AN27" i="4"/>
  <c r="AH27" i="4"/>
  <c r="AI27" i="4" s="1"/>
  <c r="AG27" i="4"/>
  <c r="AF27" i="4"/>
  <c r="AV26" i="4"/>
  <c r="AQ26" i="4"/>
  <c r="AO26" i="4"/>
  <c r="AN26" i="4"/>
  <c r="AH26" i="4"/>
  <c r="AI26" i="4" s="1"/>
  <c r="AG26" i="4"/>
  <c r="AF26" i="4"/>
  <c r="AV25" i="4"/>
  <c r="AQ25" i="4"/>
  <c r="AO25" i="4"/>
  <c r="AN25" i="4"/>
  <c r="AH25" i="4"/>
  <c r="AI25" i="4" s="1"/>
  <c r="AG25" i="4"/>
  <c r="AF25" i="4"/>
  <c r="AV24" i="4"/>
  <c r="AQ24" i="4"/>
  <c r="AO24" i="4"/>
  <c r="AN24" i="4"/>
  <c r="AH24" i="4"/>
  <c r="AI24" i="4" s="1"/>
  <c r="AG24" i="4"/>
  <c r="AF24" i="4"/>
  <c r="AV23" i="4"/>
  <c r="AQ23" i="4"/>
  <c r="AO23" i="4"/>
  <c r="AN23" i="4"/>
  <c r="AH23" i="4"/>
  <c r="AI23" i="4" s="1"/>
  <c r="AG23" i="4"/>
  <c r="AF23" i="4"/>
  <c r="AV22" i="4"/>
  <c r="AQ22" i="4"/>
  <c r="AO22" i="4"/>
  <c r="AN22" i="4"/>
  <c r="AH22" i="4"/>
  <c r="AI22" i="4" s="1"/>
  <c r="AG22" i="4"/>
  <c r="AF22" i="4"/>
  <c r="AV21" i="4"/>
  <c r="AQ21" i="4"/>
  <c r="AO21" i="4"/>
  <c r="AN21" i="4"/>
  <c r="AH21" i="4"/>
  <c r="AI21" i="4" s="1"/>
  <c r="AG21" i="4"/>
  <c r="AF21" i="4"/>
  <c r="AV20" i="4"/>
  <c r="AQ20" i="4"/>
  <c r="AO20" i="4"/>
  <c r="AN20" i="4"/>
  <c r="AH20" i="4"/>
  <c r="AI20" i="4" s="1"/>
  <c r="AG20" i="4"/>
  <c r="AF20" i="4"/>
  <c r="W74" i="4"/>
  <c r="V74" i="4"/>
  <c r="T74" i="4"/>
  <c r="S74" i="4"/>
  <c r="P74" i="4"/>
  <c r="W73" i="4"/>
  <c r="V73" i="4"/>
  <c r="T73" i="4"/>
  <c r="S73" i="4"/>
  <c r="P73" i="4"/>
  <c r="W72" i="4"/>
  <c r="V72" i="4"/>
  <c r="T72" i="4"/>
  <c r="S72" i="4"/>
  <c r="P72" i="4"/>
  <c r="W71" i="4"/>
  <c r="V71" i="4"/>
  <c r="T71" i="4"/>
  <c r="S71" i="4"/>
  <c r="P71" i="4"/>
  <c r="V70" i="4"/>
  <c r="T70" i="4"/>
  <c r="P70" i="4"/>
  <c r="AM70" i="4" s="1"/>
  <c r="V69" i="4"/>
  <c r="T69" i="4"/>
  <c r="P69" i="4"/>
  <c r="AM69" i="4" s="1"/>
  <c r="V68" i="4"/>
  <c r="T68" i="4"/>
  <c r="P68" i="4"/>
  <c r="AM68" i="4" s="1"/>
  <c r="V67" i="4"/>
  <c r="T67" i="4"/>
  <c r="P67" i="4"/>
  <c r="AM67" i="4" s="1"/>
  <c r="V66" i="4"/>
  <c r="T66" i="4"/>
  <c r="P66" i="4"/>
  <c r="AM66" i="4" s="1"/>
  <c r="V65" i="4"/>
  <c r="T65" i="4"/>
  <c r="P65" i="4"/>
  <c r="AM65" i="4" s="1"/>
  <c r="V64" i="4"/>
  <c r="T64" i="4"/>
  <c r="P64" i="4"/>
  <c r="AM64" i="4" s="1"/>
  <c r="V63" i="4"/>
  <c r="T63" i="4"/>
  <c r="P63" i="4"/>
  <c r="V62" i="4"/>
  <c r="T62" i="4"/>
  <c r="P62" i="4"/>
  <c r="AM62" i="4" s="1"/>
  <c r="V61" i="4"/>
  <c r="T61" i="4"/>
  <c r="P61" i="4"/>
  <c r="V60" i="4"/>
  <c r="T60" i="4"/>
  <c r="P60" i="4"/>
  <c r="AM60" i="4" s="1"/>
  <c r="V59" i="4"/>
  <c r="T59" i="4"/>
  <c r="P59" i="4"/>
  <c r="S59" i="4" s="1"/>
  <c r="V58" i="4"/>
  <c r="T58" i="4"/>
  <c r="P58" i="4"/>
  <c r="AM58" i="4" s="1"/>
  <c r="V57" i="4"/>
  <c r="T57" i="4"/>
  <c r="P57" i="4"/>
  <c r="S57" i="4" s="1"/>
  <c r="V56" i="4"/>
  <c r="T56" i="4"/>
  <c r="P56" i="4"/>
  <c r="AM56" i="4" s="1"/>
  <c r="V55" i="4"/>
  <c r="T55" i="4"/>
  <c r="P55" i="4"/>
  <c r="S55" i="4" s="1"/>
  <c r="V54" i="4"/>
  <c r="T54" i="4"/>
  <c r="P54" i="4"/>
  <c r="AM54" i="4" s="1"/>
  <c r="V53" i="4"/>
  <c r="T53" i="4"/>
  <c r="P53" i="4"/>
  <c r="V52" i="4"/>
  <c r="T52" i="4"/>
  <c r="P52" i="4"/>
  <c r="V51" i="4"/>
  <c r="T51" i="4"/>
  <c r="P51" i="4"/>
  <c r="S51" i="4" s="1"/>
  <c r="V50" i="4"/>
  <c r="T50" i="4"/>
  <c r="P50" i="4"/>
  <c r="AM50" i="4" s="1"/>
  <c r="V49" i="4"/>
  <c r="T49" i="4"/>
  <c r="P49" i="4"/>
  <c r="V48" i="4"/>
  <c r="T48" i="4"/>
  <c r="P48" i="4"/>
  <c r="AM48" i="4" s="1"/>
  <c r="V47" i="4"/>
  <c r="T47" i="4"/>
  <c r="P47" i="4"/>
  <c r="V46" i="4"/>
  <c r="T46" i="4"/>
  <c r="P46" i="4"/>
  <c r="AM46" i="4" s="1"/>
  <c r="V45" i="4"/>
  <c r="T45" i="4"/>
  <c r="P45" i="4"/>
  <c r="S45" i="4" s="1"/>
  <c r="V44" i="4"/>
  <c r="T44" i="4"/>
  <c r="P44" i="4"/>
  <c r="V43" i="4"/>
  <c r="T43" i="4"/>
  <c r="P43" i="4"/>
  <c r="V42" i="4"/>
  <c r="T42" i="4"/>
  <c r="P42" i="4"/>
  <c r="S42" i="4" s="1"/>
  <c r="V41" i="4"/>
  <c r="T41" i="4"/>
  <c r="P41" i="4"/>
  <c r="AM41" i="4" s="1"/>
  <c r="V40" i="4"/>
  <c r="T40" i="4"/>
  <c r="P40" i="4"/>
  <c r="AM40" i="4" s="1"/>
  <c r="V39" i="4"/>
  <c r="T39" i="4"/>
  <c r="P39" i="4"/>
  <c r="AM39" i="4" s="1"/>
  <c r="V38" i="4"/>
  <c r="T38" i="4"/>
  <c r="P38" i="4"/>
  <c r="V37" i="4"/>
  <c r="T37" i="4"/>
  <c r="P37" i="4"/>
  <c r="AM37" i="4" s="1"/>
  <c r="V36" i="4"/>
  <c r="T36" i="4"/>
  <c r="P36" i="4"/>
  <c r="V35" i="4"/>
  <c r="T35" i="4"/>
  <c r="P35" i="4"/>
  <c r="AM35" i="4" s="1"/>
  <c r="V34" i="4"/>
  <c r="T34" i="4"/>
  <c r="P34" i="4"/>
  <c r="V33" i="4"/>
  <c r="T33" i="4"/>
  <c r="P33" i="4"/>
  <c r="AM33" i="4" s="1"/>
  <c r="V32" i="4"/>
  <c r="T32" i="4"/>
  <c r="P32" i="4"/>
  <c r="AM32" i="4" s="1"/>
  <c r="V31" i="4"/>
  <c r="T31" i="4"/>
  <c r="P31" i="4"/>
  <c r="AM31" i="4" s="1"/>
  <c r="V30" i="4"/>
  <c r="T30" i="4"/>
  <c r="P30" i="4"/>
  <c r="AM30" i="4" s="1"/>
  <c r="V29" i="4"/>
  <c r="T29" i="4"/>
  <c r="P29" i="4"/>
  <c r="AM29" i="4" s="1"/>
  <c r="V28" i="4"/>
  <c r="T28" i="4"/>
  <c r="P28" i="4"/>
  <c r="AM28" i="4" s="1"/>
  <c r="V27" i="4"/>
  <c r="T27" i="4"/>
  <c r="P27" i="4"/>
  <c r="AM27" i="4" s="1"/>
  <c r="V26" i="4"/>
  <c r="T26" i="4"/>
  <c r="P26" i="4"/>
  <c r="AM26" i="4" s="1"/>
  <c r="V25" i="4"/>
  <c r="T25" i="4"/>
  <c r="P25" i="4"/>
  <c r="AM25" i="4" s="1"/>
  <c r="V24" i="4"/>
  <c r="T24" i="4"/>
  <c r="P24" i="4"/>
  <c r="AM24" i="4" s="1"/>
  <c r="V23" i="4"/>
  <c r="T23" i="4"/>
  <c r="P23" i="4"/>
  <c r="AM23" i="4" s="1"/>
  <c r="V22" i="4"/>
  <c r="T22" i="4"/>
  <c r="P22" i="4"/>
  <c r="AM22" i="4" s="1"/>
  <c r="V21" i="4"/>
  <c r="T21" i="4"/>
  <c r="P21" i="4"/>
  <c r="AM21" i="4" s="1"/>
  <c r="V20" i="4"/>
  <c r="T20" i="4"/>
  <c r="P20" i="4"/>
  <c r="AM20" i="4" s="1"/>
  <c r="D242" i="17" l="1"/>
  <c r="D241" i="17"/>
  <c r="H241" i="17"/>
  <c r="D240" i="17"/>
  <c r="H240" i="17"/>
  <c r="E241" i="17"/>
  <c r="I241" i="17"/>
  <c r="I240" i="17"/>
  <c r="D221" i="17"/>
  <c r="C223" i="17"/>
  <c r="D220" i="17"/>
  <c r="H220" i="17"/>
  <c r="D219" i="17"/>
  <c r="H219" i="17"/>
  <c r="E220" i="17"/>
  <c r="I220" i="17"/>
  <c r="I219" i="17"/>
  <c r="D200" i="17"/>
  <c r="D198" i="17"/>
  <c r="H198" i="17"/>
  <c r="E199" i="17"/>
  <c r="I199" i="17"/>
  <c r="D199" i="17"/>
  <c r="H199" i="17"/>
  <c r="I198" i="17"/>
  <c r="D179" i="17"/>
  <c r="D178" i="17"/>
  <c r="H178" i="17"/>
  <c r="E178" i="17"/>
  <c r="I178" i="17"/>
  <c r="I177" i="17"/>
  <c r="D158" i="17"/>
  <c r="H157" i="17"/>
  <c r="E157" i="17"/>
  <c r="I157" i="17"/>
  <c r="D157" i="17"/>
  <c r="I156" i="17"/>
  <c r="D137" i="17"/>
  <c r="C136" i="17"/>
  <c r="G136" i="17"/>
  <c r="G135" i="17"/>
  <c r="I135" i="17"/>
  <c r="C117" i="17"/>
  <c r="D116" i="17"/>
  <c r="C118" i="17" s="1"/>
  <c r="D115" i="17"/>
  <c r="H115" i="17"/>
  <c r="E115" i="17"/>
  <c r="I115" i="17"/>
  <c r="I114" i="17"/>
  <c r="D95" i="17"/>
  <c r="D94" i="17"/>
  <c r="H94" i="17"/>
  <c r="E94" i="17"/>
  <c r="I94" i="17"/>
  <c r="I93" i="17"/>
  <c r="D74" i="17"/>
  <c r="D73" i="17"/>
  <c r="E73" i="17"/>
  <c r="I73" i="17"/>
  <c r="H73" i="17"/>
  <c r="I72" i="17"/>
  <c r="F51" i="17"/>
  <c r="C52" i="17"/>
  <c r="G52" i="17"/>
  <c r="D53" i="17"/>
  <c r="D32" i="17"/>
  <c r="D31" i="17"/>
  <c r="H31" i="17"/>
  <c r="D30" i="17"/>
  <c r="H30" i="17"/>
  <c r="E31" i="17"/>
  <c r="I31" i="17"/>
  <c r="I30" i="17"/>
  <c r="S61" i="4"/>
  <c r="S52" i="4"/>
  <c r="S63" i="4"/>
  <c r="S64" i="4"/>
  <c r="S65" i="4"/>
  <c r="S66" i="4"/>
  <c r="S67" i="4"/>
  <c r="S68" i="4"/>
  <c r="S69" i="4"/>
  <c r="S70" i="4"/>
  <c r="S20" i="4"/>
  <c r="S28" i="4"/>
  <c r="S24" i="4"/>
  <c r="S23" i="4"/>
  <c r="S22" i="4"/>
  <c r="S36" i="4"/>
  <c r="S26" i="4"/>
  <c r="S27" i="4"/>
  <c r="S47" i="4"/>
  <c r="S48" i="4"/>
  <c r="S21" i="4"/>
  <c r="S25" i="4"/>
  <c r="AE30" i="4"/>
  <c r="S41" i="4"/>
  <c r="S62" i="4"/>
  <c r="S29" i="4"/>
  <c r="S30" i="4"/>
  <c r="S31" i="4"/>
  <c r="S32" i="4"/>
  <c r="S33" i="4"/>
  <c r="S38" i="4"/>
  <c r="S43" i="4"/>
  <c r="S49" i="4"/>
  <c r="S53" i="4"/>
  <c r="S54" i="4"/>
  <c r="S46" i="4"/>
  <c r="S34" i="4"/>
  <c r="S35" i="4"/>
  <c r="S44" i="4"/>
  <c r="S56" i="4"/>
  <c r="AE33" i="4"/>
  <c r="AE69" i="4"/>
  <c r="AE68" i="4"/>
  <c r="AE67" i="4"/>
  <c r="AE70" i="4"/>
  <c r="S37" i="4"/>
  <c r="S50" i="4"/>
  <c r="S58" i="4"/>
  <c r="AM42" i="4"/>
  <c r="AM43" i="4"/>
  <c r="AM44" i="4"/>
  <c r="AM45" i="4"/>
  <c r="AM47" i="4"/>
  <c r="AM49" i="4"/>
  <c r="AM51" i="4"/>
  <c r="AM52" i="4"/>
  <c r="AM53" i="4"/>
  <c r="AM55" i="4"/>
  <c r="AM57" i="4"/>
  <c r="AM59" i="4"/>
  <c r="S39" i="4"/>
  <c r="S60" i="4"/>
  <c r="AM34" i="4"/>
  <c r="AM36" i="4"/>
  <c r="AM38" i="4"/>
  <c r="AM61" i="4"/>
  <c r="AM63" i="4"/>
  <c r="AE31" i="4"/>
  <c r="AE32" i="4"/>
  <c r="AE21" i="4"/>
  <c r="AE22" i="4"/>
  <c r="AE23" i="4"/>
  <c r="AE24" i="4"/>
  <c r="AE25" i="4"/>
  <c r="AE26" i="4"/>
  <c r="AE27" i="4"/>
  <c r="AE28" i="4"/>
  <c r="AE29" i="4"/>
  <c r="AE34" i="4"/>
  <c r="AE20" i="4"/>
  <c r="AE35" i="4"/>
  <c r="AE36" i="4"/>
  <c r="AE37" i="4"/>
  <c r="AE38" i="4"/>
  <c r="AE39" i="4"/>
  <c r="AE40" i="4"/>
  <c r="AE43" i="4"/>
  <c r="AE44" i="4"/>
  <c r="AE46" i="4"/>
  <c r="AE50" i="4"/>
  <c r="AE51" i="4"/>
  <c r="AE52" i="4"/>
  <c r="AE53" i="4"/>
  <c r="AE45" i="4"/>
  <c r="AE47" i="4"/>
  <c r="AE41" i="4"/>
  <c r="AE49" i="4"/>
  <c r="AE61" i="4"/>
  <c r="AE59" i="4"/>
  <c r="AE62" i="4"/>
  <c r="AE63" i="4"/>
  <c r="AE64" i="4"/>
  <c r="AE65" i="4"/>
  <c r="AE66" i="4"/>
  <c r="AE57" i="4"/>
  <c r="AE58" i="4"/>
  <c r="AE72" i="4"/>
  <c r="AM72" i="4" s="1"/>
  <c r="AE71" i="4"/>
  <c r="AM71" i="4" s="1"/>
  <c r="AE74" i="4"/>
  <c r="AM74" i="4" s="1"/>
  <c r="AE73" i="4"/>
  <c r="AM73" i="4" s="1"/>
  <c r="S40" i="4"/>
  <c r="AO6" i="4"/>
  <c r="AO5" i="4"/>
  <c r="AM1" i="4"/>
  <c r="AM3" i="4" s="1"/>
  <c r="AA10" i="8"/>
  <c r="AA11" i="8" s="1"/>
  <c r="AB11" i="8" s="1"/>
  <c r="AD11" i="8" s="1"/>
  <c r="AN19" i="8" s="1"/>
  <c r="AE5" i="8"/>
  <c r="AG9" i="8" s="1"/>
  <c r="Z7" i="8"/>
  <c r="AA7" i="8" s="1"/>
  <c r="E242" i="17" l="1"/>
  <c r="C244" i="17"/>
  <c r="C243" i="17"/>
  <c r="E221" i="17"/>
  <c r="C222" i="17"/>
  <c r="E200" i="17"/>
  <c r="C201" i="17"/>
  <c r="C202" i="17"/>
  <c r="E179" i="17"/>
  <c r="C181" i="17"/>
  <c r="C180" i="17"/>
  <c r="E158" i="17"/>
  <c r="D160" i="17" s="1"/>
  <c r="C160" i="17"/>
  <c r="C159" i="17"/>
  <c r="D138" i="17"/>
  <c r="D139" i="17"/>
  <c r="E137" i="17"/>
  <c r="C139" i="17"/>
  <c r="C138" i="17"/>
  <c r="E116" i="17"/>
  <c r="E95" i="17"/>
  <c r="D97" i="17"/>
  <c r="C97" i="17"/>
  <c r="C96" i="17"/>
  <c r="E74" i="17"/>
  <c r="C76" i="17"/>
  <c r="C75" i="17"/>
  <c r="E53" i="17"/>
  <c r="D55" i="17" s="1"/>
  <c r="C54" i="17"/>
  <c r="C55" i="17"/>
  <c r="E32" i="17"/>
  <c r="C34" i="17"/>
  <c r="C33" i="17"/>
  <c r="AG10" i="8"/>
  <c r="AC10" i="8"/>
  <c r="AE10" i="8" s="1"/>
  <c r="AN18" i="8" s="1"/>
  <c r="AB10" i="8"/>
  <c r="AD10" i="8" s="1"/>
  <c r="AN17" i="8" s="1"/>
  <c r="AH9" i="8"/>
  <c r="AH10" i="8" s="1"/>
  <c r="AB9" i="8"/>
  <c r="AD9" i="8" s="1"/>
  <c r="AN15" i="8" s="1"/>
  <c r="AC9" i="8"/>
  <c r="AE9" i="8" s="1"/>
  <c r="AN16" i="8" s="1"/>
  <c r="AC11" i="8"/>
  <c r="AE11" i="8" s="1"/>
  <c r="AN20" i="8" s="1"/>
  <c r="E244" i="17" l="1"/>
  <c r="F242" i="17"/>
  <c r="E243" i="17"/>
  <c r="D244" i="17"/>
  <c r="D243" i="17"/>
  <c r="F221" i="17"/>
  <c r="E222" i="17" s="1"/>
  <c r="D223" i="17"/>
  <c r="D222" i="17"/>
  <c r="F200" i="17"/>
  <c r="E201" i="17" s="1"/>
  <c r="D202" i="17"/>
  <c r="D201" i="17"/>
  <c r="F179" i="17"/>
  <c r="E180" i="17" s="1"/>
  <c r="D181" i="17"/>
  <c r="D180" i="17"/>
  <c r="F158" i="17"/>
  <c r="E159" i="17"/>
  <c r="D159" i="17"/>
  <c r="F137" i="17"/>
  <c r="F116" i="17"/>
  <c r="E117" i="17" s="1"/>
  <c r="D118" i="17"/>
  <c r="D117" i="17"/>
  <c r="F95" i="17"/>
  <c r="E96" i="17"/>
  <c r="D96" i="17"/>
  <c r="E76" i="17"/>
  <c r="F74" i="17"/>
  <c r="E75" i="17"/>
  <c r="D76" i="17"/>
  <c r="D75" i="17"/>
  <c r="F53" i="17"/>
  <c r="E54" i="17"/>
  <c r="D54" i="17"/>
  <c r="F32" i="17"/>
  <c r="E33" i="17"/>
  <c r="D34" i="17"/>
  <c r="D33" i="17"/>
  <c r="AE6" i="8"/>
  <c r="G242" i="17" l="1"/>
  <c r="F243" i="17"/>
  <c r="F244" i="17"/>
  <c r="G221" i="17"/>
  <c r="F223" i="17"/>
  <c r="F222" i="17"/>
  <c r="E223" i="17"/>
  <c r="G200" i="17"/>
  <c r="F201" i="17"/>
  <c r="F202" i="17"/>
  <c r="E202" i="17"/>
  <c r="G179" i="17"/>
  <c r="F180" i="17"/>
  <c r="F181" i="17"/>
  <c r="E181" i="17"/>
  <c r="G158" i="17"/>
  <c r="F159" i="17"/>
  <c r="F160" i="17"/>
  <c r="E160" i="17"/>
  <c r="G137" i="17"/>
  <c r="F138" i="17"/>
  <c r="F139" i="17"/>
  <c r="E138" i="17"/>
  <c r="E139" i="17"/>
  <c r="G116" i="17"/>
  <c r="F118" i="17"/>
  <c r="F117" i="17"/>
  <c r="E118" i="17"/>
  <c r="G95" i="17"/>
  <c r="F96" i="17" s="1"/>
  <c r="F97" i="17"/>
  <c r="E97" i="17"/>
  <c r="G74" i="17"/>
  <c r="F75" i="17" s="1"/>
  <c r="G53" i="17"/>
  <c r="F54" i="17"/>
  <c r="F55" i="17"/>
  <c r="E55" i="17"/>
  <c r="G32" i="17"/>
  <c r="F33" i="17"/>
  <c r="F34" i="17"/>
  <c r="E34" i="17"/>
  <c r="C8" i="4"/>
  <c r="H242" i="17" l="1"/>
  <c r="H221" i="17"/>
  <c r="G223" i="17"/>
  <c r="H200" i="17"/>
  <c r="H179" i="17"/>
  <c r="H158" i="17"/>
  <c r="H137" i="17"/>
  <c r="H116" i="17"/>
  <c r="G118" i="17" s="1"/>
  <c r="H95" i="17"/>
  <c r="F76" i="17"/>
  <c r="H74" i="17"/>
  <c r="G76" i="17" s="1"/>
  <c r="H53" i="17"/>
  <c r="H32" i="17"/>
  <c r="CG8" i="4"/>
  <c r="CG9" i="4"/>
  <c r="CG10" i="4"/>
  <c r="CG11" i="4"/>
  <c r="CG12" i="4"/>
  <c r="CG13" i="4"/>
  <c r="W6" i="11"/>
  <c r="D29" i="15"/>
  <c r="S12" i="4"/>
  <c r="S15" i="4"/>
  <c r="V42" i="15"/>
  <c r="AL1" i="11"/>
  <c r="T13" i="4" s="1"/>
  <c r="C6" i="17"/>
  <c r="C27" i="17" s="1"/>
  <c r="I242" i="17" l="1"/>
  <c r="G244" i="17"/>
  <c r="G243" i="17"/>
  <c r="I221" i="17"/>
  <c r="G222" i="17"/>
  <c r="I200" i="17"/>
  <c r="H202" i="17" s="1"/>
  <c r="G201" i="17"/>
  <c r="G202" i="17"/>
  <c r="I179" i="17"/>
  <c r="G181" i="17"/>
  <c r="G180" i="17"/>
  <c r="I158" i="17"/>
  <c r="G159" i="17"/>
  <c r="G160" i="17"/>
  <c r="I137" i="17"/>
  <c r="H139" i="17" s="1"/>
  <c r="G138" i="17"/>
  <c r="G139" i="17"/>
  <c r="I116" i="17"/>
  <c r="G117" i="17"/>
  <c r="H96" i="17"/>
  <c r="I95" i="17"/>
  <c r="G97" i="17"/>
  <c r="G96" i="17"/>
  <c r="I74" i="17"/>
  <c r="H76" i="17" s="1"/>
  <c r="G75" i="17"/>
  <c r="H54" i="17"/>
  <c r="I53" i="17"/>
  <c r="H55" i="17"/>
  <c r="G54" i="17"/>
  <c r="G55" i="17"/>
  <c r="I32" i="17"/>
  <c r="H34" i="17" s="1"/>
  <c r="G34" i="17"/>
  <c r="G33" i="17"/>
  <c r="C48" i="17"/>
  <c r="I8" i="17"/>
  <c r="E8" i="17"/>
  <c r="H8" i="17"/>
  <c r="D8" i="17"/>
  <c r="G8" i="17"/>
  <c r="C8" i="17"/>
  <c r="F8" i="17"/>
  <c r="I244" i="17" l="1"/>
  <c r="C245" i="17"/>
  <c r="I243" i="17" s="1"/>
  <c r="H244" i="17"/>
  <c r="H243" i="17"/>
  <c r="I223" i="17"/>
  <c r="C224" i="17"/>
  <c r="I222" i="17"/>
  <c r="H223" i="17"/>
  <c r="H222" i="17"/>
  <c r="I202" i="17"/>
  <c r="C203" i="17"/>
  <c r="I201" i="17" s="1"/>
  <c r="H201" i="17"/>
  <c r="I181" i="17"/>
  <c r="C182" i="17"/>
  <c r="I180" i="17"/>
  <c r="H181" i="17"/>
  <c r="H180" i="17"/>
  <c r="I160" i="17"/>
  <c r="C161" i="17"/>
  <c r="I159" i="17"/>
  <c r="H160" i="17"/>
  <c r="H159" i="17"/>
  <c r="I139" i="17"/>
  <c r="C140" i="17"/>
  <c r="I138" i="17" s="1"/>
  <c r="H138" i="17"/>
  <c r="I118" i="17"/>
  <c r="C119" i="17"/>
  <c r="I117" i="17" s="1"/>
  <c r="H118" i="17"/>
  <c r="H117" i="17"/>
  <c r="I97" i="17"/>
  <c r="C98" i="17"/>
  <c r="I96" i="17"/>
  <c r="H97" i="17"/>
  <c r="I76" i="17"/>
  <c r="C77" i="17"/>
  <c r="I75" i="17"/>
  <c r="H75" i="17"/>
  <c r="I55" i="17"/>
  <c r="C56" i="17"/>
  <c r="I54" i="17"/>
  <c r="I34" i="17"/>
  <c r="C35" i="17"/>
  <c r="I33" i="17"/>
  <c r="H33" i="17"/>
  <c r="F9" i="17"/>
  <c r="F10" i="17"/>
  <c r="H10" i="17"/>
  <c r="H9" i="17"/>
  <c r="C9" i="17"/>
  <c r="C10" i="17"/>
  <c r="E9" i="17"/>
  <c r="E10" i="17"/>
  <c r="G9" i="17"/>
  <c r="G10" i="17"/>
  <c r="I10" i="17"/>
  <c r="D10" i="17"/>
  <c r="D9" i="17"/>
  <c r="C69" i="17"/>
  <c r="C90" i="17" s="1"/>
  <c r="C11" i="17"/>
  <c r="I9" i="17" s="1"/>
  <c r="D245" i="17" l="1"/>
  <c r="C247" i="17" s="1"/>
  <c r="D224" i="17"/>
  <c r="D203" i="17"/>
  <c r="C205" i="17"/>
  <c r="D182" i="17"/>
  <c r="D161" i="17"/>
  <c r="D140" i="17"/>
  <c r="C142" i="17" s="1"/>
  <c r="D119" i="17"/>
  <c r="D98" i="17"/>
  <c r="D77" i="17"/>
  <c r="D56" i="17"/>
  <c r="C58" i="17" s="1"/>
  <c r="D35" i="17"/>
  <c r="C111" i="17"/>
  <c r="D11" i="17"/>
  <c r="E245" i="17" l="1"/>
  <c r="D246" i="17" s="1"/>
  <c r="C246" i="17"/>
  <c r="E224" i="17"/>
  <c r="D225" i="17"/>
  <c r="C226" i="17"/>
  <c r="C225" i="17"/>
  <c r="E203" i="17"/>
  <c r="D204" i="17" s="1"/>
  <c r="C204" i="17"/>
  <c r="E182" i="17"/>
  <c r="D183" i="17"/>
  <c r="C184" i="17"/>
  <c r="C183" i="17"/>
  <c r="E161" i="17"/>
  <c r="D162" i="17" s="1"/>
  <c r="C163" i="17"/>
  <c r="C162" i="17"/>
  <c r="E140" i="17"/>
  <c r="C141" i="17"/>
  <c r="E119" i="17"/>
  <c r="D120" i="17"/>
  <c r="C121" i="17"/>
  <c r="C120" i="17"/>
  <c r="E98" i="17"/>
  <c r="D99" i="17"/>
  <c r="C100" i="17"/>
  <c r="C99" i="17"/>
  <c r="E77" i="17"/>
  <c r="D78" i="17" s="1"/>
  <c r="C79" i="17"/>
  <c r="C78" i="17"/>
  <c r="E56" i="17"/>
  <c r="D57" i="17"/>
  <c r="C57" i="17"/>
  <c r="D37" i="17"/>
  <c r="E35" i="17"/>
  <c r="D36" i="17"/>
  <c r="C37" i="17"/>
  <c r="C36" i="17"/>
  <c r="E11" i="17"/>
  <c r="D12" i="17" s="1"/>
  <c r="D13" i="17"/>
  <c r="C13" i="17"/>
  <c r="C12" i="17"/>
  <c r="C132" i="17"/>
  <c r="F11" i="17"/>
  <c r="F245" i="17" l="1"/>
  <c r="E246" i="17"/>
  <c r="E247" i="17"/>
  <c r="D247" i="17"/>
  <c r="F224" i="17"/>
  <c r="E226" i="17"/>
  <c r="E225" i="17"/>
  <c r="D226" i="17"/>
  <c r="F203" i="17"/>
  <c r="E204" i="17"/>
  <c r="E205" i="17"/>
  <c r="D205" i="17"/>
  <c r="F182" i="17"/>
  <c r="E183" i="17"/>
  <c r="E184" i="17"/>
  <c r="D184" i="17"/>
  <c r="F161" i="17"/>
  <c r="E162" i="17"/>
  <c r="E163" i="17"/>
  <c r="D163" i="17"/>
  <c r="F140" i="17"/>
  <c r="E141" i="17"/>
  <c r="E142" i="17"/>
  <c r="D141" i="17"/>
  <c r="D142" i="17"/>
  <c r="F119" i="17"/>
  <c r="E121" i="17" s="1"/>
  <c r="E120" i="17"/>
  <c r="D121" i="17"/>
  <c r="F98" i="17"/>
  <c r="E99" i="17"/>
  <c r="E100" i="17"/>
  <c r="D100" i="17"/>
  <c r="F77" i="17"/>
  <c r="E78" i="17"/>
  <c r="E79" i="17"/>
  <c r="D79" i="17"/>
  <c r="F56" i="17"/>
  <c r="E57" i="17"/>
  <c r="E58" i="17"/>
  <c r="D58" i="17"/>
  <c r="F35" i="17"/>
  <c r="E36" i="17"/>
  <c r="E37" i="17"/>
  <c r="E12" i="17"/>
  <c r="E13" i="17"/>
  <c r="C153" i="17"/>
  <c r="G11" i="17"/>
  <c r="G245" i="17" l="1"/>
  <c r="G224" i="17"/>
  <c r="F226" i="17"/>
  <c r="G203" i="17"/>
  <c r="G182" i="17"/>
  <c r="G161" i="17"/>
  <c r="G140" i="17"/>
  <c r="G119" i="17"/>
  <c r="F121" i="17"/>
  <c r="G98" i="17"/>
  <c r="G77" i="17"/>
  <c r="G56" i="17"/>
  <c r="G35" i="17"/>
  <c r="F37" i="17" s="1"/>
  <c r="F12" i="17"/>
  <c r="F13" i="17"/>
  <c r="C174" i="17"/>
  <c r="H11" i="17"/>
  <c r="H245" i="17" l="1"/>
  <c r="F247" i="17"/>
  <c r="F246" i="17"/>
  <c r="H224" i="17"/>
  <c r="F225" i="17"/>
  <c r="H203" i="17"/>
  <c r="G205" i="17" s="1"/>
  <c r="F205" i="17"/>
  <c r="F204" i="17"/>
  <c r="H182" i="17"/>
  <c r="F184" i="17"/>
  <c r="F183" i="17"/>
  <c r="H161" i="17"/>
  <c r="G163" i="17"/>
  <c r="F163" i="17"/>
  <c r="F162" i="17"/>
  <c r="H140" i="17"/>
  <c r="G142" i="17"/>
  <c r="F142" i="17"/>
  <c r="F141" i="17"/>
  <c r="H119" i="17"/>
  <c r="F120" i="17"/>
  <c r="H98" i="17"/>
  <c r="F100" i="17"/>
  <c r="F99" i="17"/>
  <c r="G79" i="17"/>
  <c r="H77" i="17"/>
  <c r="F79" i="17"/>
  <c r="F78" i="17"/>
  <c r="H56" i="17"/>
  <c r="G58" i="17" s="1"/>
  <c r="F57" i="17"/>
  <c r="F58" i="17"/>
  <c r="H35" i="17"/>
  <c r="F36" i="17"/>
  <c r="G13" i="17"/>
  <c r="G12" i="17"/>
  <c r="C195" i="17"/>
  <c r="I11" i="17"/>
  <c r="H13" i="17" s="1"/>
  <c r="H247" i="17" l="1"/>
  <c r="I245" i="17"/>
  <c r="H246" i="17"/>
  <c r="G247" i="17"/>
  <c r="G246" i="17"/>
  <c r="I224" i="17"/>
  <c r="H225" i="17" s="1"/>
  <c r="G226" i="17"/>
  <c r="G225" i="17"/>
  <c r="I203" i="17"/>
  <c r="H204" i="17"/>
  <c r="G204" i="17"/>
  <c r="I182" i="17"/>
  <c r="H183" i="17"/>
  <c r="G184" i="17"/>
  <c r="G183" i="17"/>
  <c r="I161" i="17"/>
  <c r="H162" i="17" s="1"/>
  <c r="G162" i="17"/>
  <c r="I140" i="17"/>
  <c r="H141" i="17" s="1"/>
  <c r="G141" i="17"/>
  <c r="I119" i="17"/>
  <c r="H120" i="17" s="1"/>
  <c r="G121" i="17"/>
  <c r="G120" i="17"/>
  <c r="I98" i="17"/>
  <c r="H99" i="17"/>
  <c r="G100" i="17"/>
  <c r="G99" i="17"/>
  <c r="I77" i="17"/>
  <c r="H78" i="17"/>
  <c r="G78" i="17"/>
  <c r="I56" i="17"/>
  <c r="H57" i="17"/>
  <c r="G57" i="17"/>
  <c r="I35" i="17"/>
  <c r="H36" i="17" s="1"/>
  <c r="G37" i="17"/>
  <c r="G36" i="17"/>
  <c r="I13" i="17"/>
  <c r="H12" i="17"/>
  <c r="C216" i="17"/>
  <c r="C14" i="17"/>
  <c r="C248" i="17" l="1"/>
  <c r="I246" i="17"/>
  <c r="I247" i="17"/>
  <c r="I226" i="17"/>
  <c r="C227" i="17"/>
  <c r="I225" i="17" s="1"/>
  <c r="H226" i="17"/>
  <c r="C206" i="17"/>
  <c r="I204" i="17" s="1"/>
  <c r="I205" i="17"/>
  <c r="H205" i="17"/>
  <c r="C185" i="17"/>
  <c r="I183" i="17" s="1"/>
  <c r="I184" i="17"/>
  <c r="H184" i="17"/>
  <c r="C164" i="17"/>
  <c r="I162" i="17"/>
  <c r="I163" i="17"/>
  <c r="H163" i="17"/>
  <c r="C143" i="17"/>
  <c r="I141" i="17"/>
  <c r="I142" i="17"/>
  <c r="H142" i="17"/>
  <c r="I121" i="17"/>
  <c r="C122" i="17"/>
  <c r="I120" i="17" s="1"/>
  <c r="H121" i="17"/>
  <c r="C101" i="17"/>
  <c r="I99" i="17" s="1"/>
  <c r="I100" i="17"/>
  <c r="H100" i="17"/>
  <c r="C80" i="17"/>
  <c r="I78" i="17"/>
  <c r="I79" i="17"/>
  <c r="H79" i="17"/>
  <c r="C59" i="17"/>
  <c r="I57" i="17"/>
  <c r="I58" i="17"/>
  <c r="H58" i="17"/>
  <c r="C38" i="17"/>
  <c r="I36" i="17"/>
  <c r="I37" i="17"/>
  <c r="H37" i="17"/>
  <c r="I12" i="17"/>
  <c r="C237" i="17"/>
  <c r="D14" i="17"/>
  <c r="D248" i="17" l="1"/>
  <c r="C249" i="17"/>
  <c r="C229" i="17"/>
  <c r="D227" i="17"/>
  <c r="C228" i="17"/>
  <c r="D206" i="17"/>
  <c r="C207" i="17" s="1"/>
  <c r="D185" i="17"/>
  <c r="C186" i="17" s="1"/>
  <c r="D164" i="17"/>
  <c r="C165" i="17" s="1"/>
  <c r="D143" i="17"/>
  <c r="C144" i="17"/>
  <c r="D122" i="17"/>
  <c r="C123" i="17"/>
  <c r="D101" i="17"/>
  <c r="C102" i="17"/>
  <c r="D80" i="17"/>
  <c r="C81" i="17"/>
  <c r="D59" i="17"/>
  <c r="C60" i="17"/>
  <c r="C40" i="17"/>
  <c r="D38" i="17"/>
  <c r="C39" i="17"/>
  <c r="C16" i="17"/>
  <c r="C15" i="17"/>
  <c r="E14" i="17"/>
  <c r="E248" i="17" l="1"/>
  <c r="D249" i="17"/>
  <c r="D250" i="17"/>
  <c r="C250" i="17"/>
  <c r="E227" i="17"/>
  <c r="D229" i="17"/>
  <c r="D228" i="17"/>
  <c r="E206" i="17"/>
  <c r="D207" i="17"/>
  <c r="D208" i="17"/>
  <c r="C208" i="17"/>
  <c r="E185" i="17"/>
  <c r="D186" i="17"/>
  <c r="D187" i="17"/>
  <c r="C187" i="17"/>
  <c r="E164" i="17"/>
  <c r="D165" i="17"/>
  <c r="D166" i="17"/>
  <c r="C166" i="17"/>
  <c r="E143" i="17"/>
  <c r="C145" i="17"/>
  <c r="E122" i="17"/>
  <c r="D124" i="17"/>
  <c r="D123" i="17"/>
  <c r="C124" i="17"/>
  <c r="E101" i="17"/>
  <c r="D102" i="17"/>
  <c r="D103" i="17"/>
  <c r="C103" i="17"/>
  <c r="E80" i="17"/>
  <c r="D81" i="17"/>
  <c r="D82" i="17"/>
  <c r="C82" i="17"/>
  <c r="E59" i="17"/>
  <c r="D60" i="17"/>
  <c r="D61" i="17"/>
  <c r="C61" i="17"/>
  <c r="E38" i="17"/>
  <c r="D39" i="17"/>
  <c r="D40" i="17"/>
  <c r="D15" i="17"/>
  <c r="D16" i="17"/>
  <c r="F14" i="17"/>
  <c r="E16" i="17" s="1"/>
  <c r="F248" i="17" l="1"/>
  <c r="F227" i="17"/>
  <c r="F206" i="17"/>
  <c r="E207" i="17" s="1"/>
  <c r="F185" i="17"/>
  <c r="F164" i="17"/>
  <c r="F143" i="17"/>
  <c r="D145" i="17"/>
  <c r="D144" i="17"/>
  <c r="F122" i="17"/>
  <c r="F101" i="17"/>
  <c r="F80" i="17"/>
  <c r="F59" i="17"/>
  <c r="F38" i="17"/>
  <c r="E15" i="17"/>
  <c r="G14" i="17"/>
  <c r="F15" i="17" s="1"/>
  <c r="G248" i="17" l="1"/>
  <c r="E250" i="17"/>
  <c r="E249" i="17"/>
  <c r="G227" i="17"/>
  <c r="E229" i="17"/>
  <c r="E228" i="17"/>
  <c r="G206" i="17"/>
  <c r="E208" i="17"/>
  <c r="G185" i="17"/>
  <c r="E187" i="17"/>
  <c r="E186" i="17"/>
  <c r="G164" i="17"/>
  <c r="E165" i="17"/>
  <c r="E166" i="17"/>
  <c r="G143" i="17"/>
  <c r="F145" i="17" s="1"/>
  <c r="E145" i="17"/>
  <c r="E144" i="17"/>
  <c r="G122" i="17"/>
  <c r="E124" i="17"/>
  <c r="E123" i="17"/>
  <c r="G101" i="17"/>
  <c r="E103" i="17"/>
  <c r="E102" i="17"/>
  <c r="F81" i="17"/>
  <c r="G80" i="17"/>
  <c r="E82" i="17"/>
  <c r="E81" i="17"/>
  <c r="G59" i="17"/>
  <c r="F61" i="17" s="1"/>
  <c r="E60" i="17"/>
  <c r="E61" i="17"/>
  <c r="G38" i="17"/>
  <c r="E40" i="17"/>
  <c r="E39" i="17"/>
  <c r="F16" i="17"/>
  <c r="H14" i="17"/>
  <c r="G16" i="17" s="1"/>
  <c r="H248" i="17" l="1"/>
  <c r="G249" i="17" s="1"/>
  <c r="F250" i="17"/>
  <c r="F249" i="17"/>
  <c r="G229" i="17"/>
  <c r="H227" i="17"/>
  <c r="G228" i="17"/>
  <c r="F229" i="17"/>
  <c r="F228" i="17"/>
  <c r="H206" i="17"/>
  <c r="G207" i="17" s="1"/>
  <c r="F208" i="17"/>
  <c r="F207" i="17"/>
  <c r="H185" i="17"/>
  <c r="G186" i="17" s="1"/>
  <c r="F187" i="17"/>
  <c r="F186" i="17"/>
  <c r="H164" i="17"/>
  <c r="G165" i="17"/>
  <c r="F166" i="17"/>
  <c r="F165" i="17"/>
  <c r="H143" i="17"/>
  <c r="G144" i="17" s="1"/>
  <c r="F144" i="17"/>
  <c r="H122" i="17"/>
  <c r="G123" i="17"/>
  <c r="F124" i="17"/>
  <c r="F123" i="17"/>
  <c r="H101" i="17"/>
  <c r="G102" i="17" s="1"/>
  <c r="F103" i="17"/>
  <c r="F102" i="17"/>
  <c r="H80" i="17"/>
  <c r="G81" i="17"/>
  <c r="F82" i="17"/>
  <c r="H59" i="17"/>
  <c r="G60" i="17"/>
  <c r="F60" i="17"/>
  <c r="H38" i="17"/>
  <c r="G39" i="17" s="1"/>
  <c r="F40" i="17"/>
  <c r="F39" i="17"/>
  <c r="G15" i="17"/>
  <c r="I14" i="17"/>
  <c r="I248" i="17" l="1"/>
  <c r="H249" i="17" s="1"/>
  <c r="H250" i="17"/>
  <c r="G250" i="17"/>
  <c r="I227" i="17"/>
  <c r="H229" i="17"/>
  <c r="H228" i="17"/>
  <c r="I206" i="17"/>
  <c r="H207" i="17"/>
  <c r="H208" i="17"/>
  <c r="G208" i="17"/>
  <c r="I185" i="17"/>
  <c r="H186" i="17"/>
  <c r="H187" i="17"/>
  <c r="G187" i="17"/>
  <c r="I164" i="17"/>
  <c r="H165" i="17"/>
  <c r="H166" i="17"/>
  <c r="G166" i="17"/>
  <c r="I143" i="17"/>
  <c r="H144" i="17" s="1"/>
  <c r="H145" i="17"/>
  <c r="G145" i="17"/>
  <c r="I122" i="17"/>
  <c r="H124" i="17"/>
  <c r="H123" i="17"/>
  <c r="G124" i="17"/>
  <c r="I101" i="17"/>
  <c r="H102" i="17"/>
  <c r="H103" i="17"/>
  <c r="G103" i="17"/>
  <c r="I80" i="17"/>
  <c r="H81" i="17"/>
  <c r="H82" i="17"/>
  <c r="G82" i="17"/>
  <c r="I59" i="17"/>
  <c r="H60" i="17"/>
  <c r="H61" i="17"/>
  <c r="G61" i="17"/>
  <c r="I38" i="17"/>
  <c r="H39" i="17"/>
  <c r="H40" i="17"/>
  <c r="G40" i="17"/>
  <c r="I16" i="17"/>
  <c r="H16" i="17"/>
  <c r="H15" i="17"/>
  <c r="C17" i="17"/>
  <c r="I15" i="17" s="1"/>
  <c r="C251" i="17" l="1"/>
  <c r="I249" i="17"/>
  <c r="I250" i="17"/>
  <c r="C230" i="17"/>
  <c r="I228" i="17"/>
  <c r="I229" i="17"/>
  <c r="C209" i="17"/>
  <c r="I207" i="17"/>
  <c r="I208" i="17"/>
  <c r="C188" i="17"/>
  <c r="I186" i="17"/>
  <c r="I187" i="17"/>
  <c r="C167" i="17"/>
  <c r="I165" i="17"/>
  <c r="I166" i="17"/>
  <c r="C146" i="17"/>
  <c r="I145" i="17"/>
  <c r="I144" i="17"/>
  <c r="C125" i="17"/>
  <c r="I123" i="17"/>
  <c r="I124" i="17"/>
  <c r="C104" i="17"/>
  <c r="I102" i="17"/>
  <c r="I103" i="17"/>
  <c r="C83" i="17"/>
  <c r="I81" i="17"/>
  <c r="I82" i="17"/>
  <c r="I61" i="17"/>
  <c r="C62" i="17"/>
  <c r="I60" i="17"/>
  <c r="C41" i="17"/>
  <c r="I39" i="17"/>
  <c r="I40" i="17"/>
  <c r="D17" i="17"/>
  <c r="C19" i="17" s="1"/>
  <c r="D251" i="17" l="1"/>
  <c r="C252" i="17"/>
  <c r="C253" i="17"/>
  <c r="D230" i="17"/>
  <c r="C232" i="17"/>
  <c r="C231" i="17"/>
  <c r="D209" i="17"/>
  <c r="C210" i="17"/>
  <c r="C211" i="17"/>
  <c r="D188" i="17"/>
  <c r="C189" i="17"/>
  <c r="C190" i="17"/>
  <c r="D167" i="17"/>
  <c r="C168" i="17"/>
  <c r="C169" i="17"/>
  <c r="D146" i="17"/>
  <c r="C147" i="17"/>
  <c r="C148" i="17"/>
  <c r="D125" i="17"/>
  <c r="C127" i="17"/>
  <c r="C126" i="17"/>
  <c r="D104" i="17"/>
  <c r="C105" i="17"/>
  <c r="C106" i="17"/>
  <c r="D83" i="17"/>
  <c r="C84" i="17"/>
  <c r="C85" i="17"/>
  <c r="D62" i="17"/>
  <c r="C63" i="17"/>
  <c r="C64" i="17"/>
  <c r="D41" i="17"/>
  <c r="C42" i="17"/>
  <c r="C43" i="17"/>
  <c r="C18" i="17"/>
  <c r="E17" i="17"/>
  <c r="D19" i="17" s="1"/>
  <c r="D252" i="17" l="1"/>
  <c r="D253" i="17"/>
  <c r="E251" i="17"/>
  <c r="D231" i="17"/>
  <c r="E230" i="17"/>
  <c r="D232" i="17"/>
  <c r="D211" i="17"/>
  <c r="D210" i="17"/>
  <c r="E209" i="17"/>
  <c r="D189" i="17"/>
  <c r="D190" i="17"/>
  <c r="E188" i="17"/>
  <c r="D168" i="17"/>
  <c r="D169" i="17"/>
  <c r="E167" i="17"/>
  <c r="D148" i="17"/>
  <c r="E146" i="17"/>
  <c r="D147" i="17"/>
  <c r="D126" i="17"/>
  <c r="E125" i="17"/>
  <c r="D127" i="17"/>
  <c r="D105" i="17"/>
  <c r="D106" i="17"/>
  <c r="E104" i="17"/>
  <c r="D84" i="17"/>
  <c r="D85" i="17"/>
  <c r="E83" i="17"/>
  <c r="D64" i="17"/>
  <c r="D63" i="17"/>
  <c r="E62" i="17"/>
  <c r="D42" i="17"/>
  <c r="D43" i="17"/>
  <c r="E41" i="17"/>
  <c r="D18" i="17"/>
  <c r="F17" i="17"/>
  <c r="E252" i="17" l="1"/>
  <c r="E253" i="17"/>
  <c r="F251" i="17"/>
  <c r="E231" i="17"/>
  <c r="E232" i="17"/>
  <c r="F230" i="17"/>
  <c r="E210" i="17"/>
  <c r="F209" i="17"/>
  <c r="E211" i="17"/>
  <c r="E189" i="17"/>
  <c r="E190" i="17"/>
  <c r="F188" i="17"/>
  <c r="E168" i="17"/>
  <c r="F167" i="17"/>
  <c r="E169" i="17"/>
  <c r="E147" i="17"/>
  <c r="F146" i="17"/>
  <c r="E148" i="17"/>
  <c r="E126" i="17"/>
  <c r="E127" i="17"/>
  <c r="F125" i="17"/>
  <c r="E105" i="17"/>
  <c r="E106" i="17"/>
  <c r="F104" i="17"/>
  <c r="E84" i="17"/>
  <c r="E85" i="17"/>
  <c r="F83" i="17"/>
  <c r="E63" i="17"/>
  <c r="F62" i="17"/>
  <c r="E64" i="17"/>
  <c r="E42" i="17"/>
  <c r="E43" i="17"/>
  <c r="F41" i="17"/>
  <c r="E18" i="17"/>
  <c r="E19" i="17"/>
  <c r="G17" i="17"/>
  <c r="F253" i="17" l="1"/>
  <c r="G251" i="17"/>
  <c r="F252" i="17"/>
  <c r="F232" i="17"/>
  <c r="G230" i="17"/>
  <c r="F231" i="17"/>
  <c r="F211" i="17"/>
  <c r="G209" i="17"/>
  <c r="F210" i="17"/>
  <c r="F190" i="17"/>
  <c r="G188" i="17"/>
  <c r="F189" i="17"/>
  <c r="F169" i="17"/>
  <c r="G167" i="17"/>
  <c r="F168" i="17"/>
  <c r="F148" i="17"/>
  <c r="G146" i="17"/>
  <c r="F147" i="17"/>
  <c r="F127" i="17"/>
  <c r="G125" i="17"/>
  <c r="F126" i="17"/>
  <c r="F106" i="17"/>
  <c r="G104" i="17"/>
  <c r="F105" i="17"/>
  <c r="F85" i="17"/>
  <c r="G83" i="17"/>
  <c r="F84" i="17"/>
  <c r="F64" i="17"/>
  <c r="G62" i="17"/>
  <c r="F63" i="17"/>
  <c r="F43" i="17"/>
  <c r="G41" i="17"/>
  <c r="F42" i="17"/>
  <c r="F18" i="17"/>
  <c r="F19" i="17"/>
  <c r="H17" i="17"/>
  <c r="H251" i="17" l="1"/>
  <c r="G252" i="17"/>
  <c r="G253" i="17"/>
  <c r="H230" i="17"/>
  <c r="G232" i="17"/>
  <c r="G231" i="17"/>
  <c r="H209" i="17"/>
  <c r="G210" i="17"/>
  <c r="G211" i="17"/>
  <c r="H188" i="17"/>
  <c r="G189" i="17"/>
  <c r="G190" i="17"/>
  <c r="H167" i="17"/>
  <c r="G168" i="17"/>
  <c r="G169" i="17"/>
  <c r="H146" i="17"/>
  <c r="G147" i="17"/>
  <c r="G148" i="17"/>
  <c r="H125" i="17"/>
  <c r="G127" i="17"/>
  <c r="G126" i="17"/>
  <c r="H104" i="17"/>
  <c r="G105" i="17"/>
  <c r="G106" i="17"/>
  <c r="H83" i="17"/>
  <c r="G84" i="17"/>
  <c r="G85" i="17"/>
  <c r="H62" i="17"/>
  <c r="G63" i="17"/>
  <c r="G64" i="17"/>
  <c r="H41" i="17"/>
  <c r="G42" i="17"/>
  <c r="G43" i="17"/>
  <c r="G19" i="17"/>
  <c r="G18" i="17"/>
  <c r="I17" i="17"/>
  <c r="H252" i="17" l="1"/>
  <c r="H253" i="17"/>
  <c r="I251" i="17"/>
  <c r="H231" i="17"/>
  <c r="I230" i="17"/>
  <c r="H232" i="17"/>
  <c r="H211" i="17"/>
  <c r="H210" i="17"/>
  <c r="I209" i="17"/>
  <c r="H189" i="17"/>
  <c r="H190" i="17"/>
  <c r="I188" i="17"/>
  <c r="H169" i="17"/>
  <c r="H168" i="17"/>
  <c r="I167" i="17"/>
  <c r="H147" i="17"/>
  <c r="H148" i="17"/>
  <c r="I146" i="17"/>
  <c r="H126" i="17"/>
  <c r="I125" i="17"/>
  <c r="H127" i="17"/>
  <c r="H105" i="17"/>
  <c r="H106" i="17"/>
  <c r="I104" i="17"/>
  <c r="H84" i="17"/>
  <c r="H85" i="17"/>
  <c r="I83" i="17"/>
  <c r="H64" i="17"/>
  <c r="H63" i="17"/>
  <c r="I62" i="17"/>
  <c r="H42" i="17"/>
  <c r="H43" i="17"/>
  <c r="I41" i="17"/>
  <c r="C20" i="17"/>
  <c r="I19" i="17"/>
  <c r="H19" i="17"/>
  <c r="H18" i="17"/>
  <c r="C254" i="17" l="1"/>
  <c r="I252" i="17"/>
  <c r="I253" i="17"/>
  <c r="C233" i="17"/>
  <c r="I231" i="17"/>
  <c r="I232" i="17"/>
  <c r="C212" i="17"/>
  <c r="I210" i="17"/>
  <c r="I211" i="17"/>
  <c r="C191" i="17"/>
  <c r="I189" i="17"/>
  <c r="I190" i="17"/>
  <c r="C170" i="17"/>
  <c r="I168" i="17"/>
  <c r="I169" i="17"/>
  <c r="C149" i="17"/>
  <c r="I147" i="17"/>
  <c r="I148" i="17"/>
  <c r="C128" i="17"/>
  <c r="I126" i="17"/>
  <c r="I127" i="17"/>
  <c r="C107" i="17"/>
  <c r="I105" i="17"/>
  <c r="I106" i="17"/>
  <c r="C86" i="17"/>
  <c r="I84" i="17"/>
  <c r="I85" i="17"/>
  <c r="C65" i="17"/>
  <c r="I63" i="17"/>
  <c r="I64" i="17"/>
  <c r="C44" i="17"/>
  <c r="I42" i="17"/>
  <c r="I43" i="17"/>
  <c r="D20" i="17"/>
  <c r="C255" i="17" l="1"/>
  <c r="C256" i="17"/>
  <c r="D254" i="17"/>
  <c r="C234" i="17"/>
  <c r="D233" i="17"/>
  <c r="C235" i="17"/>
  <c r="C213" i="17"/>
  <c r="C214" i="17"/>
  <c r="D212" i="17"/>
  <c r="C192" i="17"/>
  <c r="C193" i="17"/>
  <c r="D191" i="17"/>
  <c r="C172" i="17"/>
  <c r="C171" i="17"/>
  <c r="D170" i="17"/>
  <c r="C150" i="17"/>
  <c r="C151" i="17"/>
  <c r="D149" i="17"/>
  <c r="C129" i="17"/>
  <c r="D128" i="17"/>
  <c r="C130" i="17"/>
  <c r="C108" i="17"/>
  <c r="C109" i="17"/>
  <c r="D107" i="17"/>
  <c r="C87" i="17"/>
  <c r="C88" i="17"/>
  <c r="D86" i="17"/>
  <c r="C67" i="17"/>
  <c r="C66" i="17"/>
  <c r="D65" i="17"/>
  <c r="C46" i="17"/>
  <c r="C45" i="17"/>
  <c r="D44" i="17"/>
  <c r="E20" i="17"/>
  <c r="D255" i="17" l="1"/>
  <c r="D256" i="17"/>
  <c r="E254" i="17"/>
  <c r="D234" i="17"/>
  <c r="D235" i="17"/>
  <c r="E233" i="17"/>
  <c r="D213" i="17"/>
  <c r="E212" i="17"/>
  <c r="D214" i="17"/>
  <c r="D192" i="17"/>
  <c r="D193" i="17"/>
  <c r="E191" i="17"/>
  <c r="D171" i="17"/>
  <c r="D172" i="17"/>
  <c r="E170" i="17"/>
  <c r="D150" i="17"/>
  <c r="E149" i="17"/>
  <c r="D151" i="17"/>
  <c r="D129" i="17"/>
  <c r="D130" i="17"/>
  <c r="E128" i="17"/>
  <c r="D108" i="17"/>
  <c r="D109" i="17"/>
  <c r="E107" i="17"/>
  <c r="D87" i="17"/>
  <c r="D88" i="17"/>
  <c r="E86" i="17"/>
  <c r="D66" i="17"/>
  <c r="E65" i="17"/>
  <c r="D67" i="17"/>
  <c r="D45" i="17"/>
  <c r="D46" i="17"/>
  <c r="E44" i="17"/>
  <c r="F20" i="17"/>
  <c r="E256" i="17" l="1"/>
  <c r="F254" i="17"/>
  <c r="E255" i="17"/>
  <c r="E235" i="17"/>
  <c r="F233" i="17"/>
  <c r="E234" i="17"/>
  <c r="E214" i="17"/>
  <c r="F212" i="17"/>
  <c r="E213" i="17"/>
  <c r="E193" i="17"/>
  <c r="F191" i="17"/>
  <c r="E192" i="17"/>
  <c r="E172" i="17"/>
  <c r="F170" i="17"/>
  <c r="E171" i="17"/>
  <c r="E151" i="17"/>
  <c r="F149" i="17"/>
  <c r="E150" i="17"/>
  <c r="E130" i="17"/>
  <c r="F128" i="17"/>
  <c r="E129" i="17"/>
  <c r="E109" i="17"/>
  <c r="F107" i="17"/>
  <c r="E108" i="17"/>
  <c r="E88" i="17"/>
  <c r="F86" i="17"/>
  <c r="E87" i="17"/>
  <c r="E67" i="17"/>
  <c r="F65" i="17"/>
  <c r="E66" i="17"/>
  <c r="E46" i="17"/>
  <c r="F44" i="17"/>
  <c r="E45" i="17"/>
  <c r="G20" i="17"/>
  <c r="G254" i="17" l="1"/>
  <c r="F255" i="17"/>
  <c r="F256" i="17"/>
  <c r="G233" i="17"/>
  <c r="F235" i="17"/>
  <c r="F234" i="17"/>
  <c r="G212" i="17"/>
  <c r="F213" i="17"/>
  <c r="F214" i="17"/>
  <c r="G191" i="17"/>
  <c r="F192" i="17"/>
  <c r="F193" i="17"/>
  <c r="G170" i="17"/>
  <c r="F171" i="17"/>
  <c r="F172" i="17"/>
  <c r="G149" i="17"/>
  <c r="F150" i="17"/>
  <c r="F151" i="17"/>
  <c r="G128" i="17"/>
  <c r="F130" i="17"/>
  <c r="F129" i="17"/>
  <c r="G107" i="17"/>
  <c r="F108" i="17"/>
  <c r="F109" i="17"/>
  <c r="G86" i="17"/>
  <c r="F87" i="17"/>
  <c r="F88" i="17"/>
  <c r="G65" i="17"/>
  <c r="F66" i="17"/>
  <c r="F67" i="17"/>
  <c r="G44" i="17"/>
  <c r="F45" i="17"/>
  <c r="F46" i="17"/>
  <c r="H20" i="17"/>
  <c r="G255" i="17" l="1"/>
  <c r="G256" i="17"/>
  <c r="H254" i="17"/>
  <c r="G234" i="17"/>
  <c r="H233" i="17"/>
  <c r="G235" i="17"/>
  <c r="G214" i="17"/>
  <c r="G213" i="17"/>
  <c r="H212" i="17"/>
  <c r="G192" i="17"/>
  <c r="G193" i="17"/>
  <c r="H191" i="17"/>
  <c r="G171" i="17"/>
  <c r="G172" i="17"/>
  <c r="H170" i="17"/>
  <c r="G151" i="17"/>
  <c r="H149" i="17"/>
  <c r="G150" i="17"/>
  <c r="G129" i="17"/>
  <c r="H128" i="17"/>
  <c r="G130" i="17"/>
  <c r="G108" i="17"/>
  <c r="G109" i="17"/>
  <c r="H107" i="17"/>
  <c r="G87" i="17"/>
  <c r="G88" i="17"/>
  <c r="H86" i="17"/>
  <c r="G67" i="17"/>
  <c r="G66" i="17"/>
  <c r="H65" i="17"/>
  <c r="G45" i="17"/>
  <c r="G46" i="17"/>
  <c r="H44" i="17"/>
  <c r="I20" i="17"/>
  <c r="H255" i="17" l="1"/>
  <c r="H256" i="17"/>
  <c r="I254" i="17"/>
  <c r="H234" i="17"/>
  <c r="H235" i="17"/>
  <c r="I233" i="17"/>
  <c r="H213" i="17"/>
  <c r="I212" i="17"/>
  <c r="H214" i="17"/>
  <c r="H192" i="17"/>
  <c r="H193" i="17"/>
  <c r="I191" i="17"/>
  <c r="H171" i="17"/>
  <c r="I170" i="17"/>
  <c r="H172" i="17"/>
  <c r="H150" i="17"/>
  <c r="H151" i="17"/>
  <c r="I149" i="17"/>
  <c r="H129" i="17"/>
  <c r="H130" i="17"/>
  <c r="I128" i="17"/>
  <c r="H108" i="17"/>
  <c r="H109" i="17"/>
  <c r="I107" i="17"/>
  <c r="H87" i="17"/>
  <c r="H88" i="17"/>
  <c r="I86" i="17"/>
  <c r="H66" i="17"/>
  <c r="I65" i="17"/>
  <c r="H67" i="17"/>
  <c r="H45" i="17"/>
  <c r="H46" i="17"/>
  <c r="I44" i="17"/>
  <c r="C23" i="17"/>
  <c r="I22" i="17"/>
  <c r="I256" i="17" l="1"/>
  <c r="I255" i="17"/>
  <c r="I235" i="17"/>
  <c r="I234" i="17"/>
  <c r="I214" i="17"/>
  <c r="I213" i="17"/>
  <c r="I193" i="17"/>
  <c r="I192" i="17"/>
  <c r="I172" i="17"/>
  <c r="I171" i="17"/>
  <c r="I151" i="17"/>
  <c r="I150" i="17"/>
  <c r="I130" i="17"/>
  <c r="I129" i="17"/>
  <c r="I109" i="17"/>
  <c r="I108" i="17"/>
  <c r="I88" i="17"/>
  <c r="I87" i="17"/>
  <c r="I67" i="17"/>
  <c r="I66" i="17"/>
  <c r="I46" i="17"/>
  <c r="I45" i="17"/>
  <c r="D23" i="17"/>
  <c r="E23" i="17" l="1"/>
  <c r="F23" i="17" l="1"/>
  <c r="G23" i="17" l="1"/>
  <c r="H23" i="17" l="1"/>
  <c r="BI1" i="4"/>
  <c r="I23" i="17" l="1"/>
  <c r="AS2" i="15"/>
  <c r="AR2" i="15" s="1"/>
  <c r="AT2" i="15" s="1"/>
  <c r="I25" i="17" l="1"/>
  <c r="AO3" i="4"/>
  <c r="AO4" i="4"/>
  <c r="AO2" i="4"/>
  <c r="AJ1" i="4"/>
  <c r="AJ2" i="4"/>
  <c r="AH4" i="4"/>
  <c r="CG3" i="4"/>
  <c r="CG4" i="4"/>
  <c r="CG5" i="4"/>
  <c r="CG6" i="4"/>
  <c r="CG7" i="4"/>
  <c r="CG14" i="4"/>
  <c r="CF3" i="4" l="1"/>
  <c r="CH3" i="4"/>
  <c r="CF4" i="4"/>
  <c r="CH4" i="4"/>
  <c r="CF5" i="4"/>
  <c r="CH5" i="4"/>
  <c r="CF6" i="4"/>
  <c r="CH6" i="4"/>
  <c r="CF7" i="4"/>
  <c r="CH7" i="4"/>
  <c r="CF8" i="4"/>
  <c r="CH8" i="4"/>
  <c r="CF9" i="4"/>
  <c r="CH9" i="4"/>
  <c r="CF10" i="4"/>
  <c r="CH10" i="4"/>
  <c r="CF11" i="4"/>
  <c r="CH11" i="4"/>
  <c r="CF12" i="4"/>
  <c r="CH12" i="4"/>
  <c r="CF13" i="4"/>
  <c r="CH13" i="4"/>
  <c r="CF14" i="4"/>
  <c r="CH14" i="4"/>
  <c r="CF15" i="4"/>
  <c r="CH15" i="4"/>
  <c r="CF16" i="4"/>
  <c r="CH16" i="4"/>
  <c r="I14" i="7"/>
  <c r="AV19" i="4"/>
  <c r="AQ19" i="4"/>
  <c r="AO19" i="4"/>
  <c r="AN19" i="4"/>
  <c r="AH19" i="4"/>
  <c r="AI19" i="4" s="1"/>
  <c r="AG19" i="4"/>
  <c r="AF19" i="4"/>
  <c r="AV18" i="4"/>
  <c r="AO18" i="4"/>
  <c r="AN18" i="4"/>
  <c r="AH18" i="4"/>
  <c r="AI18" i="4" s="1"/>
  <c r="AG18" i="4"/>
  <c r="AF18" i="4"/>
  <c r="V19" i="4"/>
  <c r="T19" i="4"/>
  <c r="P19" i="4"/>
  <c r="V18" i="4"/>
  <c r="T18" i="4"/>
  <c r="P18" i="4"/>
  <c r="S18" i="4" l="1"/>
  <c r="S19" i="4"/>
  <c r="AM19" i="4"/>
  <c r="AM18" i="4"/>
  <c r="AE18" i="4"/>
  <c r="AE19" i="4"/>
  <c r="S3" i="15" l="1"/>
  <c r="AF5" i="4" l="1"/>
  <c r="G3" i="16"/>
  <c r="AD15" i="4" l="1"/>
  <c r="V17" i="4"/>
  <c r="T17" i="4"/>
  <c r="AX8" i="4"/>
  <c r="AL11" i="4" s="1"/>
  <c r="AV12" i="4"/>
  <c r="AS12" i="4"/>
  <c r="AR12" i="4"/>
  <c r="AQ12" i="4"/>
  <c r="AO12" i="4"/>
  <c r="AN12" i="4"/>
  <c r="AR15" i="4"/>
  <c r="AV17" i="4" l="1"/>
  <c r="AO17" i="4"/>
  <c r="AN17" i="4"/>
  <c r="AH17" i="4"/>
  <c r="AI17" i="4" s="1"/>
  <c r="AG17" i="4"/>
  <c r="AF17" i="4"/>
  <c r="AV16" i="4"/>
  <c r="AO16" i="4"/>
  <c r="AN16" i="4"/>
  <c r="AH16" i="4"/>
  <c r="AI16" i="4" s="1"/>
  <c r="AG16" i="4"/>
  <c r="AF16" i="4"/>
  <c r="AV15" i="4"/>
  <c r="AQ15" i="4"/>
  <c r="AO15" i="4"/>
  <c r="AN15" i="4"/>
  <c r="AH15" i="4"/>
  <c r="AI15" i="4" s="1"/>
  <c r="AG15" i="4"/>
  <c r="AF15" i="4"/>
  <c r="P17" i="4"/>
  <c r="V16" i="4"/>
  <c r="T16" i="4"/>
  <c r="P16" i="4"/>
  <c r="S16" i="4" s="1"/>
  <c r="W15" i="4"/>
  <c r="V15" i="4"/>
  <c r="T15" i="4"/>
  <c r="P15" i="4"/>
  <c r="V12" i="4"/>
  <c r="T12" i="4"/>
  <c r="W12" i="4" s="1"/>
  <c r="P12" i="4"/>
  <c r="AH12" i="4"/>
  <c r="AI12" i="4" s="1"/>
  <c r="AG12" i="4"/>
  <c r="AF12" i="4"/>
  <c r="B12" i="4"/>
  <c r="B16" i="4"/>
  <c r="B17" i="4" s="1"/>
  <c r="AQ17" i="4" s="1"/>
  <c r="Z1" i="8"/>
  <c r="S17" i="4" l="1"/>
  <c r="AS3" i="5"/>
  <c r="BX1" i="4"/>
  <c r="AS4" i="5"/>
  <c r="AH1" i="4"/>
  <c r="I8" i="4"/>
  <c r="B18" i="4"/>
  <c r="AD17" i="4"/>
  <c r="AD16" i="4"/>
  <c r="AQ16" i="4"/>
  <c r="BH15" i="4"/>
  <c r="AE15" i="4"/>
  <c r="AM15" i="4" s="1"/>
  <c r="AS6" i="5"/>
  <c r="AS5" i="5"/>
  <c r="AE16" i="4"/>
  <c r="AM16" i="4" s="1"/>
  <c r="AE17" i="4"/>
  <c r="AM17" i="4" s="1"/>
  <c r="AD12" i="4"/>
  <c r="AE12" i="4"/>
  <c r="AM12" i="4" s="1"/>
  <c r="AH5" i="4"/>
  <c r="AD18" i="4" l="1"/>
  <c r="AQ18" i="4"/>
  <c r="B19" i="4"/>
  <c r="BG15" i="4"/>
  <c r="AD19" i="4" l="1"/>
  <c r="B20" i="4"/>
  <c r="AD20" i="4" s="1"/>
  <c r="AR16" i="4"/>
  <c r="AS15" i="4"/>
  <c r="B21" i="4" l="1"/>
  <c r="AD21" i="4" s="1"/>
  <c r="AR17" i="4"/>
  <c r="AR18" i="4" s="1"/>
  <c r="AS16" i="4"/>
  <c r="AS18" i="4" l="1"/>
  <c r="AR19" i="4"/>
  <c r="AR20" i="4" s="1"/>
  <c r="B22" i="4"/>
  <c r="AD22" i="4" s="1"/>
  <c r="AS17" i="4"/>
  <c r="AR21" i="4" l="1"/>
  <c r="AS20" i="4"/>
  <c r="B23" i="4"/>
  <c r="AD23" i="4" s="1"/>
  <c r="AS19" i="4"/>
  <c r="AR22" i="4" l="1"/>
  <c r="AS21" i="4"/>
  <c r="B24" i="4"/>
  <c r="AD24" i="4" s="1"/>
  <c r="AS22" i="4" l="1"/>
  <c r="AR23" i="4"/>
  <c r="B25" i="4"/>
  <c r="AD25" i="4" l="1"/>
  <c r="AR24" i="4"/>
  <c r="AS23" i="4"/>
  <c r="B26" i="4"/>
  <c r="AR25" i="4" l="1"/>
  <c r="AS24" i="4"/>
  <c r="AD26" i="4"/>
  <c r="B27" i="4"/>
  <c r="AR26" i="4" l="1"/>
  <c r="AS25" i="4"/>
  <c r="AD27" i="4"/>
  <c r="B28" i="4"/>
  <c r="W10" i="8"/>
  <c r="AR27" i="4" l="1"/>
  <c r="AS26" i="4"/>
  <c r="AD28" i="4"/>
  <c r="B29" i="4"/>
  <c r="DO4" i="4"/>
  <c r="DR4" i="4" s="1"/>
  <c r="DO5" i="4"/>
  <c r="DR5" i="4" s="1"/>
  <c r="DO6" i="4"/>
  <c r="DO7" i="4"/>
  <c r="DO8" i="4"/>
  <c r="DO9" i="4"/>
  <c r="DO10" i="4"/>
  <c r="DO11" i="4"/>
  <c r="DO12" i="4"/>
  <c r="DO2" i="4"/>
  <c r="DO3" i="4"/>
  <c r="DR3" i="4" s="1"/>
  <c r="AF11" i="4"/>
  <c r="AF10" i="4"/>
  <c r="AC28" i="11"/>
  <c r="AF8" i="4"/>
  <c r="AJ69" i="4" l="1"/>
  <c r="AJ64" i="4"/>
  <c r="AJ66" i="4"/>
  <c r="AD29" i="4"/>
  <c r="AJ72" i="4"/>
  <c r="AJ74" i="4"/>
  <c r="AJ73" i="4"/>
  <c r="AJ71" i="4"/>
  <c r="AR28" i="4"/>
  <c r="AS27" i="4"/>
  <c r="AB7" i="8"/>
  <c r="Y9" i="8" s="1"/>
  <c r="B30" i="4"/>
  <c r="AJ15" i="4"/>
  <c r="AJ12" i="4"/>
  <c r="DR12" i="4"/>
  <c r="DR8" i="4"/>
  <c r="DR11" i="4"/>
  <c r="DR7" i="4"/>
  <c r="DR10" i="4"/>
  <c r="DR6" i="4"/>
  <c r="DR9" i="4"/>
  <c r="AO5" i="8"/>
  <c r="AO6" i="8"/>
  <c r="AO4" i="8"/>
  <c r="Q66" i="4" l="1"/>
  <c r="U66" i="4" s="1"/>
  <c r="R66" i="4"/>
  <c r="R73" i="4"/>
  <c r="Q73" i="4"/>
  <c r="U73" i="4" s="1"/>
  <c r="R74" i="4"/>
  <c r="Q74" i="4"/>
  <c r="U74" i="4" s="1"/>
  <c r="Q64" i="4"/>
  <c r="U64" i="4" s="1"/>
  <c r="R64" i="4"/>
  <c r="R71" i="4"/>
  <c r="Q71" i="4"/>
  <c r="U71" i="4" s="1"/>
  <c r="AD30" i="4"/>
  <c r="AR29" i="4"/>
  <c r="AS28" i="4"/>
  <c r="R72" i="4"/>
  <c r="Q72" i="4"/>
  <c r="U72" i="4" s="1"/>
  <c r="Q69" i="4"/>
  <c r="U69" i="4" s="1"/>
  <c r="R69" i="4"/>
  <c r="AE3" i="8"/>
  <c r="AF3" i="8" s="1"/>
  <c r="B31" i="4"/>
  <c r="Q15" i="4"/>
  <c r="R15" i="4"/>
  <c r="R12" i="4"/>
  <c r="Q12" i="4"/>
  <c r="U12" i="4" s="1"/>
  <c r="AO7" i="8"/>
  <c r="Z2" i="8" s="1"/>
  <c r="AR30" i="4" l="1"/>
  <c r="AS29" i="4"/>
  <c r="AD31" i="4"/>
  <c r="B32" i="4"/>
  <c r="U15" i="4"/>
  <c r="AR31" i="4" l="1"/>
  <c r="AS30" i="4"/>
  <c r="AD32" i="4"/>
  <c r="AA3" i="8"/>
  <c r="Z3" i="8" s="1"/>
  <c r="B33" i="4"/>
  <c r="AD33" i="4" l="1"/>
  <c r="AS31" i="4"/>
  <c r="AR32" i="4"/>
  <c r="B34" i="4"/>
  <c r="AD34" i="4" l="1"/>
  <c r="AR33" i="4"/>
  <c r="AS32" i="4"/>
  <c r="B35" i="4"/>
  <c r="AC19" i="11"/>
  <c r="Z18" i="11" s="1"/>
  <c r="AN6" i="11"/>
  <c r="W30" i="15"/>
  <c r="X1" i="7"/>
  <c r="Z3" i="5"/>
  <c r="AW23" i="11"/>
  <c r="AX23" i="11"/>
  <c r="AD35" i="4" l="1"/>
  <c r="AS33" i="4"/>
  <c r="AR34" i="4"/>
  <c r="B36" i="4"/>
  <c r="X30" i="15"/>
  <c r="P31" i="15" s="1"/>
  <c r="Y1" i="7"/>
  <c r="AE32" i="15"/>
  <c r="AE2" i="11"/>
  <c r="AF32" i="15"/>
  <c r="AS34" i="4" l="1"/>
  <c r="AR35" i="4"/>
  <c r="AD36" i="4"/>
  <c r="B37" i="4"/>
  <c r="AD37" i="15"/>
  <c r="AD39" i="15"/>
  <c r="AD38" i="15"/>
  <c r="AS35" i="4" l="1"/>
  <c r="AR36" i="4"/>
  <c r="AD37" i="4"/>
  <c r="B38" i="4"/>
  <c r="Y5" i="5"/>
  <c r="AD38" i="4" l="1"/>
  <c r="AS36" i="4"/>
  <c r="AR37" i="4"/>
  <c r="B39" i="4"/>
  <c r="O5" i="11"/>
  <c r="AS37" i="4" l="1"/>
  <c r="AR38" i="4"/>
  <c r="AD39" i="4"/>
  <c r="B40" i="4"/>
  <c r="AQ40" i="4" l="1"/>
  <c r="AD40" i="4"/>
  <c r="AS38" i="4"/>
  <c r="AR39" i="4"/>
  <c r="B41" i="4"/>
  <c r="AF6" i="4"/>
  <c r="AS39" i="4" l="1"/>
  <c r="AR40" i="4"/>
  <c r="AD41" i="4"/>
  <c r="B42" i="4"/>
  <c r="AL18" i="15"/>
  <c r="AQ42" i="4" l="1"/>
  <c r="AD42" i="4"/>
  <c r="AS40" i="4"/>
  <c r="AR41" i="4"/>
  <c r="B43" i="4"/>
  <c r="B8" i="15"/>
  <c r="B7" i="15"/>
  <c r="B6" i="15"/>
  <c r="X10" i="7"/>
  <c r="Y56" i="15"/>
  <c r="X56" i="15"/>
  <c r="R47" i="15"/>
  <c r="P47" i="15"/>
  <c r="AD43" i="4" l="1"/>
  <c r="AS41" i="4"/>
  <c r="AR42" i="4"/>
  <c r="B44" i="4"/>
  <c r="AL8" i="4"/>
  <c r="AS42" i="4" l="1"/>
  <c r="AR43" i="4"/>
  <c r="AD44" i="4"/>
  <c r="B45" i="4"/>
  <c r="AS43" i="4" l="1"/>
  <c r="AR44" i="4"/>
  <c r="AD45" i="4"/>
  <c r="B46" i="4"/>
  <c r="AS44" i="4" l="1"/>
  <c r="AR45" i="4"/>
  <c r="AD46" i="4"/>
  <c r="B47" i="4"/>
  <c r="CF2" i="4"/>
  <c r="CH2" i="4"/>
  <c r="CG2" i="4"/>
  <c r="AD47" i="4" l="1"/>
  <c r="AS45" i="4"/>
  <c r="AR46" i="4"/>
  <c r="B48" i="4"/>
  <c r="E14" i="7"/>
  <c r="AF9" i="4"/>
  <c r="AJ56" i="4" l="1"/>
  <c r="AJ30" i="4"/>
  <c r="AJ42" i="4"/>
  <c r="AJ60" i="4"/>
  <c r="AJ67" i="4"/>
  <c r="AJ31" i="4"/>
  <c r="AJ21" i="4"/>
  <c r="AJ23" i="4"/>
  <c r="AJ25" i="4"/>
  <c r="AJ27" i="4"/>
  <c r="AJ29" i="4"/>
  <c r="AJ20" i="4"/>
  <c r="AJ35" i="4"/>
  <c r="AJ55" i="4"/>
  <c r="AJ70" i="4"/>
  <c r="AJ32" i="4"/>
  <c r="AJ24" i="4"/>
  <c r="AJ26" i="4"/>
  <c r="AJ34" i="4"/>
  <c r="AJ37" i="4"/>
  <c r="AJ43" i="4"/>
  <c r="AJ51" i="4"/>
  <c r="AJ47" i="4"/>
  <c r="AJ59" i="4"/>
  <c r="AJ65" i="4"/>
  <c r="AJ48" i="4"/>
  <c r="AJ36" i="4"/>
  <c r="AJ38" i="4"/>
  <c r="AJ40" i="4"/>
  <c r="AJ44" i="4"/>
  <c r="AJ50" i="4"/>
  <c r="AJ52" i="4"/>
  <c r="AJ45" i="4"/>
  <c r="AJ41" i="4"/>
  <c r="AJ61" i="4"/>
  <c r="AJ62" i="4"/>
  <c r="AJ57" i="4"/>
  <c r="AJ33" i="4"/>
  <c r="AJ68" i="4"/>
  <c r="AJ22" i="4"/>
  <c r="AJ28" i="4"/>
  <c r="AJ39" i="4"/>
  <c r="AJ46" i="4"/>
  <c r="AJ53" i="4"/>
  <c r="AJ49" i="4"/>
  <c r="AJ63" i="4"/>
  <c r="AJ58" i="4"/>
  <c r="AJ54" i="4"/>
  <c r="AS46" i="4"/>
  <c r="AR47" i="4"/>
  <c r="AD48" i="4"/>
  <c r="B49" i="4"/>
  <c r="AJ18" i="4"/>
  <c r="AJ19" i="4"/>
  <c r="AJ17" i="4"/>
  <c r="AJ16" i="4"/>
  <c r="AH3" i="4"/>
  <c r="R54" i="4" l="1"/>
  <c r="Q54" i="4"/>
  <c r="U54" i="4" s="1"/>
  <c r="Q53" i="4"/>
  <c r="U53" i="4" s="1"/>
  <c r="R53" i="4"/>
  <c r="R22" i="4"/>
  <c r="Q22" i="4"/>
  <c r="U22" i="4" s="1"/>
  <c r="Q62" i="4"/>
  <c r="U62" i="4" s="1"/>
  <c r="R62" i="4"/>
  <c r="Q52" i="4"/>
  <c r="U52" i="4" s="1"/>
  <c r="R52" i="4"/>
  <c r="Q38" i="4"/>
  <c r="U38" i="4" s="1"/>
  <c r="R38" i="4"/>
  <c r="Q59" i="4"/>
  <c r="U59" i="4" s="1"/>
  <c r="R59" i="4"/>
  <c r="Q37" i="4"/>
  <c r="U37" i="4" s="1"/>
  <c r="R37" i="4"/>
  <c r="Q32" i="4"/>
  <c r="U32" i="4" s="1"/>
  <c r="R32" i="4"/>
  <c r="Q20" i="4"/>
  <c r="U20" i="4" s="1"/>
  <c r="R20" i="4"/>
  <c r="Q23" i="4"/>
  <c r="U23" i="4" s="1"/>
  <c r="R23" i="4"/>
  <c r="Q60" i="4"/>
  <c r="U60" i="4" s="1"/>
  <c r="R60" i="4"/>
  <c r="Q58" i="4"/>
  <c r="U58" i="4" s="1"/>
  <c r="R58" i="4"/>
  <c r="Q46" i="4"/>
  <c r="U46" i="4" s="1"/>
  <c r="R46" i="4"/>
  <c r="Q68" i="4"/>
  <c r="U68" i="4" s="1"/>
  <c r="R68" i="4"/>
  <c r="Q61" i="4"/>
  <c r="U61" i="4" s="1"/>
  <c r="R61" i="4"/>
  <c r="R50" i="4"/>
  <c r="Q50" i="4"/>
  <c r="U50" i="4" s="1"/>
  <c r="R36" i="4"/>
  <c r="Q36" i="4"/>
  <c r="U36" i="4" s="1"/>
  <c r="Q47" i="4"/>
  <c r="U47" i="4" s="1"/>
  <c r="R47" i="4"/>
  <c r="Q34" i="4"/>
  <c r="U34" i="4" s="1"/>
  <c r="R34" i="4"/>
  <c r="Q70" i="4"/>
  <c r="U70" i="4" s="1"/>
  <c r="R70" i="4"/>
  <c r="Q29" i="4"/>
  <c r="U29" i="4" s="1"/>
  <c r="R29" i="4"/>
  <c r="R21" i="4"/>
  <c r="Q21" i="4"/>
  <c r="U21" i="4" s="1"/>
  <c r="Q42" i="4"/>
  <c r="U42" i="4" s="1"/>
  <c r="R42" i="4"/>
  <c r="AS47" i="4"/>
  <c r="AR48" i="4"/>
  <c r="Q63" i="4"/>
  <c r="U63" i="4" s="1"/>
  <c r="R63" i="4"/>
  <c r="R39" i="4"/>
  <c r="Q39" i="4"/>
  <c r="U39" i="4" s="1"/>
  <c r="Q33" i="4"/>
  <c r="U33" i="4" s="1"/>
  <c r="R33" i="4"/>
  <c r="Q41" i="4"/>
  <c r="U41" i="4" s="1"/>
  <c r="R41" i="4"/>
  <c r="Q44" i="4"/>
  <c r="U44" i="4" s="1"/>
  <c r="R44" i="4"/>
  <c r="R48" i="4"/>
  <c r="Q48" i="4"/>
  <c r="U48" i="4" s="1"/>
  <c r="Q51" i="4"/>
  <c r="U51" i="4" s="1"/>
  <c r="R51" i="4"/>
  <c r="Q26" i="4"/>
  <c r="U26" i="4" s="1"/>
  <c r="R26" i="4"/>
  <c r="Q55" i="4"/>
  <c r="U55" i="4" s="1"/>
  <c r="R55" i="4"/>
  <c r="Q27" i="4"/>
  <c r="U27" i="4" s="1"/>
  <c r="R27" i="4"/>
  <c r="Q31" i="4"/>
  <c r="U31" i="4" s="1"/>
  <c r="R31" i="4"/>
  <c r="Q30" i="4"/>
  <c r="U30" i="4" s="1"/>
  <c r="R30" i="4"/>
  <c r="AD49" i="4"/>
  <c r="Q49" i="4"/>
  <c r="U49" i="4" s="1"/>
  <c r="R49" i="4"/>
  <c r="R28" i="4"/>
  <c r="Q28" i="4"/>
  <c r="U28" i="4" s="1"/>
  <c r="Q57" i="4"/>
  <c r="U57" i="4" s="1"/>
  <c r="R57" i="4"/>
  <c r="Q45" i="4"/>
  <c r="U45" i="4" s="1"/>
  <c r="R45" i="4"/>
  <c r="Q40" i="4"/>
  <c r="U40" i="4" s="1"/>
  <c r="R40" i="4"/>
  <c r="Q65" i="4"/>
  <c r="U65" i="4" s="1"/>
  <c r="R65" i="4"/>
  <c r="R43" i="4"/>
  <c r="Q43" i="4"/>
  <c r="U43" i="4" s="1"/>
  <c r="R24" i="4"/>
  <c r="Q24" i="4"/>
  <c r="U24" i="4" s="1"/>
  <c r="R35" i="4"/>
  <c r="Q35" i="4"/>
  <c r="U35" i="4" s="1"/>
  <c r="R25" i="4"/>
  <c r="Q25" i="4"/>
  <c r="U25" i="4" s="1"/>
  <c r="Q67" i="4"/>
  <c r="U67" i="4" s="1"/>
  <c r="R67" i="4"/>
  <c r="Q56" i="4"/>
  <c r="U56" i="4" s="1"/>
  <c r="R56" i="4"/>
  <c r="B50" i="4"/>
  <c r="Q19" i="4"/>
  <c r="R19" i="4"/>
  <c r="Q18" i="4"/>
  <c r="R18" i="4"/>
  <c r="Q17" i="4"/>
  <c r="U17" i="4" s="1"/>
  <c r="R17" i="4"/>
  <c r="Q16" i="4"/>
  <c r="U16" i="4" s="1"/>
  <c r="R16" i="4"/>
  <c r="W49" i="15"/>
  <c r="W50" i="15"/>
  <c r="W51" i="15"/>
  <c r="W52" i="15"/>
  <c r="W53" i="15"/>
  <c r="W54" i="15"/>
  <c r="W55" i="15"/>
  <c r="W48" i="15"/>
  <c r="V49" i="15"/>
  <c r="V50" i="15"/>
  <c r="V51" i="15"/>
  <c r="V52" i="15"/>
  <c r="V53" i="15"/>
  <c r="V54" i="15"/>
  <c r="V55" i="15"/>
  <c r="V48" i="15"/>
  <c r="AQ50" i="4" l="1"/>
  <c r="AD50" i="4"/>
  <c r="AS48" i="4"/>
  <c r="AR49" i="4"/>
  <c r="EA9" i="4"/>
  <c r="EA6" i="4"/>
  <c r="EB3" i="4"/>
  <c r="EB8" i="4"/>
  <c r="EB9" i="4"/>
  <c r="EA4" i="4"/>
  <c r="EA10" i="4"/>
  <c r="EB10" i="4"/>
  <c r="EB12" i="4"/>
  <c r="EA8" i="4"/>
  <c r="EB7" i="4"/>
  <c r="EA3" i="4"/>
  <c r="EA5" i="4"/>
  <c r="EA7" i="4"/>
  <c r="EA12" i="4"/>
  <c r="EB6" i="4"/>
  <c r="EB11" i="4"/>
  <c r="EB5" i="4"/>
  <c r="EB4" i="4"/>
  <c r="EA11" i="4"/>
  <c r="B51" i="4"/>
  <c r="U18" i="4"/>
  <c r="U19" i="4"/>
  <c r="AO5" i="5"/>
  <c r="J15" i="5" s="1"/>
  <c r="AD51" i="4" l="1"/>
  <c r="AS49" i="4"/>
  <c r="AR50" i="4"/>
  <c r="EH12" i="4"/>
  <c r="EH11" i="4"/>
  <c r="EH10" i="4"/>
  <c r="EH9" i="4"/>
  <c r="EH8" i="4"/>
  <c r="V37" i="15"/>
  <c r="B52" i="4"/>
  <c r="BE4" i="5"/>
  <c r="AY4" i="5"/>
  <c r="BD4" i="5"/>
  <c r="V36" i="15"/>
  <c r="AZ4" i="5"/>
  <c r="C6" i="15"/>
  <c r="AF7" i="4"/>
  <c r="W2" i="15"/>
  <c r="AS50" i="4" l="1"/>
  <c r="AR51" i="4"/>
  <c r="AD52" i="4"/>
  <c r="B53" i="4"/>
  <c r="BI4" i="5"/>
  <c r="BJ4" i="5"/>
  <c r="AD53" i="4" l="1"/>
  <c r="AS51" i="4"/>
  <c r="AR52" i="4"/>
  <c r="B54" i="4"/>
  <c r="AK43" i="15"/>
  <c r="BK3" i="4"/>
  <c r="AD54" i="4" l="1"/>
  <c r="AS52" i="4"/>
  <c r="AR53" i="4"/>
  <c r="B55" i="4"/>
  <c r="AR54" i="4" l="1"/>
  <c r="AS53" i="4"/>
  <c r="AD55" i="4"/>
  <c r="B56" i="4"/>
  <c r="AD56" i="4" l="1"/>
  <c r="AS54" i="4"/>
  <c r="AR55" i="4"/>
  <c r="B57" i="4"/>
  <c r="EH7" i="4"/>
  <c r="EH4" i="4"/>
  <c r="EH5" i="4"/>
  <c r="V38" i="15"/>
  <c r="AE3" i="4"/>
  <c r="AE2" i="4"/>
  <c r="BB4" i="5"/>
  <c r="Q6" i="5" s="1"/>
  <c r="AY6" i="5"/>
  <c r="AE4" i="5" s="1"/>
  <c r="BA4" i="5"/>
  <c r="Q5" i="5" s="1"/>
  <c r="AD57" i="4" l="1"/>
  <c r="AS55" i="4"/>
  <c r="AR56" i="4"/>
  <c r="B58" i="4"/>
  <c r="AE1" i="4"/>
  <c r="AF3" i="4" s="1"/>
  <c r="EH6" i="4"/>
  <c r="K15" i="5"/>
  <c r="BE6" i="5"/>
  <c r="AZ6" i="5"/>
  <c r="AZ8" i="5"/>
  <c r="BD6" i="5"/>
  <c r="AE5" i="5" s="1"/>
  <c r="BE8" i="5"/>
  <c r="AD58" i="4" l="1"/>
  <c r="AS56" i="4"/>
  <c r="AR57" i="4"/>
  <c r="B59" i="4"/>
  <c r="AF2" i="4"/>
  <c r="AD32" i="15"/>
  <c r="Q15" i="5"/>
  <c r="AD59" i="4" l="1"/>
  <c r="AS57" i="4"/>
  <c r="AR58" i="4"/>
  <c r="B60" i="4"/>
  <c r="AD60" i="4" l="1"/>
  <c r="AR59" i="4"/>
  <c r="AS58" i="4"/>
  <c r="B61" i="4"/>
  <c r="AS59" i="4" l="1"/>
  <c r="AR60" i="4"/>
  <c r="AD61" i="4"/>
  <c r="B62" i="4"/>
  <c r="AD62" i="4" l="1"/>
  <c r="AS60" i="4"/>
  <c r="AR61" i="4"/>
  <c r="B63" i="4"/>
  <c r="BD45" i="15"/>
  <c r="BC45" i="15" s="1"/>
  <c r="BB45" i="15" s="1"/>
  <c r="BA45" i="15" s="1"/>
  <c r="AZ45" i="15" s="1"/>
  <c r="AY45" i="15" s="1"/>
  <c r="AX45" i="15" s="1"/>
  <c r="AW45" i="15" s="1"/>
  <c r="AV45" i="15" s="1"/>
  <c r="AU45" i="15" s="1"/>
  <c r="AT45" i="15" s="1"/>
  <c r="AS45" i="15" s="1"/>
  <c r="AR45" i="15" s="1"/>
  <c r="AQ45" i="15" s="1"/>
  <c r="AP45" i="15" s="1"/>
  <c r="AO45" i="15" s="1"/>
  <c r="AN45" i="15" s="1"/>
  <c r="AM45" i="15" s="1"/>
  <c r="AL45" i="15" s="1"/>
  <c r="AK45" i="15" s="1"/>
  <c r="R55" i="15"/>
  <c r="S55" i="15" s="1"/>
  <c r="AD63" i="4" l="1"/>
  <c r="AS61" i="4"/>
  <c r="AR62" i="4"/>
  <c r="B64" i="4"/>
  <c r="AJ63" i="15"/>
  <c r="AS62" i="4" l="1"/>
  <c r="AR63" i="4"/>
  <c r="AD64" i="4"/>
  <c r="B65" i="4"/>
  <c r="M15" i="8"/>
  <c r="AS63" i="4" l="1"/>
  <c r="AR64" i="4"/>
  <c r="AD65" i="4"/>
  <c r="B66" i="4"/>
  <c r="B5" i="4"/>
  <c r="AD66" i="4" l="1"/>
  <c r="AS64" i="4"/>
  <c r="AR65" i="4"/>
  <c r="B67" i="4"/>
  <c r="W33" i="15"/>
  <c r="X33" i="15" s="1"/>
  <c r="AG43" i="15"/>
  <c r="AH43" i="15" s="1"/>
  <c r="AD67" i="4" l="1"/>
  <c r="AS65" i="4"/>
  <c r="AR66" i="4"/>
  <c r="B68" i="4"/>
  <c r="AI43" i="15"/>
  <c r="AG44" i="15"/>
  <c r="AS66" i="4" l="1"/>
  <c r="AR67" i="4"/>
  <c r="AD68" i="4"/>
  <c r="B69" i="4"/>
  <c r="AH44" i="15"/>
  <c r="AI44" i="15" s="1"/>
  <c r="AG45" i="15"/>
  <c r="AD69" i="4" l="1"/>
  <c r="AS67" i="4"/>
  <c r="AR68" i="4"/>
  <c r="B70" i="4"/>
  <c r="AH45" i="15"/>
  <c r="AI45" i="15" s="1"/>
  <c r="AG46" i="15"/>
  <c r="AD70" i="4" l="1"/>
  <c r="AS68" i="4"/>
  <c r="AR69" i="4"/>
  <c r="B71" i="4"/>
  <c r="AH46" i="15"/>
  <c r="AG47" i="15"/>
  <c r="AG48" i="15" s="1"/>
  <c r="AG49" i="15" s="1"/>
  <c r="AG50" i="15" s="1"/>
  <c r="AG51" i="15" s="1"/>
  <c r="AG52" i="15" s="1"/>
  <c r="AG53" i="15" s="1"/>
  <c r="AG54" i="15" s="1"/>
  <c r="AG55" i="15" s="1"/>
  <c r="AG56" i="15" s="1"/>
  <c r="AG57" i="15" s="1"/>
  <c r="AG58" i="15" s="1"/>
  <c r="AG59" i="15" s="1"/>
  <c r="AG60" i="15" s="1"/>
  <c r="AG61" i="15" s="1"/>
  <c r="AG62" i="15" s="1"/>
  <c r="AD71" i="4" l="1"/>
  <c r="AS69" i="4"/>
  <c r="AR70" i="4"/>
  <c r="B72" i="4"/>
  <c r="AH47" i="15"/>
  <c r="AH48" i="15" s="1"/>
  <c r="AH49" i="15" s="1"/>
  <c r="AH50" i="15" s="1"/>
  <c r="AH51" i="15" s="1"/>
  <c r="AH52" i="15" s="1"/>
  <c r="AH53" i="15" s="1"/>
  <c r="AH54" i="15" s="1"/>
  <c r="AH55" i="15" s="1"/>
  <c r="AH56" i="15" s="1"/>
  <c r="AH57" i="15" s="1"/>
  <c r="AH58" i="15" s="1"/>
  <c r="AH59" i="15" s="1"/>
  <c r="AH60" i="15" s="1"/>
  <c r="AH61" i="15" s="1"/>
  <c r="AH62" i="15" s="1"/>
  <c r="AI46" i="15"/>
  <c r="AG63" i="15"/>
  <c r="AD72" i="4" l="1"/>
  <c r="AT72" i="4"/>
  <c r="AS70" i="4"/>
  <c r="AR71" i="4"/>
  <c r="AR72" i="4" s="1"/>
  <c r="AR73" i="4" s="1"/>
  <c r="AR74" i="4" s="1"/>
  <c r="AT70" i="4"/>
  <c r="AT68" i="4"/>
  <c r="AT64" i="4"/>
  <c r="AT66" i="4"/>
  <c r="B73" i="4"/>
  <c r="AH63" i="15"/>
  <c r="AI47" i="15"/>
  <c r="AI48" i="15"/>
  <c r="AG64" i="15"/>
  <c r="AP66" i="4" l="1"/>
  <c r="AU66" i="4"/>
  <c r="AU64" i="4"/>
  <c r="AP64" i="4"/>
  <c r="AT24" i="4"/>
  <c r="AT20" i="4"/>
  <c r="AT21" i="4"/>
  <c r="AT23" i="4"/>
  <c r="AT22" i="4"/>
  <c r="AT25" i="4"/>
  <c r="AT28" i="4"/>
  <c r="AT27" i="4"/>
  <c r="AT29" i="4"/>
  <c r="AT26" i="4"/>
  <c r="AT32" i="4"/>
  <c r="AT30" i="4"/>
  <c r="AT31" i="4"/>
  <c r="AT33" i="4"/>
  <c r="AT35" i="4"/>
  <c r="AT34" i="4"/>
  <c r="AT36" i="4"/>
  <c r="AT42" i="4"/>
  <c r="AT38" i="4"/>
  <c r="AT37" i="4"/>
  <c r="AT40" i="4"/>
  <c r="AT39" i="4"/>
  <c r="AT41" i="4"/>
  <c r="AT43" i="4"/>
  <c r="AT45" i="4"/>
  <c r="AT44" i="4"/>
  <c r="AT49" i="4"/>
  <c r="AT47" i="4"/>
  <c r="AT46" i="4"/>
  <c r="AT48" i="4"/>
  <c r="AT50" i="4"/>
  <c r="AT51" i="4"/>
  <c r="AT53" i="4"/>
  <c r="AT52" i="4"/>
  <c r="AT54" i="4"/>
  <c r="AT55" i="4"/>
  <c r="AT57" i="4"/>
  <c r="AT58" i="4"/>
  <c r="AT59" i="4"/>
  <c r="AT56" i="4"/>
  <c r="AT60" i="4"/>
  <c r="AT63" i="4"/>
  <c r="AT61" i="4"/>
  <c r="AT62" i="4"/>
  <c r="AT69" i="4"/>
  <c r="AT71" i="4"/>
  <c r="AT65" i="4"/>
  <c r="AT67" i="4"/>
  <c r="AU68" i="4"/>
  <c r="AP68" i="4"/>
  <c r="BH72" i="4"/>
  <c r="AU72" i="4"/>
  <c r="AP72" i="4"/>
  <c r="BG72" i="4"/>
  <c r="BF72" i="4" s="1"/>
  <c r="AD73" i="4"/>
  <c r="AT73" i="4"/>
  <c r="AP70" i="4"/>
  <c r="AU70" i="4"/>
  <c r="B74" i="4"/>
  <c r="AH64" i="15"/>
  <c r="AI49" i="15"/>
  <c r="AG65" i="15"/>
  <c r="AD74" i="4" l="1"/>
  <c r="AT74" i="4"/>
  <c r="AP71" i="4"/>
  <c r="BH71" i="4"/>
  <c r="BG71" i="4"/>
  <c r="BF71" i="4" s="1"/>
  <c r="AU71" i="4"/>
  <c r="AZ68" i="4"/>
  <c r="BB68" i="4"/>
  <c r="BA68" i="4" s="1"/>
  <c r="AP73" i="4"/>
  <c r="BH73" i="4"/>
  <c r="BG73" i="4"/>
  <c r="BF73" i="4" s="1"/>
  <c r="AU73" i="4"/>
  <c r="AZ72" i="4"/>
  <c r="BB72" i="4"/>
  <c r="BA72" i="4" s="1"/>
  <c r="AP67" i="4"/>
  <c r="AU67" i="4"/>
  <c r="AP62" i="4"/>
  <c r="AU62" i="4"/>
  <c r="AP56" i="4"/>
  <c r="AU56" i="4"/>
  <c r="AU55" i="4"/>
  <c r="AP55" i="4"/>
  <c r="AP51" i="4"/>
  <c r="AU51" i="4"/>
  <c r="AP47" i="4"/>
  <c r="AU47" i="4"/>
  <c r="AU43" i="4"/>
  <c r="AP43" i="4"/>
  <c r="AP37" i="4"/>
  <c r="AU37" i="4"/>
  <c r="AP34" i="4"/>
  <c r="AU34" i="4"/>
  <c r="AP30" i="4"/>
  <c r="AU30" i="4"/>
  <c r="AP27" i="4"/>
  <c r="AU27" i="4"/>
  <c r="AU23" i="4"/>
  <c r="AP23" i="4"/>
  <c r="AU65" i="4"/>
  <c r="AP65" i="4"/>
  <c r="AU61" i="4"/>
  <c r="AP61" i="4"/>
  <c r="AP59" i="4"/>
  <c r="AU59" i="4"/>
  <c r="AU54" i="4"/>
  <c r="AP54" i="4"/>
  <c r="AU50" i="4"/>
  <c r="AP50" i="4"/>
  <c r="AU49" i="4"/>
  <c r="AP49" i="4"/>
  <c r="AU41" i="4"/>
  <c r="AP41" i="4"/>
  <c r="AP38" i="4"/>
  <c r="AU38" i="4"/>
  <c r="AU35" i="4"/>
  <c r="AP35" i="4"/>
  <c r="AP32" i="4"/>
  <c r="AU32" i="4"/>
  <c r="AU28" i="4"/>
  <c r="AP28" i="4"/>
  <c r="AU21" i="4"/>
  <c r="AP21" i="4"/>
  <c r="BB64" i="4"/>
  <c r="BA64" i="4" s="1"/>
  <c r="AZ64" i="4"/>
  <c r="AU63" i="4"/>
  <c r="AP63" i="4"/>
  <c r="AP58" i="4"/>
  <c r="AU58" i="4"/>
  <c r="AP52" i="4"/>
  <c r="AU52" i="4"/>
  <c r="AP48" i="4"/>
  <c r="AU48" i="4"/>
  <c r="AP44" i="4"/>
  <c r="AU44" i="4"/>
  <c r="AP39" i="4"/>
  <c r="AU39" i="4"/>
  <c r="AU42" i="4"/>
  <c r="AP42" i="4"/>
  <c r="AP33" i="4"/>
  <c r="AU33" i="4"/>
  <c r="AP26" i="4"/>
  <c r="AU26" i="4"/>
  <c r="AU25" i="4"/>
  <c r="AP25" i="4"/>
  <c r="AU20" i="4"/>
  <c r="AP20" i="4"/>
  <c r="BB66" i="4"/>
  <c r="BA66" i="4" s="1"/>
  <c r="AZ66" i="4"/>
  <c r="AZ70" i="4"/>
  <c r="BB70" i="4"/>
  <c r="BA70" i="4" s="1"/>
  <c r="AU69" i="4"/>
  <c r="AP69" i="4"/>
  <c r="AP60" i="4"/>
  <c r="AU60" i="4"/>
  <c r="AU57" i="4"/>
  <c r="AP57" i="4"/>
  <c r="AU53" i="4"/>
  <c r="AP53" i="4"/>
  <c r="AP46" i="4"/>
  <c r="AU46" i="4"/>
  <c r="AU45" i="4"/>
  <c r="AP45" i="4"/>
  <c r="AU40" i="4"/>
  <c r="AP40" i="4"/>
  <c r="AU36" i="4"/>
  <c r="AP36" i="4"/>
  <c r="AP31" i="4"/>
  <c r="AU31" i="4"/>
  <c r="AP29" i="4"/>
  <c r="AU29" i="4"/>
  <c r="AU22" i="4"/>
  <c r="AP22" i="4"/>
  <c r="AP24" i="4"/>
  <c r="AU24" i="4"/>
  <c r="AH65" i="15"/>
  <c r="AI50" i="15"/>
  <c r="AG66" i="15"/>
  <c r="AZ31" i="4" l="1"/>
  <c r="BB31" i="4"/>
  <c r="BA31" i="4" s="1"/>
  <c r="AZ58" i="4"/>
  <c r="BB58" i="4"/>
  <c r="BA58" i="4" s="1"/>
  <c r="AZ59" i="4"/>
  <c r="BB59" i="4"/>
  <c r="BA59" i="4" s="1"/>
  <c r="AZ27" i="4"/>
  <c r="BB27" i="4"/>
  <c r="BA27" i="4" s="1"/>
  <c r="AZ34" i="4"/>
  <c r="BB34" i="4"/>
  <c r="BA34" i="4" s="1"/>
  <c r="BB51" i="4"/>
  <c r="BA51" i="4" s="1"/>
  <c r="AZ51" i="4"/>
  <c r="AZ56" i="4"/>
  <c r="BB56" i="4"/>
  <c r="BA56" i="4" s="1"/>
  <c r="AZ67" i="4"/>
  <c r="BB67" i="4"/>
  <c r="BA67" i="4" s="1"/>
  <c r="AZ73" i="4"/>
  <c r="BB73" i="4"/>
  <c r="BA73" i="4" s="1"/>
  <c r="AZ48" i="4"/>
  <c r="BB48" i="4"/>
  <c r="BA48" i="4" s="1"/>
  <c r="BB22" i="4"/>
  <c r="BA22" i="4" s="1"/>
  <c r="AZ22" i="4"/>
  <c r="AZ40" i="4"/>
  <c r="BB40" i="4"/>
  <c r="BA40" i="4" s="1"/>
  <c r="AZ57" i="4"/>
  <c r="BB57" i="4"/>
  <c r="BA57" i="4" s="1"/>
  <c r="BB69" i="4"/>
  <c r="BA69" i="4" s="1"/>
  <c r="AZ69" i="4"/>
  <c r="AZ25" i="4"/>
  <c r="BB25" i="4"/>
  <c r="BA25" i="4" s="1"/>
  <c r="AZ28" i="4"/>
  <c r="BB28" i="4"/>
  <c r="BA28" i="4" s="1"/>
  <c r="AZ35" i="4"/>
  <c r="BB35" i="4"/>
  <c r="BA35" i="4" s="1"/>
  <c r="AZ41" i="4"/>
  <c r="BB41" i="4"/>
  <c r="BA41" i="4" s="1"/>
  <c r="AZ50" i="4"/>
  <c r="BB50" i="4"/>
  <c r="BA50" i="4" s="1"/>
  <c r="BB65" i="4"/>
  <c r="BA65" i="4" s="1"/>
  <c r="AZ65" i="4"/>
  <c r="AZ43" i="4"/>
  <c r="BB43" i="4"/>
  <c r="BA43" i="4" s="1"/>
  <c r="BD68" i="4"/>
  <c r="BE68" i="4" s="1"/>
  <c r="BC68" i="4"/>
  <c r="AZ33" i="4"/>
  <c r="BB33" i="4"/>
  <c r="BA33" i="4" s="1"/>
  <c r="BB24" i="4"/>
  <c r="BA24" i="4" s="1"/>
  <c r="AZ24" i="4"/>
  <c r="AZ60" i="4"/>
  <c r="BB60" i="4"/>
  <c r="BA60" i="4" s="1"/>
  <c r="BB26" i="4"/>
  <c r="BA26" i="4" s="1"/>
  <c r="AZ26" i="4"/>
  <c r="AZ44" i="4"/>
  <c r="BB44" i="4"/>
  <c r="BA44" i="4" s="1"/>
  <c r="BB52" i="4"/>
  <c r="BA52" i="4" s="1"/>
  <c r="AZ52" i="4"/>
  <c r="AZ32" i="4"/>
  <c r="BB32" i="4"/>
  <c r="BA32" i="4" s="1"/>
  <c r="BB38" i="4"/>
  <c r="BA38" i="4" s="1"/>
  <c r="AZ38" i="4"/>
  <c r="BB30" i="4"/>
  <c r="BA30" i="4" s="1"/>
  <c r="AZ30" i="4"/>
  <c r="AZ37" i="4"/>
  <c r="BB37" i="4"/>
  <c r="BA37" i="4" s="1"/>
  <c r="BB47" i="4"/>
  <c r="BA47" i="4" s="1"/>
  <c r="AZ47" i="4"/>
  <c r="AZ62" i="4"/>
  <c r="BB62" i="4"/>
  <c r="BA62" i="4" s="1"/>
  <c r="BB71" i="4"/>
  <c r="BA71" i="4" s="1"/>
  <c r="AZ71" i="4"/>
  <c r="BH74" i="4"/>
  <c r="BG74" i="4"/>
  <c r="BF74" i="4" s="1"/>
  <c r="AU74" i="4"/>
  <c r="AP74" i="4"/>
  <c r="BB46" i="4"/>
  <c r="BA46" i="4" s="1"/>
  <c r="AZ46" i="4"/>
  <c r="BD66" i="4"/>
  <c r="BE66" i="4" s="1"/>
  <c r="BC66" i="4"/>
  <c r="BB39" i="4"/>
  <c r="BA39" i="4" s="1"/>
  <c r="AZ39" i="4"/>
  <c r="BD64" i="4"/>
  <c r="BE64" i="4" s="1"/>
  <c r="BC64" i="4"/>
  <c r="BB29" i="4"/>
  <c r="BA29" i="4" s="1"/>
  <c r="AZ29" i="4"/>
  <c r="BB36" i="4"/>
  <c r="BA36" i="4" s="1"/>
  <c r="AZ36" i="4"/>
  <c r="BB45" i="4"/>
  <c r="BA45" i="4" s="1"/>
  <c r="AZ45" i="4"/>
  <c r="AZ53" i="4"/>
  <c r="BB53" i="4"/>
  <c r="BA53" i="4" s="1"/>
  <c r="BC70" i="4"/>
  <c r="BD70" i="4"/>
  <c r="BE70" i="4" s="1"/>
  <c r="AZ20" i="4"/>
  <c r="BB20" i="4"/>
  <c r="BA20" i="4" s="1"/>
  <c r="AZ42" i="4"/>
  <c r="BB42" i="4"/>
  <c r="BA42" i="4" s="1"/>
  <c r="AZ63" i="4"/>
  <c r="BB63" i="4"/>
  <c r="BA63" i="4" s="1"/>
  <c r="AZ21" i="4"/>
  <c r="BB21" i="4"/>
  <c r="BA21" i="4" s="1"/>
  <c r="AZ49" i="4"/>
  <c r="BB49" i="4"/>
  <c r="BA49" i="4" s="1"/>
  <c r="AZ54" i="4"/>
  <c r="BB54" i="4"/>
  <c r="BA54" i="4" s="1"/>
  <c r="AZ61" i="4"/>
  <c r="BB61" i="4"/>
  <c r="BA61" i="4" s="1"/>
  <c r="BB23" i="4"/>
  <c r="BA23" i="4" s="1"/>
  <c r="AZ23" i="4"/>
  <c r="AZ55" i="4"/>
  <c r="BB55" i="4"/>
  <c r="BA55" i="4" s="1"/>
  <c r="BD72" i="4"/>
  <c r="BE72" i="4" s="1"/>
  <c r="BM72" i="4"/>
  <c r="BO72" i="4"/>
  <c r="BC72" i="4"/>
  <c r="BK72" i="4" s="1"/>
  <c r="BI72" i="4"/>
  <c r="AH66" i="15"/>
  <c r="AI51" i="15"/>
  <c r="AG67" i="15"/>
  <c r="BK64" i="4" l="1"/>
  <c r="BC36" i="4"/>
  <c r="BD36" i="4"/>
  <c r="BE36" i="4" s="1"/>
  <c r="BB74" i="4"/>
  <c r="BA74" i="4" s="1"/>
  <c r="AZ74" i="4"/>
  <c r="BC65" i="4"/>
  <c r="BD65" i="4"/>
  <c r="BE65" i="4" s="1"/>
  <c r="BD69" i="4"/>
  <c r="BE69" i="4" s="1"/>
  <c r="BC69" i="4"/>
  <c r="BC57" i="4"/>
  <c r="BD57" i="4"/>
  <c r="BE57" i="4" s="1"/>
  <c r="BC22" i="4"/>
  <c r="BD22" i="4"/>
  <c r="BE22" i="4" s="1"/>
  <c r="BD23" i="4"/>
  <c r="BE23" i="4" s="1"/>
  <c r="BC23" i="4"/>
  <c r="BD61" i="4"/>
  <c r="BE61" i="4" s="1"/>
  <c r="BC61" i="4"/>
  <c r="BD49" i="4"/>
  <c r="BE49" i="4" s="1"/>
  <c r="BC49" i="4"/>
  <c r="BK49" i="4" s="1"/>
  <c r="BM49" i="4" s="1"/>
  <c r="BD63" i="4"/>
  <c r="BE63" i="4" s="1"/>
  <c r="BC63" i="4"/>
  <c r="BD53" i="4"/>
  <c r="BE53" i="4" s="1"/>
  <c r="BC53" i="4"/>
  <c r="BN64" i="4"/>
  <c r="BO64" i="4" s="1"/>
  <c r="BC46" i="4"/>
  <c r="BD46" i="4"/>
  <c r="BE46" i="4" s="1"/>
  <c r="BC38" i="4"/>
  <c r="BD38" i="4"/>
  <c r="BE38" i="4" s="1"/>
  <c r="BC32" i="4"/>
  <c r="BD32" i="4"/>
  <c r="BE32" i="4" s="1"/>
  <c r="BC41" i="4"/>
  <c r="BD41" i="4"/>
  <c r="BE41" i="4" s="1"/>
  <c r="BD28" i="4"/>
  <c r="BE28" i="4" s="1"/>
  <c r="BC28" i="4"/>
  <c r="BI73" i="4"/>
  <c r="BD73" i="4"/>
  <c r="BE73" i="4" s="1"/>
  <c r="BM73" i="4"/>
  <c r="BO73" i="4"/>
  <c r="BC73" i="4"/>
  <c r="BK73" i="4" s="1"/>
  <c r="BC56" i="4"/>
  <c r="BK56" i="4" s="1"/>
  <c r="BN56" i="4" s="1"/>
  <c r="BD56" i="4"/>
  <c r="BE56" i="4" s="1"/>
  <c r="BD27" i="4"/>
  <c r="BE27" i="4" s="1"/>
  <c r="BC27" i="4"/>
  <c r="BK27" i="4" s="1"/>
  <c r="BC58" i="4"/>
  <c r="BD58" i="4"/>
  <c r="BE58" i="4" s="1"/>
  <c r="BD20" i="4"/>
  <c r="BE20" i="4" s="1"/>
  <c r="BC20" i="4"/>
  <c r="BK20" i="4" s="1"/>
  <c r="BN20" i="4" s="1"/>
  <c r="BO20" i="4" s="1"/>
  <c r="BK70" i="4"/>
  <c r="BD45" i="4"/>
  <c r="BE45" i="4" s="1"/>
  <c r="BC45" i="4"/>
  <c r="BC29" i="4"/>
  <c r="BD29" i="4"/>
  <c r="BE29" i="4" s="1"/>
  <c r="BD62" i="4"/>
  <c r="BE62" i="4" s="1"/>
  <c r="BC62" i="4"/>
  <c r="BC37" i="4"/>
  <c r="BD37" i="4"/>
  <c r="BE37" i="4" s="1"/>
  <c r="BD52" i="4"/>
  <c r="BE52" i="4" s="1"/>
  <c r="BC52" i="4"/>
  <c r="BC44" i="4"/>
  <c r="BD44" i="4"/>
  <c r="BE44" i="4" s="1"/>
  <c r="BD60" i="4"/>
  <c r="BE60" i="4" s="1"/>
  <c r="BC60" i="4"/>
  <c r="BD33" i="4"/>
  <c r="BE33" i="4" s="1"/>
  <c r="BC33" i="4"/>
  <c r="BC43" i="4"/>
  <c r="BD43" i="4"/>
  <c r="BE43" i="4" s="1"/>
  <c r="BD40" i="4"/>
  <c r="BE40" i="4" s="1"/>
  <c r="BC40" i="4"/>
  <c r="BK40" i="4" s="1"/>
  <c r="BN40" i="4" s="1"/>
  <c r="BO40" i="4" s="1"/>
  <c r="BD51" i="4"/>
  <c r="BE51" i="4" s="1"/>
  <c r="BC51" i="4"/>
  <c r="BD55" i="4"/>
  <c r="BE55" i="4" s="1"/>
  <c r="BC55" i="4"/>
  <c r="BL72" i="4"/>
  <c r="BN72" i="4"/>
  <c r="BD54" i="4"/>
  <c r="BE54" i="4" s="1"/>
  <c r="BC54" i="4"/>
  <c r="BD21" i="4"/>
  <c r="BE21" i="4" s="1"/>
  <c r="BC21" i="4"/>
  <c r="BD42" i="4"/>
  <c r="BE42" i="4" s="1"/>
  <c r="BC42" i="4"/>
  <c r="BC39" i="4"/>
  <c r="BD39" i="4"/>
  <c r="BE39" i="4" s="1"/>
  <c r="BK66" i="4"/>
  <c r="BD71" i="4"/>
  <c r="BE71" i="4" s="1"/>
  <c r="BC71" i="4"/>
  <c r="BK71" i="4" s="1"/>
  <c r="BM71" i="4"/>
  <c r="BI71" i="4"/>
  <c r="BO71" i="4"/>
  <c r="BD47" i="4"/>
  <c r="BE47" i="4" s="1"/>
  <c r="BC47" i="4"/>
  <c r="BC30" i="4"/>
  <c r="BD30" i="4"/>
  <c r="BE30" i="4" s="1"/>
  <c r="BC26" i="4"/>
  <c r="BD26" i="4"/>
  <c r="BE26" i="4" s="1"/>
  <c r="BD24" i="4"/>
  <c r="BE24" i="4" s="1"/>
  <c r="BC24" i="4"/>
  <c r="BK68" i="4"/>
  <c r="BN68" i="4" s="1"/>
  <c r="BO68" i="4" s="1"/>
  <c r="BC50" i="4"/>
  <c r="BD50" i="4"/>
  <c r="BE50" i="4" s="1"/>
  <c r="BC35" i="4"/>
  <c r="BD35" i="4"/>
  <c r="BE35" i="4" s="1"/>
  <c r="BD25" i="4"/>
  <c r="BE25" i="4" s="1"/>
  <c r="BC25" i="4"/>
  <c r="BK25" i="4" s="1"/>
  <c r="BM25" i="4" s="1"/>
  <c r="BC48" i="4"/>
  <c r="BD48" i="4"/>
  <c r="BE48" i="4" s="1"/>
  <c r="BD67" i="4"/>
  <c r="BE67" i="4" s="1"/>
  <c r="BC67" i="4"/>
  <c r="BK67" i="4" s="1"/>
  <c r="BN67" i="4" s="1"/>
  <c r="BO67" i="4" s="1"/>
  <c r="BD34" i="4"/>
  <c r="BE34" i="4" s="1"/>
  <c r="BC34" i="4"/>
  <c r="BC59" i="4"/>
  <c r="BD59" i="4"/>
  <c r="BE59" i="4" s="1"/>
  <c r="BC31" i="4"/>
  <c r="BD31" i="4"/>
  <c r="BE31" i="4" s="1"/>
  <c r="AH67" i="15"/>
  <c r="AI52" i="15"/>
  <c r="AG68" i="15"/>
  <c r="AG69" i="15" s="1"/>
  <c r="AG70" i="15" s="1"/>
  <c r="AG71" i="15" s="1"/>
  <c r="AG72" i="15" s="1"/>
  <c r="AG73" i="15" s="1"/>
  <c r="AG74" i="15" s="1"/>
  <c r="AG75" i="15" s="1"/>
  <c r="AG76" i="15" s="1"/>
  <c r="AG77" i="15" s="1"/>
  <c r="AG78" i="15" s="1"/>
  <c r="AG79" i="15" s="1"/>
  <c r="AG80" i="15" s="1"/>
  <c r="AG81" i="15" s="1"/>
  <c r="AG82" i="15" s="1"/>
  <c r="AG83" i="15" s="1"/>
  <c r="AG84" i="15" s="1"/>
  <c r="BK32" i="4" l="1"/>
  <c r="BK46" i="4"/>
  <c r="BK59" i="4"/>
  <c r="BN59" i="4" s="1"/>
  <c r="BK21" i="4"/>
  <c r="BM21" i="4" s="1"/>
  <c r="BK57" i="4"/>
  <c r="BM57" i="4" s="1"/>
  <c r="BK50" i="4"/>
  <c r="BK55" i="4"/>
  <c r="BN55" i="4" s="1"/>
  <c r="BO55" i="4" s="1"/>
  <c r="BK63" i="4"/>
  <c r="BK35" i="4"/>
  <c r="BN35" i="4" s="1"/>
  <c r="BK26" i="4"/>
  <c r="BM26" i="4" s="1"/>
  <c r="BK41" i="4"/>
  <c r="BK38" i="4"/>
  <c r="BL38" i="4" s="1"/>
  <c r="BK22" i="4"/>
  <c r="BM22" i="4" s="1"/>
  <c r="BK42" i="4"/>
  <c r="BM42" i="4" s="1"/>
  <c r="BK54" i="4"/>
  <c r="BM54" i="4" s="1"/>
  <c r="BM55" i="4" s="1"/>
  <c r="BM56" i="4" s="1"/>
  <c r="BK51" i="4"/>
  <c r="BN51" i="4" s="1"/>
  <c r="BO51" i="4" s="1"/>
  <c r="BK60" i="4"/>
  <c r="BK52" i="4"/>
  <c r="BN52" i="4" s="1"/>
  <c r="BK62" i="4"/>
  <c r="BK45" i="4"/>
  <c r="BN45" i="4" s="1"/>
  <c r="BO45" i="4" s="1"/>
  <c r="BK69" i="4"/>
  <c r="BK65" i="4"/>
  <c r="BK36" i="4"/>
  <c r="BO59" i="4"/>
  <c r="BO35" i="4"/>
  <c r="BL50" i="4"/>
  <c r="BL26" i="4"/>
  <c r="BK47" i="4"/>
  <c r="BN47" i="4" s="1"/>
  <c r="BO47" i="4" s="1"/>
  <c r="BL70" i="4"/>
  <c r="BM70" i="4"/>
  <c r="BL27" i="4"/>
  <c r="BK28" i="4"/>
  <c r="BK53" i="4"/>
  <c r="BN53" i="4" s="1"/>
  <c r="BO53" i="4" s="1"/>
  <c r="BM74" i="4"/>
  <c r="BI74" i="4"/>
  <c r="BD74" i="4"/>
  <c r="BE74" i="4" s="1"/>
  <c r="BC74" i="4"/>
  <c r="BK74" i="4" s="1"/>
  <c r="BO74" i="4"/>
  <c r="BL25" i="4"/>
  <c r="BN71" i="4"/>
  <c r="BL71" i="4"/>
  <c r="BL42" i="4"/>
  <c r="BN21" i="4"/>
  <c r="BL54" i="4"/>
  <c r="BL55" i="4" s="1"/>
  <c r="BL56" i="4" s="1"/>
  <c r="BQ56" i="4" s="1"/>
  <c r="BN54" i="4"/>
  <c r="BK43" i="4"/>
  <c r="BN60" i="4"/>
  <c r="BK37" i="4"/>
  <c r="BK29" i="4"/>
  <c r="BK58" i="4"/>
  <c r="BN73" i="4"/>
  <c r="BL73" i="4"/>
  <c r="BL41" i="4"/>
  <c r="BN41" i="4"/>
  <c r="BN42" i="4" s="1"/>
  <c r="BL32" i="4"/>
  <c r="BL46" i="4"/>
  <c r="BL49" i="4"/>
  <c r="BK31" i="4"/>
  <c r="BN31" i="4" s="1"/>
  <c r="BO31" i="4" s="1"/>
  <c r="BK48" i="4"/>
  <c r="BM50" i="4"/>
  <c r="BK39" i="4"/>
  <c r="BK44" i="4"/>
  <c r="BO56" i="4"/>
  <c r="BN69" i="4"/>
  <c r="BK34" i="4"/>
  <c r="BK24" i="4"/>
  <c r="BK30" i="4"/>
  <c r="BN30" i="4" s="1"/>
  <c r="BQ72" i="4"/>
  <c r="BK33" i="4"/>
  <c r="BO52" i="4"/>
  <c r="BM27" i="4"/>
  <c r="BM41" i="4"/>
  <c r="BM32" i="4"/>
  <c r="BM46" i="4"/>
  <c r="BM47" i="4" s="1"/>
  <c r="BK61" i="4"/>
  <c r="BK23" i="4"/>
  <c r="BL22" i="4"/>
  <c r="BN22" i="4"/>
  <c r="BQ22" i="4" s="1"/>
  <c r="BL57" i="4"/>
  <c r="BL58" i="4" s="1"/>
  <c r="BL59" i="4" s="1"/>
  <c r="BQ59" i="4" s="1"/>
  <c r="BN57" i="4"/>
  <c r="BN65" i="4"/>
  <c r="BN66" i="4" s="1"/>
  <c r="BN36" i="4"/>
  <c r="AH68" i="15"/>
  <c r="AH69" i="15" s="1"/>
  <c r="AH70" i="15" s="1"/>
  <c r="AH71" i="15" s="1"/>
  <c r="AH72" i="15" s="1"/>
  <c r="AH73" i="15" s="1"/>
  <c r="AH74" i="15" s="1"/>
  <c r="AH75" i="15" s="1"/>
  <c r="AH76" i="15" s="1"/>
  <c r="AH77" i="15" s="1"/>
  <c r="AH78" i="15" s="1"/>
  <c r="AH79" i="15" s="1"/>
  <c r="AH80" i="15" s="1"/>
  <c r="AH81" i="15" s="1"/>
  <c r="AH82" i="15" s="1"/>
  <c r="AH83" i="15" s="1"/>
  <c r="AH84" i="15" s="1"/>
  <c r="AI53" i="15"/>
  <c r="AG85" i="15"/>
  <c r="BQ55" i="4" l="1"/>
  <c r="BM51" i="4"/>
  <c r="BM52" i="4" s="1"/>
  <c r="BM53" i="4" s="1"/>
  <c r="BL47" i="4"/>
  <c r="BQ47" i="4" s="1"/>
  <c r="BL21" i="4"/>
  <c r="BM38" i="4"/>
  <c r="BN46" i="4"/>
  <c r="BL51" i="4"/>
  <c r="BL52" i="4" s="1"/>
  <c r="BQ52" i="4" s="1"/>
  <c r="BQ51" i="4"/>
  <c r="BN58" i="4"/>
  <c r="BQ58" i="4" s="1"/>
  <c r="BQ71" i="4"/>
  <c r="BM69" i="4"/>
  <c r="BM58" i="4"/>
  <c r="BM59" i="4" s="1"/>
  <c r="BM60" i="4" s="1"/>
  <c r="BN32" i="4"/>
  <c r="BN33" i="4" s="1"/>
  <c r="BQ73" i="4"/>
  <c r="BQ57" i="4"/>
  <c r="BO57" i="4"/>
  <c r="BN23" i="4"/>
  <c r="BN24" i="4" s="1"/>
  <c r="BL23" i="4"/>
  <c r="BM23" i="4"/>
  <c r="BL34" i="4"/>
  <c r="BL35" i="4" s="1"/>
  <c r="BM34" i="4"/>
  <c r="BM35" i="4" s="1"/>
  <c r="BM36" i="4" s="1"/>
  <c r="BM37" i="4" s="1"/>
  <c r="BN37" i="4"/>
  <c r="BL74" i="4"/>
  <c r="BN74" i="4"/>
  <c r="BN61" i="4"/>
  <c r="BN39" i="4"/>
  <c r="BL39" i="4"/>
  <c r="BL40" i="4" s="1"/>
  <c r="BQ40" i="4" s="1"/>
  <c r="BM61" i="4"/>
  <c r="BM62" i="4" s="1"/>
  <c r="BM63" i="4" s="1"/>
  <c r="BM64" i="4" s="1"/>
  <c r="BM65" i="4" s="1"/>
  <c r="BM66" i="4" s="1"/>
  <c r="BM67" i="4" s="1"/>
  <c r="BM68" i="4" s="1"/>
  <c r="BQ46" i="4"/>
  <c r="BO46" i="4"/>
  <c r="BL60" i="4"/>
  <c r="BL61" i="4" s="1"/>
  <c r="BL62" i="4" s="1"/>
  <c r="BL63" i="4" s="1"/>
  <c r="BL64" i="4" s="1"/>
  <c r="BQ54" i="4"/>
  <c r="BO54" i="4"/>
  <c r="BQ42" i="4"/>
  <c r="BL28" i="4"/>
  <c r="BL29" i="4" s="1"/>
  <c r="BL30" i="4" s="1"/>
  <c r="BL31" i="4" s="1"/>
  <c r="BQ31" i="4" s="1"/>
  <c r="BM28" i="4"/>
  <c r="BM29" i="4" s="1"/>
  <c r="BM30" i="4" s="1"/>
  <c r="BM31" i="4" s="1"/>
  <c r="BO36" i="4"/>
  <c r="BM33" i="4"/>
  <c r="BL33" i="4"/>
  <c r="BO65" i="4"/>
  <c r="BO66" i="4" s="1"/>
  <c r="BO30" i="4"/>
  <c r="BO69" i="4"/>
  <c r="BQ41" i="4"/>
  <c r="BO41" i="4"/>
  <c r="BO42" i="4" s="1"/>
  <c r="BO58" i="4"/>
  <c r="BO60" i="4"/>
  <c r="BN70" i="4"/>
  <c r="BM39" i="4"/>
  <c r="BM40" i="4" s="1"/>
  <c r="BL24" i="4"/>
  <c r="BM24" i="4"/>
  <c r="BL44" i="4"/>
  <c r="BL45" i="4" s="1"/>
  <c r="BQ45" i="4" s="1"/>
  <c r="BM44" i="4"/>
  <c r="BM45" i="4" s="1"/>
  <c r="BM48" i="4"/>
  <c r="BL48" i="4"/>
  <c r="BN48" i="4"/>
  <c r="BN29" i="4"/>
  <c r="BL43" i="4"/>
  <c r="BN43" i="4"/>
  <c r="BM43" i="4"/>
  <c r="BQ21" i="4"/>
  <c r="BO21" i="4"/>
  <c r="BO22" i="4" s="1"/>
  <c r="BL53" i="4"/>
  <c r="BQ53" i="4" s="1"/>
  <c r="AH85" i="15"/>
  <c r="AI54" i="15"/>
  <c r="AG86" i="15"/>
  <c r="BO32" i="4" l="1"/>
  <c r="BQ60" i="4"/>
  <c r="BQ32" i="4"/>
  <c r="BQ64" i="4"/>
  <c r="BL65" i="4"/>
  <c r="BQ61" i="4"/>
  <c r="BQ74" i="4"/>
  <c r="BO61" i="4"/>
  <c r="BN62" i="4"/>
  <c r="BN63" i="4" s="1"/>
  <c r="BQ35" i="4"/>
  <c r="BL36" i="4"/>
  <c r="BQ29" i="4"/>
  <c r="BO29" i="4"/>
  <c r="BQ70" i="4"/>
  <c r="BO70" i="4"/>
  <c r="BQ39" i="4"/>
  <c r="BO39" i="4"/>
  <c r="BO37" i="4"/>
  <c r="BN38" i="4"/>
  <c r="BQ23" i="4"/>
  <c r="BO23" i="4"/>
  <c r="BO24" i="4" s="1"/>
  <c r="BQ24" i="4"/>
  <c r="BN25" i="4"/>
  <c r="BQ33" i="4"/>
  <c r="BO33" i="4"/>
  <c r="BQ43" i="4"/>
  <c r="BO43" i="4"/>
  <c r="BQ48" i="4"/>
  <c r="BO48" i="4"/>
  <c r="BN49" i="4"/>
  <c r="BN44" i="4"/>
  <c r="BQ30" i="4"/>
  <c r="BN34" i="4"/>
  <c r="AH86" i="15"/>
  <c r="AI55" i="15"/>
  <c r="AG87" i="15"/>
  <c r="BQ63" i="4" l="1"/>
  <c r="BL66" i="4"/>
  <c r="BQ65" i="4"/>
  <c r="BQ25" i="4"/>
  <c r="BO25" i="4"/>
  <c r="BN26" i="4"/>
  <c r="BQ38" i="4"/>
  <c r="BO38" i="4"/>
  <c r="BQ36" i="4"/>
  <c r="BL37" i="4"/>
  <c r="BQ37" i="4" s="1"/>
  <c r="BQ44" i="4"/>
  <c r="BO44" i="4"/>
  <c r="BQ49" i="4"/>
  <c r="BN50" i="4"/>
  <c r="BQ34" i="4"/>
  <c r="BO34" i="4"/>
  <c r="BQ62" i="4"/>
  <c r="BO62" i="4"/>
  <c r="BO63" i="4" s="1"/>
  <c r="BO49" i="4"/>
  <c r="AH87" i="15"/>
  <c r="AI56" i="15"/>
  <c r="AG88" i="15"/>
  <c r="BL67" i="4" l="1"/>
  <c r="BQ66" i="4"/>
  <c r="BQ50" i="4"/>
  <c r="BO50" i="4"/>
  <c r="BQ26" i="4"/>
  <c r="BO26" i="4"/>
  <c r="BN27" i="4"/>
  <c r="AH88" i="15"/>
  <c r="AI57" i="15"/>
  <c r="AG89" i="15"/>
  <c r="BL68" i="4" l="1"/>
  <c r="BQ67" i="4"/>
  <c r="BQ27" i="4"/>
  <c r="BO27" i="4"/>
  <c r="BN28" i="4"/>
  <c r="AH89" i="15"/>
  <c r="AI58" i="15"/>
  <c r="AG90" i="15"/>
  <c r="BQ68" i="4" l="1"/>
  <c r="BL69" i="4"/>
  <c r="BQ69" i="4" s="1"/>
  <c r="BQ28" i="4"/>
  <c r="BO28" i="4"/>
  <c r="AH90" i="15"/>
  <c r="AI59" i="15"/>
  <c r="AG91" i="15"/>
  <c r="AH91" i="15" l="1"/>
  <c r="AI60" i="15"/>
  <c r="AG92" i="15"/>
  <c r="AH92" i="15" l="1"/>
  <c r="AI61" i="15"/>
  <c r="AI62" i="15" l="1"/>
  <c r="AI63" i="15" l="1"/>
  <c r="AI64" i="15" l="1"/>
  <c r="AI65" i="15" l="1"/>
  <c r="AI66" i="15" l="1"/>
  <c r="AI67" i="15" l="1"/>
  <c r="AI68" i="15" l="1"/>
  <c r="AI69" i="15" l="1"/>
  <c r="D12" i="13"/>
  <c r="AI70" i="15" l="1"/>
  <c r="AI71" i="15" l="1"/>
  <c r="AI72" i="15" l="1"/>
  <c r="AI73" i="15" l="1"/>
  <c r="AI74" i="15" l="1"/>
  <c r="AI75" i="15" l="1"/>
  <c r="AI76" i="15" l="1"/>
  <c r="AI77" i="15" l="1"/>
  <c r="AI78" i="15" l="1"/>
  <c r="AI79" i="15" l="1"/>
  <c r="AI80" i="15" l="1"/>
  <c r="X3" i="7"/>
  <c r="AG2" i="11"/>
  <c r="M16" i="8" l="1"/>
  <c r="AG23" i="15"/>
  <c r="AI81" i="15"/>
  <c r="AG3" i="11"/>
  <c r="X7" i="15"/>
  <c r="X8" i="15" s="1"/>
  <c r="AG22" i="15" l="1"/>
  <c r="AH24" i="15"/>
  <c r="AE30" i="15"/>
  <c r="AH29" i="15"/>
  <c r="AH23" i="15"/>
  <c r="AI28" i="15"/>
  <c r="AI23" i="15"/>
  <c r="AI82" i="15"/>
  <c r="AH22" i="15" l="1"/>
  <c r="AI22" i="15"/>
  <c r="AI29" i="15"/>
  <c r="AH28" i="15"/>
  <c r="AI24" i="15"/>
  <c r="AH25" i="15" s="1"/>
  <c r="AI83" i="15"/>
  <c r="AI25" i="15" l="1"/>
  <c r="AH26" i="15" s="1"/>
  <c r="AI84" i="15"/>
  <c r="R49" i="15"/>
  <c r="S49" i="15" s="1"/>
  <c r="R50" i="15"/>
  <c r="S50" i="15" s="1"/>
  <c r="R51" i="15"/>
  <c r="S51" i="15" s="1"/>
  <c r="R52" i="15"/>
  <c r="S52" i="15" s="1"/>
  <c r="R53" i="15"/>
  <c r="S53" i="15" s="1"/>
  <c r="R54" i="15"/>
  <c r="S54" i="15" s="1"/>
  <c r="R48" i="15"/>
  <c r="S48" i="15" s="1"/>
  <c r="DS4" i="4" l="1"/>
  <c r="AI26" i="15"/>
  <c r="AH27" i="15" s="1"/>
  <c r="AJ56" i="15"/>
  <c r="AJ61" i="15"/>
  <c r="AJ60" i="15"/>
  <c r="AJ59" i="15"/>
  <c r="AJ62" i="15"/>
  <c r="AJ58" i="15"/>
  <c r="AJ57" i="15"/>
  <c r="AI85" i="15"/>
  <c r="DT4" i="4" l="1"/>
  <c r="EC4" i="4"/>
  <c r="DV4" i="4"/>
  <c r="DU4" i="4"/>
  <c r="DZ4" i="4" s="1"/>
  <c r="AI27" i="15"/>
  <c r="AI86" i="15"/>
  <c r="DW4" i="4" l="1"/>
  <c r="DX4" i="4" s="1"/>
  <c r="EG4" i="4" s="1"/>
  <c r="DY4" i="4" s="1"/>
  <c r="ED4" i="4"/>
  <c r="EI4" i="4" s="1"/>
  <c r="AI87" i="15"/>
  <c r="EE4" i="4" l="1"/>
  <c r="EF4" i="4" s="1"/>
  <c r="AI88" i="15"/>
  <c r="AI89" i="15" l="1"/>
  <c r="AE5" i="15"/>
  <c r="AI90" i="15" l="1"/>
  <c r="AE6" i="15"/>
  <c r="AF5" i="15"/>
  <c r="AE4" i="15"/>
  <c r="AI91" i="15" l="1"/>
  <c r="AE7" i="15"/>
  <c r="AF6" i="15"/>
  <c r="AI92" i="15" l="1"/>
  <c r="AE8" i="15"/>
  <c r="AF7" i="15"/>
  <c r="W32" i="15" l="1"/>
  <c r="X32" i="15" s="1"/>
  <c r="AF8" i="15"/>
  <c r="AE9" i="15"/>
  <c r="AE10" i="15" l="1"/>
  <c r="AF9" i="15"/>
  <c r="AE11" i="15" l="1"/>
  <c r="AF10" i="15"/>
  <c r="AE12" i="15" l="1"/>
  <c r="AF11" i="15"/>
  <c r="AF12" i="15" l="1"/>
  <c r="AE13" i="15"/>
  <c r="AE14" i="15" l="1"/>
  <c r="AF13" i="15"/>
  <c r="P48" i="15"/>
  <c r="Q48" i="15" s="1"/>
  <c r="AJ48" i="15" l="1"/>
  <c r="AE15" i="15"/>
  <c r="AF14" i="15"/>
  <c r="AF15" i="15" l="1"/>
  <c r="AE16" i="15"/>
  <c r="AE17" i="15" l="1"/>
  <c r="AF16" i="15"/>
  <c r="P55" i="15"/>
  <c r="Q55" i="15" s="1"/>
  <c r="P49" i="15"/>
  <c r="Q49" i="15" s="1"/>
  <c r="P50" i="15"/>
  <c r="Q50" i="15" s="1"/>
  <c r="P51" i="15"/>
  <c r="Q51" i="15" s="1"/>
  <c r="P52" i="15"/>
  <c r="Q52" i="15" s="1"/>
  <c r="P53" i="15"/>
  <c r="Q53" i="15" s="1"/>
  <c r="P54" i="15"/>
  <c r="Q54" i="15" s="1"/>
  <c r="AJ51" i="15" l="1"/>
  <c r="AJ50" i="15"/>
  <c r="AJ53" i="15"/>
  <c r="AJ49" i="15"/>
  <c r="AJ54" i="15"/>
  <c r="AJ52" i="15"/>
  <c r="AJ55" i="15"/>
  <c r="AK55" i="15"/>
  <c r="AF17" i="15"/>
  <c r="C16" i="8" l="1"/>
  <c r="A16" i="7"/>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Y5" i="7"/>
  <c r="X5" i="7"/>
  <c r="X9" i="15"/>
  <c r="S4" i="13"/>
  <c r="W11" i="8" l="1"/>
  <c r="K13" i="13" s="1"/>
  <c r="C17" i="8"/>
  <c r="X4" i="7"/>
  <c r="Y4" i="7" l="1"/>
  <c r="X15" i="7" s="1"/>
  <c r="C18" i="8"/>
  <c r="C19" i="8" l="1"/>
  <c r="X16" i="7"/>
  <c r="AL4" i="7"/>
  <c r="X49" i="15"/>
  <c r="X48" i="15"/>
  <c r="X52" i="15"/>
  <c r="Y52" i="15"/>
  <c r="Y48" i="15"/>
  <c r="X51" i="15"/>
  <c r="Y55" i="15"/>
  <c r="X53" i="15"/>
  <c r="Y49" i="15"/>
  <c r="Y53" i="15"/>
  <c r="Y54" i="15"/>
  <c r="Y51" i="15"/>
  <c r="X50" i="15"/>
  <c r="X54" i="15"/>
  <c r="Y50" i="15"/>
  <c r="X55" i="15"/>
  <c r="C20" i="8" l="1"/>
  <c r="Y47" i="15"/>
  <c r="R56" i="15" s="1"/>
  <c r="X47" i="15"/>
  <c r="P56" i="15" s="1"/>
  <c r="S46" i="15"/>
  <c r="N18" i="8"/>
  <c r="N17" i="8"/>
  <c r="AL5" i="7"/>
  <c r="C21" i="8" l="1"/>
  <c r="X17" i="7"/>
  <c r="AL6" i="7" s="1"/>
  <c r="C22" i="8" l="1"/>
  <c r="X18" i="7"/>
  <c r="AL7" i="7" s="1"/>
  <c r="C23" i="8" l="1"/>
  <c r="X19" i="7"/>
  <c r="AL8" i="7" s="1"/>
  <c r="C24" i="8" l="1"/>
  <c r="X20" i="7"/>
  <c r="AL9" i="7" s="1"/>
  <c r="C25" i="8" l="1"/>
  <c r="X21" i="7"/>
  <c r="C26" i="8" l="1"/>
  <c r="X22" i="7"/>
  <c r="C27" i="8" l="1"/>
  <c r="X23" i="7"/>
  <c r="C28" i="8" l="1"/>
  <c r="X24" i="7"/>
  <c r="W16" i="4" l="1"/>
  <c r="C29" i="8"/>
  <c r="X25" i="7"/>
  <c r="BF15" i="4" l="1"/>
  <c r="BR15" i="4"/>
  <c r="BS15" i="4" s="1"/>
  <c r="C30" i="8"/>
  <c r="X26" i="7"/>
  <c r="C31" i="8" l="1"/>
  <c r="X27" i="7"/>
  <c r="C32" i="8" l="1"/>
  <c r="X28" i="7"/>
  <c r="C33" i="8" l="1"/>
  <c r="X29" i="7"/>
  <c r="C34" i="8" l="1"/>
  <c r="X30" i="7"/>
  <c r="C35" i="8" l="1"/>
  <c r="X31" i="7"/>
  <c r="C36" i="8" l="1"/>
  <c r="X32" i="7"/>
  <c r="C37" i="8" l="1"/>
  <c r="X33" i="7"/>
  <c r="C38" i="8" l="1"/>
  <c r="X34" i="7"/>
  <c r="C39" i="8" l="1"/>
  <c r="X35" i="7"/>
  <c r="C40" i="8" l="1"/>
  <c r="X36" i="7"/>
  <c r="C41" i="8" l="1"/>
  <c r="X37" i="7"/>
  <c r="C42" i="8" l="1"/>
  <c r="X38" i="7"/>
  <c r="C43" i="8" l="1"/>
  <c r="X39" i="7"/>
  <c r="C44" i="8" l="1"/>
  <c r="X40" i="7"/>
  <c r="C45" i="8" l="1"/>
  <c r="X41" i="7"/>
  <c r="C46" i="8" l="1"/>
  <c r="X42" i="7"/>
  <c r="C47" i="8" l="1"/>
  <c r="X43" i="7"/>
  <c r="C48" i="8" l="1"/>
  <c r="X44" i="7"/>
  <c r="C49" i="8" l="1"/>
  <c r="X45" i="7"/>
  <c r="C50" i="8" l="1"/>
  <c r="X46" i="7"/>
  <c r="C51" i="8" l="1"/>
  <c r="X47" i="7"/>
  <c r="C52" i="8" l="1"/>
  <c r="X48" i="7"/>
  <c r="C53" i="8" l="1"/>
  <c r="X49" i="7"/>
  <c r="C54" i="8" l="1"/>
  <c r="X50" i="7"/>
  <c r="C55" i="8" l="1"/>
  <c r="C56" i="8" l="1"/>
  <c r="C57" i="8" l="1"/>
  <c r="C58" i="8" l="1"/>
  <c r="C59" i="8" l="1"/>
  <c r="C60" i="8" l="1"/>
  <c r="C61" i="8" l="1"/>
  <c r="C62" i="8" l="1"/>
  <c r="C63" i="8" l="1"/>
  <c r="C64" i="8" l="1"/>
  <c r="C65" i="8" l="1"/>
  <c r="C66" i="8" l="1"/>
  <c r="C67" i="8" l="1"/>
  <c r="C68" i="8" l="1"/>
  <c r="C69" i="8" l="1"/>
  <c r="C70" i="8" l="1"/>
  <c r="C71" i="8" l="1"/>
  <c r="C72" i="8" l="1"/>
  <c r="C73" i="8" l="1"/>
  <c r="C74" i="8" l="1"/>
  <c r="C75" i="8" l="1"/>
  <c r="C76" i="8" l="1"/>
  <c r="C77" i="8" l="1"/>
  <c r="C78" i="8" l="1"/>
  <c r="C79" i="8" l="1"/>
  <c r="C80" i="8" l="1"/>
  <c r="C81" i="8" l="1"/>
  <c r="C82" i="8" l="1"/>
  <c r="C83" i="8" l="1"/>
  <c r="C84" i="8" l="1"/>
  <c r="C85" i="8" l="1"/>
  <c r="C86" i="8" l="1"/>
  <c r="C87" i="8" l="1"/>
  <c r="C88" i="8" l="1"/>
  <c r="C89" i="8" l="1"/>
  <c r="C90" i="8" l="1"/>
  <c r="C91" i="8" l="1"/>
  <c r="C92" i="8" l="1"/>
  <c r="C93" i="8" l="1"/>
  <c r="C94" i="8" l="1"/>
  <c r="C95" i="8" l="1"/>
  <c r="C96" i="8" l="1"/>
  <c r="C97" i="8" l="1"/>
  <c r="C98" i="8" l="1"/>
  <c r="C99" i="8" l="1"/>
  <c r="C100" i="8" l="1"/>
  <c r="C101" i="8" l="1"/>
  <c r="C102" i="8" l="1"/>
  <c r="C103" i="8" l="1"/>
  <c r="C104" i="8" l="1"/>
  <c r="C105" i="8" l="1"/>
  <c r="C106" i="8" l="1"/>
  <c r="C107" i="8" l="1"/>
  <c r="C108" i="8" l="1"/>
  <c r="C109" i="8" l="1"/>
  <c r="C110" i="8" l="1"/>
  <c r="C111" i="8" l="1"/>
  <c r="C112" i="8" l="1"/>
  <c r="C113" i="8" l="1"/>
  <c r="C114" i="8" l="1"/>
  <c r="AO7" i="5" l="1"/>
  <c r="BG4" i="5"/>
  <c r="BF4" i="5"/>
  <c r="P15" i="5" l="1"/>
  <c r="C7" i="15"/>
  <c r="R5" i="5"/>
  <c r="R6" i="5"/>
  <c r="BE9" i="5"/>
  <c r="S15" i="5" s="1"/>
  <c r="BG9" i="5"/>
  <c r="T15" i="5" s="1"/>
  <c r="BF6" i="5"/>
  <c r="BG8" i="5"/>
  <c r="BG6" i="5"/>
  <c r="AA5" i="5" l="1"/>
  <c r="AH5" i="5" s="1"/>
  <c r="R8" i="5"/>
  <c r="R7" i="5"/>
  <c r="R15" i="5"/>
  <c r="X8" i="5"/>
  <c r="R9" i="5"/>
  <c r="DS7" i="4" l="1"/>
  <c r="DS6" i="4"/>
  <c r="DT6" i="4" l="1"/>
  <c r="DV6" i="4"/>
  <c r="EC6" i="4"/>
  <c r="DU6" i="4"/>
  <c r="DT7" i="4"/>
  <c r="DU7" i="4"/>
  <c r="DV7" i="4"/>
  <c r="EC7" i="4"/>
  <c r="ED7" i="4" l="1"/>
  <c r="EE7" i="4" s="1"/>
  <c r="EF7" i="4" s="1"/>
  <c r="ED6" i="4"/>
  <c r="EE6" i="4" s="1"/>
  <c r="EF6" i="4" s="1"/>
  <c r="DZ6" i="4"/>
  <c r="DZ7" i="4"/>
  <c r="DW7" i="4"/>
  <c r="DX7" i="4" s="1"/>
  <c r="EG7" i="4" s="1"/>
  <c r="DY7" i="4" s="1"/>
  <c r="DW6" i="4"/>
  <c r="DX6" i="4" s="1"/>
  <c r="EG6" i="4" s="1"/>
  <c r="DY6" i="4" s="1"/>
  <c r="EI7" i="4" l="1"/>
  <c r="EI6" i="4"/>
  <c r="Z90" i="7"/>
  <c r="AK54" i="15" l="1"/>
  <c r="AK53" i="15"/>
  <c r="AL55" i="15"/>
  <c r="AN55" i="15"/>
  <c r="AR55" i="15"/>
  <c r="AZ55" i="15"/>
  <c r="AT55" i="15"/>
  <c r="AU55" i="15"/>
  <c r="AQ55" i="15"/>
  <c r="AY55" i="15"/>
  <c r="AV55" i="15"/>
  <c r="BD55" i="15"/>
  <c r="BC55" i="15"/>
  <c r="BA55" i="15"/>
  <c r="BB55" i="15"/>
  <c r="AP55" i="15"/>
  <c r="BD53" i="15"/>
  <c r="AX55" i="15"/>
  <c r="AO55" i="15"/>
  <c r="AM55" i="15"/>
  <c r="AS55" i="15"/>
  <c r="AW55" i="15"/>
  <c r="AN54" i="15"/>
  <c r="AU53" i="15"/>
  <c r="AR54" i="15"/>
  <c r="AS53" i="15"/>
  <c r="AQ53" i="15"/>
  <c r="AY53" i="15"/>
  <c r="AZ54" i="15"/>
  <c r="AL54" i="15"/>
  <c r="AN53" i="15"/>
  <c r="AT53" i="15"/>
  <c r="BB53" i="15"/>
  <c r="AL53" i="15"/>
  <c r="AM53" i="15"/>
  <c r="AR53" i="15"/>
  <c r="BC53" i="15"/>
  <c r="AT54" i="15"/>
  <c r="AZ53" i="15"/>
  <c r="BB54" i="15"/>
  <c r="AM54" i="15"/>
  <c r="BD54" i="15"/>
  <c r="AW53" i="15"/>
  <c r="AP53" i="15"/>
  <c r="BA53" i="15"/>
  <c r="AP54" i="15"/>
  <c r="AU54" i="15"/>
  <c r="AY54" i="15"/>
  <c r="AO54" i="15"/>
  <c r="AX54" i="15"/>
  <c r="AV54" i="15"/>
  <c r="AX53" i="15"/>
  <c r="AV53" i="15"/>
  <c r="AQ54" i="15"/>
  <c r="AW54" i="15"/>
  <c r="BA54" i="15"/>
  <c r="BC54" i="15"/>
  <c r="AS54" i="15"/>
  <c r="AO53" i="15"/>
  <c r="DS10" i="4" l="1"/>
  <c r="DT10" i="4" l="1"/>
  <c r="DU10" i="4"/>
  <c r="DZ10" i="4" s="1"/>
  <c r="EC10" i="4"/>
  <c r="DV10" i="4"/>
  <c r="ED10" i="4" l="1"/>
  <c r="EI10" i="4" s="1"/>
  <c r="DW10" i="4"/>
  <c r="DX10" i="4" s="1"/>
  <c r="EG10" i="4" s="1"/>
  <c r="DY10" i="4" s="1"/>
  <c r="EE10" i="4" l="1"/>
  <c r="EF10" i="4" s="1"/>
  <c r="C8" i="15" l="1"/>
  <c r="AY23" i="11" l="1"/>
  <c r="AZ23" i="11" s="1"/>
  <c r="BB23" i="11" s="1"/>
  <c r="AZ9" i="5"/>
  <c r="BB9" i="5"/>
  <c r="N15" i="5" s="1"/>
  <c r="BB8" i="5"/>
  <c r="BA6" i="5"/>
  <c r="BB6" i="5"/>
  <c r="AA4" i="5" l="1"/>
  <c r="AH4" i="5" s="1"/>
  <c r="BA23" i="11"/>
  <c r="BD23" i="11"/>
  <c r="BC23" i="11"/>
  <c r="Q8" i="5"/>
  <c r="M15" i="5"/>
  <c r="Q7" i="5"/>
  <c r="L15" i="5"/>
  <c r="X7" i="5"/>
  <c r="Q9" i="5"/>
  <c r="EH3" i="4" l="1"/>
  <c r="AI56" i="5" l="1"/>
  <c r="AJ56" i="5" s="1"/>
  <c r="AI62" i="5"/>
  <c r="AJ62" i="5" s="1"/>
  <c r="AI24" i="5"/>
  <c r="AJ24" i="5" s="1"/>
  <c r="AI36" i="5"/>
  <c r="AJ36" i="5" s="1"/>
  <c r="AI28" i="5"/>
  <c r="AJ28" i="5" s="1"/>
  <c r="AI51" i="5"/>
  <c r="AJ51" i="5" s="1"/>
  <c r="AI58" i="5"/>
  <c r="AJ58" i="5" s="1"/>
  <c r="AI48" i="5"/>
  <c r="AJ48" i="5" s="1"/>
  <c r="AI60" i="5"/>
  <c r="AJ60" i="5" s="1"/>
  <c r="AI54" i="5"/>
  <c r="AJ54" i="5" s="1"/>
  <c r="AI64" i="5"/>
  <c r="AJ64" i="5" s="1"/>
  <c r="AI66" i="5"/>
  <c r="AJ66" i="5" s="1"/>
  <c r="AI21" i="5"/>
  <c r="AJ21" i="5" s="1"/>
  <c r="AI16" i="5"/>
  <c r="AJ16" i="5" s="1"/>
  <c r="AI49" i="5"/>
  <c r="AJ49" i="5" s="1"/>
  <c r="AI25" i="5"/>
  <c r="AJ25" i="5" s="1"/>
  <c r="AI37" i="5"/>
  <c r="AJ37" i="5" s="1"/>
  <c r="AI45" i="5"/>
  <c r="AJ45" i="5" s="1"/>
  <c r="AI59" i="5"/>
  <c r="AJ59" i="5" s="1"/>
  <c r="AI29" i="5"/>
  <c r="AJ29" i="5" s="1"/>
  <c r="AI42" i="5"/>
  <c r="AJ42" i="5" s="1"/>
  <c r="AI27" i="5"/>
  <c r="AJ27" i="5" s="1"/>
  <c r="AI22" i="5"/>
  <c r="AJ22" i="5" s="1"/>
  <c r="AI65" i="5"/>
  <c r="AJ65" i="5" s="1"/>
  <c r="AI43" i="5"/>
  <c r="AJ43" i="5" s="1"/>
  <c r="AI17" i="5"/>
  <c r="AJ17" i="5" s="1"/>
  <c r="AI50" i="5"/>
  <c r="AJ50" i="5" s="1"/>
  <c r="AI32" i="5"/>
  <c r="AJ32" i="5" s="1"/>
  <c r="AI38" i="5"/>
  <c r="AJ38" i="5" s="1"/>
  <c r="AI61" i="5"/>
  <c r="AJ61" i="5" s="1"/>
  <c r="AI57" i="5"/>
  <c r="AJ57" i="5" s="1"/>
  <c r="AI26" i="5"/>
  <c r="AJ26" i="5" s="1"/>
  <c r="AI63" i="5"/>
  <c r="AJ63" i="5" s="1"/>
  <c r="AI33" i="5"/>
  <c r="AJ33" i="5" s="1"/>
  <c r="AI53" i="5"/>
  <c r="AJ53" i="5" s="1"/>
  <c r="AI20" i="5"/>
  <c r="AJ20" i="5" s="1"/>
  <c r="AI47" i="5"/>
  <c r="AJ47" i="5" s="1"/>
  <c r="AI30" i="5"/>
  <c r="AJ30" i="5" s="1"/>
  <c r="AI23" i="5"/>
  <c r="AJ23" i="5" s="1"/>
  <c r="AI46" i="5"/>
  <c r="AJ46" i="5" s="1"/>
  <c r="AI39" i="5"/>
  <c r="AJ39" i="5" s="1"/>
  <c r="AI34" i="5"/>
  <c r="AJ34" i="5" s="1"/>
  <c r="AI31" i="5"/>
  <c r="AJ31" i="5" s="1"/>
  <c r="AI35" i="5"/>
  <c r="AJ35" i="5" s="1"/>
  <c r="AI19" i="5"/>
  <c r="AJ19" i="5" s="1"/>
  <c r="AI52" i="5"/>
  <c r="AJ52" i="5" s="1"/>
  <c r="AI44" i="5"/>
  <c r="AJ44" i="5" s="1"/>
  <c r="AI18" i="5"/>
  <c r="AJ18" i="5" s="1"/>
  <c r="AI41" i="5"/>
  <c r="AJ41" i="5" s="1"/>
  <c r="AI40" i="5"/>
  <c r="AJ40" i="5" s="1"/>
  <c r="AI55" i="5"/>
  <c r="AJ55" i="5" s="1"/>
  <c r="AV41" i="5" l="1"/>
  <c r="AP41" i="5"/>
  <c r="AU41" i="5"/>
  <c r="AM41" i="5"/>
  <c r="AY41" i="5"/>
  <c r="AK41" i="5"/>
  <c r="AL41" i="5"/>
  <c r="AQ41" i="5"/>
  <c r="AT41" i="5"/>
  <c r="AV18" i="5"/>
  <c r="AK18" i="5"/>
  <c r="AL18" i="5"/>
  <c r="AT18" i="5"/>
  <c r="AY18" i="5"/>
  <c r="AZ18" i="5"/>
  <c r="AU18" i="5"/>
  <c r="AM18" i="5"/>
  <c r="AP18" i="5"/>
  <c r="BF18" i="5" s="1"/>
  <c r="AQ18" i="5"/>
  <c r="AQ35" i="5"/>
  <c r="AY35" i="5"/>
  <c r="AV35" i="5"/>
  <c r="AM35" i="5"/>
  <c r="AU35" i="5"/>
  <c r="AP35" i="5"/>
  <c r="BF35" i="5" s="1"/>
  <c r="AT35" i="5"/>
  <c r="AK35" i="5"/>
  <c r="AL35" i="5"/>
  <c r="AY46" i="5"/>
  <c r="AV46" i="5"/>
  <c r="AP46" i="5"/>
  <c r="AQ46" i="5"/>
  <c r="AK46" i="5"/>
  <c r="AU46" i="5"/>
  <c r="AL46" i="5"/>
  <c r="AT46" i="5"/>
  <c r="AM46" i="5"/>
  <c r="AQ20" i="5"/>
  <c r="AY20" i="5"/>
  <c r="AK20" i="5"/>
  <c r="AZ20" i="5"/>
  <c r="AP20" i="5"/>
  <c r="AU20" i="5"/>
  <c r="AM20" i="5"/>
  <c r="AT20" i="5"/>
  <c r="AL20" i="5"/>
  <c r="BQ20" i="5" s="1"/>
  <c r="AV20" i="5"/>
  <c r="AP26" i="5"/>
  <c r="AT26" i="5"/>
  <c r="AY26" i="5"/>
  <c r="AK26" i="5"/>
  <c r="AQ26" i="5"/>
  <c r="AM26" i="5"/>
  <c r="AL26" i="5"/>
  <c r="AP32" i="5"/>
  <c r="AY32" i="5"/>
  <c r="AT32" i="5"/>
  <c r="AL32" i="5"/>
  <c r="AQ32" i="5"/>
  <c r="AR32" i="5" s="1"/>
  <c r="AS32" i="5" s="1"/>
  <c r="AV32" i="5"/>
  <c r="AK32" i="5"/>
  <c r="BJ32" i="5" s="1"/>
  <c r="AU32" i="5"/>
  <c r="AM32" i="5"/>
  <c r="AM65" i="5"/>
  <c r="AU65" i="5"/>
  <c r="AQ65" i="5"/>
  <c r="AT65" i="5"/>
  <c r="AL65" i="5"/>
  <c r="AP65" i="5"/>
  <c r="AY65" i="5"/>
  <c r="AV65" i="5"/>
  <c r="AK65" i="5"/>
  <c r="AU29" i="5"/>
  <c r="AK29" i="5"/>
  <c r="AQ29" i="5"/>
  <c r="AM29" i="5"/>
  <c r="AV29" i="5"/>
  <c r="AY29" i="5"/>
  <c r="AP29" i="5"/>
  <c r="AT29" i="5"/>
  <c r="AL29" i="5"/>
  <c r="AY25" i="5"/>
  <c r="AK25" i="5"/>
  <c r="AQ25" i="5"/>
  <c r="AP25" i="5"/>
  <c r="AT25" i="5"/>
  <c r="AL66" i="5"/>
  <c r="AY66" i="5"/>
  <c r="AK66" i="5"/>
  <c r="AM66" i="5"/>
  <c r="AT66" i="5"/>
  <c r="AV66" i="5"/>
  <c r="AP66" i="5"/>
  <c r="AU66" i="5"/>
  <c r="AQ66" i="5"/>
  <c r="AV48" i="5"/>
  <c r="AK48" i="5"/>
  <c r="AQ48" i="5"/>
  <c r="AY48" i="5"/>
  <c r="AU48" i="5"/>
  <c r="AT48" i="5"/>
  <c r="AL48" i="5"/>
  <c r="BQ48" i="5" s="1"/>
  <c r="AP48" i="5"/>
  <c r="AM48" i="5"/>
  <c r="AP36" i="5"/>
  <c r="AV36" i="5"/>
  <c r="AU36" i="5"/>
  <c r="AQ36" i="5"/>
  <c r="AM36" i="5"/>
  <c r="AY36" i="5"/>
  <c r="AK36" i="5"/>
  <c r="AT36" i="5"/>
  <c r="AL36" i="5"/>
  <c r="AQ44" i="5"/>
  <c r="AT44" i="5"/>
  <c r="AL44" i="5"/>
  <c r="AV44" i="5"/>
  <c r="AU44" i="5"/>
  <c r="AY44" i="5"/>
  <c r="AM44" i="5"/>
  <c r="AP44" i="5"/>
  <c r="AK44" i="5"/>
  <c r="AP31" i="5"/>
  <c r="AQ31" i="5"/>
  <c r="AL31" i="5"/>
  <c r="AM31" i="5"/>
  <c r="AV31" i="5"/>
  <c r="AU31" i="5"/>
  <c r="AK31" i="5"/>
  <c r="AT31" i="5"/>
  <c r="AY31" i="5"/>
  <c r="AQ23" i="5"/>
  <c r="AT23" i="5"/>
  <c r="AY23" i="5"/>
  <c r="AK23" i="5"/>
  <c r="AP23" i="5"/>
  <c r="AP53" i="5"/>
  <c r="AQ53" i="5"/>
  <c r="AY53" i="5"/>
  <c r="AU53" i="5"/>
  <c r="AV53" i="5"/>
  <c r="AK53" i="5"/>
  <c r="AT53" i="5"/>
  <c r="AM53" i="5"/>
  <c r="AL53" i="5"/>
  <c r="AT57" i="5"/>
  <c r="AM57" i="5"/>
  <c r="AY57" i="5"/>
  <c r="AK57" i="5"/>
  <c r="AP57" i="5"/>
  <c r="AV57" i="5"/>
  <c r="AL57" i="5"/>
  <c r="AQ57" i="5"/>
  <c r="AU57" i="5"/>
  <c r="AV50" i="5"/>
  <c r="AU50" i="5"/>
  <c r="AL50" i="5"/>
  <c r="AQ50" i="5"/>
  <c r="AP50" i="5"/>
  <c r="AT50" i="5"/>
  <c r="AK50" i="5"/>
  <c r="AY50" i="5"/>
  <c r="AM50" i="5"/>
  <c r="AY22" i="5"/>
  <c r="AT22" i="5"/>
  <c r="AU22" i="5"/>
  <c r="AK22" i="5"/>
  <c r="AP22" i="5"/>
  <c r="AM22" i="5"/>
  <c r="AQ22" i="5"/>
  <c r="AZ22" i="5"/>
  <c r="AL22" i="5"/>
  <c r="AV22" i="5"/>
  <c r="AL59" i="5"/>
  <c r="AM59" i="5"/>
  <c r="AQ59" i="5"/>
  <c r="AU59" i="5"/>
  <c r="AT59" i="5"/>
  <c r="AP59" i="5"/>
  <c r="AY59" i="5"/>
  <c r="AK59" i="5"/>
  <c r="AV59" i="5"/>
  <c r="AL49" i="5"/>
  <c r="AM49" i="5"/>
  <c r="AV49" i="5"/>
  <c r="AT49" i="5"/>
  <c r="AY49" i="5"/>
  <c r="AP49" i="5"/>
  <c r="AK49" i="5"/>
  <c r="AQ49" i="5"/>
  <c r="AU49" i="5"/>
  <c r="AU64" i="5"/>
  <c r="AV64" i="5"/>
  <c r="AL64" i="5"/>
  <c r="AM64" i="5"/>
  <c r="AP64" i="5"/>
  <c r="AK64" i="5"/>
  <c r="AQ64" i="5"/>
  <c r="AY64" i="5"/>
  <c r="AT64" i="5"/>
  <c r="AP58" i="5"/>
  <c r="AQ58" i="5"/>
  <c r="AM58" i="5"/>
  <c r="AT58" i="5"/>
  <c r="AV58" i="5"/>
  <c r="AK58" i="5"/>
  <c r="AL58" i="5"/>
  <c r="AY58" i="5"/>
  <c r="AU58" i="5"/>
  <c r="AL24" i="5"/>
  <c r="AM24" i="5"/>
  <c r="AQ24" i="5"/>
  <c r="AK24" i="5"/>
  <c r="AP24" i="5"/>
  <c r="AY24" i="5"/>
  <c r="AV24" i="5"/>
  <c r="AT24" i="5"/>
  <c r="AU24" i="5"/>
  <c r="AT55" i="5"/>
  <c r="AU55" i="5"/>
  <c r="AV55" i="5"/>
  <c r="AY55" i="5"/>
  <c r="AP55" i="5"/>
  <c r="AK55" i="5"/>
  <c r="AM55" i="5"/>
  <c r="AL55" i="5"/>
  <c r="AQ55" i="5"/>
  <c r="AU52" i="5"/>
  <c r="AQ52" i="5"/>
  <c r="AT52" i="5"/>
  <c r="AY52" i="5"/>
  <c r="AV52" i="5"/>
  <c r="AL52" i="5"/>
  <c r="BQ52" i="5" s="1"/>
  <c r="AK52" i="5"/>
  <c r="BJ52" i="5" s="1"/>
  <c r="AM52" i="5"/>
  <c r="AP52" i="5"/>
  <c r="AT34" i="5"/>
  <c r="AQ34" i="5"/>
  <c r="AL34" i="5"/>
  <c r="AP34" i="5"/>
  <c r="AM34" i="5"/>
  <c r="AK34" i="5"/>
  <c r="AU34" i="5"/>
  <c r="AY34" i="5"/>
  <c r="AV34" i="5"/>
  <c r="AQ30" i="5"/>
  <c r="AT30" i="5"/>
  <c r="AM30" i="5"/>
  <c r="AP30" i="5"/>
  <c r="AL30" i="5"/>
  <c r="AK30" i="5"/>
  <c r="BJ30" i="5" s="1"/>
  <c r="AU30" i="5"/>
  <c r="AY30" i="5"/>
  <c r="AV30" i="5"/>
  <c r="AP33" i="5"/>
  <c r="AU33" i="5"/>
  <c r="AV33" i="5"/>
  <c r="AQ33" i="5"/>
  <c r="AT33" i="5"/>
  <c r="AM33" i="5"/>
  <c r="AK33" i="5"/>
  <c r="AY33" i="5"/>
  <c r="AL33" i="5"/>
  <c r="AQ61" i="5"/>
  <c r="AV61" i="5"/>
  <c r="AP61" i="5"/>
  <c r="AK61" i="5"/>
  <c r="AL61" i="5"/>
  <c r="AT61" i="5"/>
  <c r="AU61" i="5"/>
  <c r="AM61" i="5"/>
  <c r="AY61" i="5"/>
  <c r="AV17" i="5"/>
  <c r="AZ17" i="5"/>
  <c r="AL17" i="5"/>
  <c r="AP17" i="5"/>
  <c r="AK17" i="5"/>
  <c r="AT17" i="5"/>
  <c r="AM17" i="5"/>
  <c r="AY17" i="5"/>
  <c r="AU17" i="5"/>
  <c r="AQ17" i="5"/>
  <c r="AV27" i="5"/>
  <c r="AQ27" i="5"/>
  <c r="AM27" i="5"/>
  <c r="AT27" i="5"/>
  <c r="AP27" i="5"/>
  <c r="AU27" i="5"/>
  <c r="AY27" i="5"/>
  <c r="AK27" i="5"/>
  <c r="BJ27" i="5" s="1"/>
  <c r="AL27" i="5"/>
  <c r="AV45" i="5"/>
  <c r="AP45" i="5"/>
  <c r="AY45" i="5"/>
  <c r="AK45" i="5"/>
  <c r="AL45" i="5"/>
  <c r="AQ45" i="5"/>
  <c r="AR45" i="5" s="1"/>
  <c r="AS45" i="5" s="1"/>
  <c r="AT45" i="5"/>
  <c r="AM45" i="5"/>
  <c r="AU45" i="5"/>
  <c r="AM16" i="5"/>
  <c r="AY16" i="5"/>
  <c r="AU16" i="5"/>
  <c r="AL16" i="5"/>
  <c r="AQ16" i="5"/>
  <c r="AV16" i="5"/>
  <c r="AP16" i="5"/>
  <c r="AT16" i="5"/>
  <c r="AK16" i="5"/>
  <c r="AY54" i="5"/>
  <c r="AV54" i="5"/>
  <c r="AT54" i="5"/>
  <c r="AQ54" i="5"/>
  <c r="AU54" i="5"/>
  <c r="AK54" i="5"/>
  <c r="AL54" i="5"/>
  <c r="AP54" i="5"/>
  <c r="AM54" i="5"/>
  <c r="AQ51" i="5"/>
  <c r="AM51" i="5"/>
  <c r="AL51" i="5"/>
  <c r="AK51" i="5"/>
  <c r="AU51" i="5"/>
  <c r="AT51" i="5"/>
  <c r="AY51" i="5"/>
  <c r="AV51" i="5"/>
  <c r="AP51" i="5"/>
  <c r="AM62" i="5"/>
  <c r="AL62" i="5"/>
  <c r="AU62" i="5"/>
  <c r="AQ62" i="5"/>
  <c r="AP62" i="5"/>
  <c r="AK62" i="5"/>
  <c r="AY62" i="5"/>
  <c r="AV62" i="5"/>
  <c r="AT62" i="5"/>
  <c r="AQ40" i="5"/>
  <c r="AP40" i="5"/>
  <c r="AU40" i="5"/>
  <c r="AY40" i="5"/>
  <c r="AK40" i="5"/>
  <c r="AT40" i="5"/>
  <c r="AV40" i="5"/>
  <c r="AM40" i="5"/>
  <c r="AL40" i="5"/>
  <c r="AV19" i="5"/>
  <c r="AT19" i="5"/>
  <c r="AZ19" i="5"/>
  <c r="AL19" i="5"/>
  <c r="AU19" i="5"/>
  <c r="AY19" i="5"/>
  <c r="AM19" i="5"/>
  <c r="AP19" i="5"/>
  <c r="AQ19" i="5"/>
  <c r="AK19" i="5"/>
  <c r="BJ19" i="5" s="1"/>
  <c r="AU39" i="5"/>
  <c r="AP39" i="5"/>
  <c r="AK39" i="5"/>
  <c r="AT39" i="5"/>
  <c r="AL39" i="5"/>
  <c r="AY39" i="5"/>
  <c r="AQ39" i="5"/>
  <c r="AV39" i="5"/>
  <c r="AM39" i="5"/>
  <c r="AY47" i="5"/>
  <c r="AM47" i="5"/>
  <c r="AP47" i="5"/>
  <c r="AK47" i="5"/>
  <c r="AQ47" i="5"/>
  <c r="AU47" i="5"/>
  <c r="AL47" i="5"/>
  <c r="AT47" i="5"/>
  <c r="AV47" i="5"/>
  <c r="AT63" i="5"/>
  <c r="AQ63" i="5"/>
  <c r="AP63" i="5"/>
  <c r="AK63" i="5"/>
  <c r="AL63" i="5"/>
  <c r="AU63" i="5"/>
  <c r="AV63" i="5"/>
  <c r="AY63" i="5"/>
  <c r="AM63" i="5"/>
  <c r="AY38" i="5"/>
  <c r="AU38" i="5"/>
  <c r="AQ38" i="5"/>
  <c r="AT38" i="5"/>
  <c r="AL38" i="5"/>
  <c r="AV38" i="5"/>
  <c r="AM38" i="5"/>
  <c r="AK38" i="5"/>
  <c r="AP38" i="5"/>
  <c r="BF38" i="5" s="1"/>
  <c r="AK43" i="5"/>
  <c r="AV43" i="5"/>
  <c r="AT43" i="5"/>
  <c r="AY43" i="5"/>
  <c r="AQ43" i="5"/>
  <c r="AP43" i="5"/>
  <c r="AM43" i="5"/>
  <c r="AL43" i="5"/>
  <c r="AU43" i="5"/>
  <c r="AL42" i="5"/>
  <c r="AP42" i="5"/>
  <c r="AY42" i="5"/>
  <c r="AU42" i="5"/>
  <c r="AT42" i="5"/>
  <c r="AQ42" i="5"/>
  <c r="AM42" i="5"/>
  <c r="AK42" i="5"/>
  <c r="AV42" i="5"/>
  <c r="AL37" i="5"/>
  <c r="AM37" i="5"/>
  <c r="AY37" i="5"/>
  <c r="AU37" i="5"/>
  <c r="AV37" i="5"/>
  <c r="AQ37" i="5"/>
  <c r="AK37" i="5"/>
  <c r="AT37" i="5"/>
  <c r="AP37" i="5"/>
  <c r="AT21" i="5"/>
  <c r="AP21" i="5"/>
  <c r="AV21" i="5"/>
  <c r="AQ21" i="5"/>
  <c r="AU21" i="5"/>
  <c r="AL21" i="5"/>
  <c r="AK21" i="5"/>
  <c r="AZ21" i="5"/>
  <c r="AY21" i="5"/>
  <c r="AM21" i="5"/>
  <c r="AL60" i="5"/>
  <c r="AP60" i="5"/>
  <c r="AV60" i="5"/>
  <c r="AK60" i="5"/>
  <c r="AQ60" i="5"/>
  <c r="AY60" i="5"/>
  <c r="AU60" i="5"/>
  <c r="AT60" i="5"/>
  <c r="AM60" i="5"/>
  <c r="AV28" i="5"/>
  <c r="AP28" i="5"/>
  <c r="AY28" i="5"/>
  <c r="AU28" i="5"/>
  <c r="AQ28" i="5"/>
  <c r="AK28" i="5"/>
  <c r="AL28" i="5"/>
  <c r="AT28" i="5"/>
  <c r="AM28" i="5"/>
  <c r="AK56" i="5"/>
  <c r="AQ56" i="5"/>
  <c r="AT56" i="5"/>
  <c r="AP56" i="5"/>
  <c r="AV56" i="5"/>
  <c r="AY56" i="5"/>
  <c r="AL56" i="5"/>
  <c r="AU56" i="5"/>
  <c r="AM56" i="5"/>
  <c r="AR26" i="5" l="1"/>
  <c r="AS26" i="5" s="1"/>
  <c r="BQ35" i="5"/>
  <c r="BQ30" i="5"/>
  <c r="BF48" i="5"/>
  <c r="BR32" i="5"/>
  <c r="BQ61" i="5"/>
  <c r="BQ34" i="5"/>
  <c r="BQ24" i="5"/>
  <c r="BQ62" i="5"/>
  <c r="BQ51" i="5"/>
  <c r="BR34" i="5"/>
  <c r="BV22" i="5"/>
  <c r="BQ59" i="5"/>
  <c r="BR31" i="5"/>
  <c r="BQ26" i="5"/>
  <c r="BQ29" i="5"/>
  <c r="BR46" i="5"/>
  <c r="BQ63" i="5"/>
  <c r="BQ31" i="5"/>
  <c r="BQ36" i="5"/>
  <c r="BR36" i="5"/>
  <c r="BR26" i="5"/>
  <c r="BQ56" i="5"/>
  <c r="BQ42" i="5"/>
  <c r="BQ19" i="5"/>
  <c r="BR27" i="5"/>
  <c r="BV17" i="5"/>
  <c r="BW17" i="5"/>
  <c r="BR55" i="5"/>
  <c r="BR66" i="5"/>
  <c r="BQ32" i="5"/>
  <c r="BW21" i="5"/>
  <c r="BR21" i="5"/>
  <c r="BQ21" i="5"/>
  <c r="BQ39" i="5"/>
  <c r="BW22" i="5"/>
  <c r="BR38" i="5"/>
  <c r="BR39" i="5"/>
  <c r="BR19" i="5"/>
  <c r="BR40" i="5"/>
  <c r="BR51" i="5"/>
  <c r="BQ54" i="5"/>
  <c r="BQ16" i="5"/>
  <c r="BQ40" i="5"/>
  <c r="BQ27" i="5"/>
  <c r="BV18" i="5"/>
  <c r="BR60" i="5"/>
  <c r="BR28" i="5"/>
  <c r="BQ55" i="5"/>
  <c r="BQ60" i="5"/>
  <c r="BR16" i="5"/>
  <c r="BD34" i="5"/>
  <c r="BQ64" i="5"/>
  <c r="AW46" i="5"/>
  <c r="BW18" i="5"/>
  <c r="BQ28" i="5"/>
  <c r="BR62" i="5"/>
  <c r="AW45" i="5"/>
  <c r="BQ45" i="5"/>
  <c r="BR33" i="5"/>
  <c r="BR30" i="5"/>
  <c r="AW58" i="5"/>
  <c r="BR22" i="5"/>
  <c r="BQ50" i="5"/>
  <c r="BQ53" i="5"/>
  <c r="BR18" i="5"/>
  <c r="BR56" i="5"/>
  <c r="BV21" i="5"/>
  <c r="BR37" i="5"/>
  <c r="BR42" i="5"/>
  <c r="BQ43" i="5"/>
  <c r="BQ38" i="5"/>
  <c r="BQ47" i="5"/>
  <c r="BR45" i="5"/>
  <c r="BR17" i="5"/>
  <c r="BQ17" i="5"/>
  <c r="BR61" i="5"/>
  <c r="BQ33" i="5"/>
  <c r="BR52" i="5"/>
  <c r="BR49" i="5"/>
  <c r="BQ22" i="5"/>
  <c r="BQ57" i="5"/>
  <c r="BR53" i="5"/>
  <c r="BR44" i="5"/>
  <c r="BQ44" i="5"/>
  <c r="BR48" i="5"/>
  <c r="AW48" i="5"/>
  <c r="BR29" i="5"/>
  <c r="BQ65" i="5"/>
  <c r="BR65" i="5"/>
  <c r="BR20" i="5"/>
  <c r="BQ18" i="5"/>
  <c r="BR41" i="5"/>
  <c r="BQ37" i="5"/>
  <c r="BR43" i="5"/>
  <c r="BR63" i="5"/>
  <c r="BR47" i="5"/>
  <c r="BV19" i="5"/>
  <c r="BW19" i="5"/>
  <c r="BR54" i="5"/>
  <c r="BR24" i="5"/>
  <c r="BQ58" i="5"/>
  <c r="BR58" i="5"/>
  <c r="BR64" i="5"/>
  <c r="BQ49" i="5"/>
  <c r="BR59" i="5"/>
  <c r="BR50" i="5"/>
  <c r="BD57" i="5"/>
  <c r="BR57" i="5"/>
  <c r="BQ66" i="5"/>
  <c r="BW20" i="5"/>
  <c r="BV20" i="5"/>
  <c r="BQ46" i="5"/>
  <c r="BR35" i="5"/>
  <c r="BQ41" i="5"/>
  <c r="BJ38" i="5"/>
  <c r="BF22" i="5"/>
  <c r="AR55" i="5"/>
  <c r="AS55" i="5" s="1"/>
  <c r="BJ22" i="5"/>
  <c r="BJ23" i="5"/>
  <c r="BJ65" i="5"/>
  <c r="AR53" i="5"/>
  <c r="AS53" i="5" s="1"/>
  <c r="AW44" i="5"/>
  <c r="AR46" i="5"/>
  <c r="AS46" i="5" s="1"/>
  <c r="AR41" i="5"/>
  <c r="AS41" i="5" s="1"/>
  <c r="BD62" i="5"/>
  <c r="BF37" i="5"/>
  <c r="AR58" i="5"/>
  <c r="AS58" i="5" s="1"/>
  <c r="AW60" i="5"/>
  <c r="AW61" i="5"/>
  <c r="BD35" i="5"/>
  <c r="BF27" i="5"/>
  <c r="BD27" i="5"/>
  <c r="BA22" i="5"/>
  <c r="BB22" i="5" s="1"/>
  <c r="BJ36" i="5"/>
  <c r="AR28" i="5"/>
  <c r="AS28" i="5" s="1"/>
  <c r="AR42" i="5"/>
  <c r="AS42" i="5" s="1"/>
  <c r="BD65" i="5"/>
  <c r="AR60" i="5"/>
  <c r="AS60" i="5" s="1"/>
  <c r="BJ21" i="5"/>
  <c r="AR38" i="5"/>
  <c r="AS38" i="5" s="1"/>
  <c r="BJ63" i="5"/>
  <c r="BF19" i="5"/>
  <c r="BJ40" i="5"/>
  <c r="AR40" i="5"/>
  <c r="AS40" i="5" s="1"/>
  <c r="BF54" i="5"/>
  <c r="AR16" i="5"/>
  <c r="AS16" i="5" s="1"/>
  <c r="BJ58" i="5"/>
  <c r="BD59" i="5"/>
  <c r="AW57" i="5"/>
  <c r="BJ53" i="5"/>
  <c r="BJ44" i="5"/>
  <c r="AR44" i="5"/>
  <c r="AS44" i="5" s="1"/>
  <c r="AW32" i="5"/>
  <c r="AW28" i="5"/>
  <c r="AW37" i="5"/>
  <c r="BJ43" i="5"/>
  <c r="BA19" i="5"/>
  <c r="BB19" i="5" s="1"/>
  <c r="AW27" i="5"/>
  <c r="AR61" i="5"/>
  <c r="AS61" i="5" s="1"/>
  <c r="BF52" i="5"/>
  <c r="BJ55" i="5"/>
  <c r="AW55" i="5"/>
  <c r="BJ49" i="5"/>
  <c r="BD49" i="5"/>
  <c r="BJ50" i="5"/>
  <c r="BD29" i="5"/>
  <c r="AW63" i="5"/>
  <c r="AR63" i="5"/>
  <c r="AS63" i="5" s="1"/>
  <c r="BF47" i="5"/>
  <c r="BD39" i="5"/>
  <c r="BD40" i="5"/>
  <c r="AR62" i="5"/>
  <c r="AS62" i="5" s="1"/>
  <c r="BF51" i="5"/>
  <c r="AW51" i="5"/>
  <c r="BJ54" i="5"/>
  <c r="BD54" i="5"/>
  <c r="BF64" i="5"/>
  <c r="AW64" i="5"/>
  <c r="AR59" i="5"/>
  <c r="AS59" i="5" s="1"/>
  <c r="AW53" i="5"/>
  <c r="BF23" i="5"/>
  <c r="AW31" i="5"/>
  <c r="AR31" i="5"/>
  <c r="AS31" i="5" s="1"/>
  <c r="BD66" i="5"/>
  <c r="AR25" i="5"/>
  <c r="AS25" i="5" s="1"/>
  <c r="BJ20" i="5"/>
  <c r="BA21" i="5"/>
  <c r="BB21" i="5" s="1"/>
  <c r="BD37" i="5"/>
  <c r="BF42" i="5"/>
  <c r="AW47" i="5"/>
  <c r="BF40" i="5"/>
  <c r="AW62" i="5"/>
  <c r="AR33" i="5"/>
  <c r="AS33" i="5" s="1"/>
  <c r="BD30" i="5"/>
  <c r="AR34" i="5"/>
  <c r="AS34" i="5" s="1"/>
  <c r="AW49" i="5"/>
  <c r="BF50" i="5"/>
  <c r="BD31" i="5"/>
  <c r="AW36" i="5"/>
  <c r="AR66" i="5"/>
  <c r="AS66" i="5" s="1"/>
  <c r="BF29" i="5"/>
  <c r="BF32" i="5"/>
  <c r="BA18" i="5"/>
  <c r="BB18" i="5" s="1"/>
  <c r="BJ18" i="5"/>
  <c r="BJ16" i="5"/>
  <c r="BF45" i="5"/>
  <c r="BJ17" i="5"/>
  <c r="BD61" i="5"/>
  <c r="BJ33" i="5"/>
  <c r="BD33" i="5"/>
  <c r="AR56" i="5"/>
  <c r="AS56" i="5" s="1"/>
  <c r="BJ42" i="5"/>
  <c r="AW43" i="5"/>
  <c r="AR43" i="5"/>
  <c r="AS43" i="5" s="1"/>
  <c r="BD38" i="5"/>
  <c r="BD52" i="5"/>
  <c r="BJ31" i="5"/>
  <c r="BF44" i="5"/>
  <c r="BD44" i="5"/>
  <c r="AW65" i="5"/>
  <c r="BD41" i="5"/>
  <c r="BJ56" i="5"/>
  <c r="AN28" i="5"/>
  <c r="BC28" i="5"/>
  <c r="BJ60" i="5"/>
  <c r="BD21" i="5"/>
  <c r="AN43" i="5"/>
  <c r="BC43" i="5"/>
  <c r="AW38" i="5"/>
  <c r="BC40" i="5"/>
  <c r="BE40" i="5" s="1"/>
  <c r="AN40" i="5"/>
  <c r="AR51" i="5"/>
  <c r="AS51" i="5" s="1"/>
  <c r="BC16" i="5"/>
  <c r="AN16" i="5"/>
  <c r="BC17" i="5"/>
  <c r="AN17" i="5"/>
  <c r="AN61" i="5"/>
  <c r="BC61" i="5"/>
  <c r="BE61" i="5" s="1"/>
  <c r="BF30" i="5"/>
  <c r="AN55" i="5"/>
  <c r="BC55" i="5"/>
  <c r="AN59" i="5"/>
  <c r="BC59" i="5"/>
  <c r="BE59" i="5" s="1"/>
  <c r="BD50" i="5"/>
  <c r="AN57" i="5"/>
  <c r="BC57" i="5"/>
  <c r="BE57" i="5" s="1"/>
  <c r="AR23" i="5"/>
  <c r="AS23" i="5" s="1"/>
  <c r="BC31" i="5"/>
  <c r="AN31" i="5"/>
  <c r="BC29" i="5"/>
  <c r="AN29" i="5"/>
  <c r="AW29" i="5"/>
  <c r="AR65" i="5"/>
  <c r="AS65" i="5" s="1"/>
  <c r="BJ26" i="5"/>
  <c r="BJ46" i="5"/>
  <c r="BG18" i="5"/>
  <c r="BH18" i="5" s="1"/>
  <c r="BI18" i="5" s="1"/>
  <c r="AR18" i="5"/>
  <c r="AS18" i="5" s="1"/>
  <c r="BD56" i="5"/>
  <c r="AW56" i="5"/>
  <c r="BF56" i="5"/>
  <c r="BJ28" i="5"/>
  <c r="BF28" i="5"/>
  <c r="BD60" i="5"/>
  <c r="BC21" i="5"/>
  <c r="AN21" i="5"/>
  <c r="BF21" i="5"/>
  <c r="BJ37" i="5"/>
  <c r="BD42" i="5"/>
  <c r="BC42" i="5"/>
  <c r="AN42" i="5"/>
  <c r="BC38" i="5"/>
  <c r="BE38" i="5" s="1"/>
  <c r="AN38" i="5"/>
  <c r="BD63" i="5"/>
  <c r="BF63" i="5"/>
  <c r="BD47" i="5"/>
  <c r="AR47" i="5"/>
  <c r="AS47" i="5" s="1"/>
  <c r="AR39" i="5"/>
  <c r="AS39" i="5" s="1"/>
  <c r="BJ39" i="5"/>
  <c r="BJ62" i="5"/>
  <c r="BC62" i="5"/>
  <c r="BE62" i="5" s="1"/>
  <c r="AN62" i="5"/>
  <c r="BD51" i="5"/>
  <c r="BJ51" i="5"/>
  <c r="AW54" i="5"/>
  <c r="BF16" i="5"/>
  <c r="AW16" i="5"/>
  <c r="AN45" i="5"/>
  <c r="BC45" i="5"/>
  <c r="BD45" i="5"/>
  <c r="BE45" i="5" s="1"/>
  <c r="AR17" i="5"/>
  <c r="AS17" i="5" s="1"/>
  <c r="BG17" i="5"/>
  <c r="BA17" i="5"/>
  <c r="BB17" i="5" s="1"/>
  <c r="BJ61" i="5"/>
  <c r="AW33" i="5"/>
  <c r="AW30" i="5"/>
  <c r="BF34" i="5"/>
  <c r="AN52" i="5"/>
  <c r="BC52" i="5"/>
  <c r="BE52" i="5" s="1"/>
  <c r="BK52" i="5" s="1"/>
  <c r="AR52" i="5"/>
  <c r="AS52" i="5" s="1"/>
  <c r="BD55" i="5"/>
  <c r="BE55" i="5" s="1"/>
  <c r="AW24" i="5"/>
  <c r="BF24" i="5"/>
  <c r="BC58" i="5"/>
  <c r="AN58" i="5"/>
  <c r="BF49" i="5"/>
  <c r="BJ59" i="5"/>
  <c r="AW59" i="5"/>
  <c r="BG22" i="5"/>
  <c r="AR22" i="5"/>
  <c r="AS22" i="5" s="1"/>
  <c r="AW22" i="5"/>
  <c r="AR50" i="5"/>
  <c r="AS50" i="5" s="1"/>
  <c r="BD36" i="5"/>
  <c r="BC48" i="5"/>
  <c r="AN48" i="5"/>
  <c r="AR48" i="5"/>
  <c r="AS48" i="5" s="1"/>
  <c r="BC66" i="5"/>
  <c r="BE66" i="5" s="1"/>
  <c r="AN66" i="5"/>
  <c r="BJ25" i="5"/>
  <c r="BF65" i="5"/>
  <c r="AN32" i="5"/>
  <c r="BC32" i="5"/>
  <c r="AN26" i="5"/>
  <c r="BD20" i="5"/>
  <c r="AW20" i="5"/>
  <c r="BD18" i="5"/>
  <c r="BC41" i="5"/>
  <c r="BE41" i="5" s="1"/>
  <c r="AN41" i="5"/>
  <c r="AW41" i="5"/>
  <c r="AN56" i="5"/>
  <c r="BC56" i="5"/>
  <c r="BD28" i="5"/>
  <c r="BF60" i="5"/>
  <c r="AW21" i="5"/>
  <c r="AR37" i="5"/>
  <c r="AS37" i="5" s="1"/>
  <c r="AW42" i="5"/>
  <c r="BF43" i="5"/>
  <c r="BD43" i="5"/>
  <c r="BE43" i="5" s="1"/>
  <c r="BJ47" i="5"/>
  <c r="BF39" i="5"/>
  <c r="AR19" i="5"/>
  <c r="AS19" i="5" s="1"/>
  <c r="BG19" i="5"/>
  <c r="AW19" i="5"/>
  <c r="BD19" i="5"/>
  <c r="AW40" i="5"/>
  <c r="BF62" i="5"/>
  <c r="BC51" i="5"/>
  <c r="AN51" i="5"/>
  <c r="AR54" i="5"/>
  <c r="AS54" i="5" s="1"/>
  <c r="BD16" i="5"/>
  <c r="BJ45" i="5"/>
  <c r="AR27" i="5"/>
  <c r="AS27" i="5" s="1"/>
  <c r="AW17" i="5"/>
  <c r="BD17" i="5"/>
  <c r="BF61" i="5"/>
  <c r="AN33" i="5"/>
  <c r="BC33" i="5"/>
  <c r="BF33" i="5"/>
  <c r="AW34" i="5"/>
  <c r="BC34" i="5"/>
  <c r="BE34" i="5" s="1"/>
  <c r="AN34" i="5"/>
  <c r="AW52" i="5"/>
  <c r="BJ24" i="5"/>
  <c r="AN24" i="5"/>
  <c r="BC24" i="5"/>
  <c r="AR64" i="5"/>
  <c r="AS64" i="5" s="1"/>
  <c r="BC64" i="5"/>
  <c r="AN64" i="5"/>
  <c r="AN49" i="5"/>
  <c r="BC49" i="5"/>
  <c r="BE49" i="5" s="1"/>
  <c r="BD22" i="5"/>
  <c r="AN50" i="5"/>
  <c r="BC50" i="5"/>
  <c r="BF57" i="5"/>
  <c r="BF31" i="5"/>
  <c r="AN44" i="5"/>
  <c r="BC44" i="5"/>
  <c r="BE44" i="5" s="1"/>
  <c r="BC36" i="5"/>
  <c r="AN36" i="5"/>
  <c r="BF36" i="5"/>
  <c r="BJ48" i="5"/>
  <c r="AW66" i="5"/>
  <c r="AX66" i="5" s="1"/>
  <c r="AR29" i="5"/>
  <c r="AS29" i="5" s="1"/>
  <c r="BC65" i="5"/>
  <c r="BE65" i="5" s="1"/>
  <c r="AN65" i="5"/>
  <c r="BC20" i="5"/>
  <c r="AN20" i="5"/>
  <c r="BF20" i="5"/>
  <c r="AR20" i="5"/>
  <c r="AS20" i="5" s="1"/>
  <c r="BG20" i="5"/>
  <c r="AN46" i="5"/>
  <c r="BC46" i="5"/>
  <c r="BF46" i="5"/>
  <c r="BC35" i="5"/>
  <c r="BE35" i="5" s="1"/>
  <c r="AN35" i="5"/>
  <c r="AW35" i="5"/>
  <c r="AR35" i="5"/>
  <c r="AS35" i="5" s="1"/>
  <c r="BJ41" i="5"/>
  <c r="BF41" i="5"/>
  <c r="AN60" i="5"/>
  <c r="BC60" i="5"/>
  <c r="BG21" i="5"/>
  <c r="AR21" i="5"/>
  <c r="AS21" i="5" s="1"/>
  <c r="BC37" i="5"/>
  <c r="BE37" i="5" s="1"/>
  <c r="AN37" i="5"/>
  <c r="BC63" i="5"/>
  <c r="AN63" i="5"/>
  <c r="AN47" i="5"/>
  <c r="BC47" i="5"/>
  <c r="BC39" i="5"/>
  <c r="BE39" i="5" s="1"/>
  <c r="AN39" i="5"/>
  <c r="AW39" i="5"/>
  <c r="AN19" i="5"/>
  <c r="BC19" i="5"/>
  <c r="AN54" i="5"/>
  <c r="BC54" i="5"/>
  <c r="BE54" i="5" s="1"/>
  <c r="BC27" i="5"/>
  <c r="AN27" i="5"/>
  <c r="BF17" i="5"/>
  <c r="AN30" i="5"/>
  <c r="BC30" i="5"/>
  <c r="AR30" i="5"/>
  <c r="AS30" i="5" s="1"/>
  <c r="BJ34" i="5"/>
  <c r="BF55" i="5"/>
  <c r="BD24" i="5"/>
  <c r="AR24" i="5"/>
  <c r="AS24" i="5" s="1"/>
  <c r="BD58" i="5"/>
  <c r="BE58" i="5" s="1"/>
  <c r="BF58" i="5"/>
  <c r="BJ64" i="5"/>
  <c r="BD64" i="5"/>
  <c r="BE64" i="5" s="1"/>
  <c r="AR49" i="5"/>
  <c r="AS49" i="5" s="1"/>
  <c r="BF59" i="5"/>
  <c r="BC22" i="5"/>
  <c r="AN22" i="5"/>
  <c r="AW50" i="5"/>
  <c r="AR57" i="5"/>
  <c r="AS57" i="5" s="1"/>
  <c r="BJ57" i="5"/>
  <c r="AN53" i="5"/>
  <c r="BC53" i="5"/>
  <c r="BD53" i="5"/>
  <c r="BF53" i="5"/>
  <c r="AR36" i="5"/>
  <c r="AS36" i="5" s="1"/>
  <c r="BD48" i="5"/>
  <c r="BE48" i="5" s="1"/>
  <c r="BF66" i="5"/>
  <c r="BJ66" i="5"/>
  <c r="BF25" i="5"/>
  <c r="BJ29" i="5"/>
  <c r="BD32" i="5"/>
  <c r="BF26" i="5"/>
  <c r="BA20" i="5"/>
  <c r="BB20" i="5" s="1"/>
  <c r="BD46" i="5"/>
  <c r="BJ35" i="5"/>
  <c r="AW18" i="5"/>
  <c r="BC18" i="5"/>
  <c r="AN18" i="5"/>
  <c r="AZ23" i="5"/>
  <c r="AU23" i="5"/>
  <c r="AM23" i="5"/>
  <c r="BR23" i="5" s="1"/>
  <c r="AL23" i="5"/>
  <c r="BQ23" i="5" s="1"/>
  <c r="AV23" i="5"/>
  <c r="AV26" i="5"/>
  <c r="BV23" i="5" l="1"/>
  <c r="BW23" i="5"/>
  <c r="BK38" i="5"/>
  <c r="BH22" i="5"/>
  <c r="BI22" i="5" s="1"/>
  <c r="BE30" i="5"/>
  <c r="BK30" i="5" s="1"/>
  <c r="BK54" i="5"/>
  <c r="BL19" i="5"/>
  <c r="BK55" i="5"/>
  <c r="BK37" i="5"/>
  <c r="BK65" i="5"/>
  <c r="BE32" i="5"/>
  <c r="BK32" i="5" s="1"/>
  <c r="BL18" i="5"/>
  <c r="BK58" i="5"/>
  <c r="BE27" i="5"/>
  <c r="BK27" i="5" s="1"/>
  <c r="BK43" i="5"/>
  <c r="BK40" i="5"/>
  <c r="BL22" i="5"/>
  <c r="BK44" i="5"/>
  <c r="BK49" i="5"/>
  <c r="BE29" i="5"/>
  <c r="BK29" i="5" s="1"/>
  <c r="BK39" i="5"/>
  <c r="BH21" i="5"/>
  <c r="BI21" i="5" s="1"/>
  <c r="BE33" i="5"/>
  <c r="BK33" i="5" s="1"/>
  <c r="BE16" i="5"/>
  <c r="BK16" i="5" s="1"/>
  <c r="BH19" i="5"/>
  <c r="BI19" i="5" s="1"/>
  <c r="BE28" i="5"/>
  <c r="BK28" i="5" s="1"/>
  <c r="BH20" i="5"/>
  <c r="BI20" i="5" s="1"/>
  <c r="BE31" i="5"/>
  <c r="BK31" i="5" s="1"/>
  <c r="BK62" i="5"/>
  <c r="BK34" i="5"/>
  <c r="BK59" i="5"/>
  <c r="BL20" i="5"/>
  <c r="BE36" i="5"/>
  <c r="BK36" i="5" s="1"/>
  <c r="BE46" i="5"/>
  <c r="BK46" i="5" s="1"/>
  <c r="BK64" i="5"/>
  <c r="BE24" i="5"/>
  <c r="BK24" i="5" s="1"/>
  <c r="BU63" i="5"/>
  <c r="BS63" i="5"/>
  <c r="BT63" i="5"/>
  <c r="BT60" i="5"/>
  <c r="BS60" i="5"/>
  <c r="BU60" i="5"/>
  <c r="BK35" i="5"/>
  <c r="BU65" i="5"/>
  <c r="BT65" i="5"/>
  <c r="BS65" i="5"/>
  <c r="BT64" i="5"/>
  <c r="BS64" i="5"/>
  <c r="BU64" i="5"/>
  <c r="BU24" i="5"/>
  <c r="BT24" i="5"/>
  <c r="BS24" i="5"/>
  <c r="BS34" i="5"/>
  <c r="BT34" i="5"/>
  <c r="BU34" i="5"/>
  <c r="BS33" i="5"/>
  <c r="BU33" i="5"/>
  <c r="BT33" i="5"/>
  <c r="BU51" i="5"/>
  <c r="BT51" i="5"/>
  <c r="BS51" i="5"/>
  <c r="BX19" i="5"/>
  <c r="BY19" i="5"/>
  <c r="BZ19" i="5"/>
  <c r="BK41" i="5"/>
  <c r="BZ20" i="5"/>
  <c r="BX20" i="5"/>
  <c r="BY20" i="5"/>
  <c r="BK66" i="5"/>
  <c r="BH17" i="5"/>
  <c r="BI17" i="5" s="1"/>
  <c r="BU45" i="5"/>
  <c r="BT45" i="5"/>
  <c r="BS45" i="5"/>
  <c r="BE63" i="5"/>
  <c r="BK63" i="5" s="1"/>
  <c r="BE42" i="5"/>
  <c r="BK42" i="5" s="1"/>
  <c r="BS21" i="5"/>
  <c r="BT21" i="5"/>
  <c r="BU21" i="5"/>
  <c r="BS29" i="5"/>
  <c r="BU29" i="5"/>
  <c r="BT29" i="5"/>
  <c r="BS31" i="5"/>
  <c r="BU31" i="5"/>
  <c r="BT31" i="5"/>
  <c r="BK57" i="5"/>
  <c r="BS59" i="5"/>
  <c r="BU59" i="5"/>
  <c r="BT59" i="5"/>
  <c r="BT17" i="5"/>
  <c r="BS17" i="5"/>
  <c r="BU17" i="5"/>
  <c r="BT40" i="5"/>
  <c r="BU40" i="5"/>
  <c r="BS40" i="5"/>
  <c r="BM21" i="5"/>
  <c r="BE21" i="5"/>
  <c r="BK21" i="5" s="1"/>
  <c r="BY18" i="5"/>
  <c r="BX18" i="5"/>
  <c r="BZ18" i="5"/>
  <c r="BK48" i="5"/>
  <c r="BU47" i="5"/>
  <c r="BS47" i="5"/>
  <c r="BT47" i="5"/>
  <c r="BT20" i="5"/>
  <c r="BS20" i="5"/>
  <c r="BU20" i="5"/>
  <c r="BS44" i="5"/>
  <c r="BT44" i="5"/>
  <c r="BU44" i="5"/>
  <c r="BS50" i="5"/>
  <c r="BT50" i="5"/>
  <c r="BU50" i="5"/>
  <c r="BM22" i="5"/>
  <c r="BE22" i="5"/>
  <c r="BK22" i="5" s="1"/>
  <c r="BM17" i="5"/>
  <c r="BE17" i="5"/>
  <c r="BK17" i="5" s="1"/>
  <c r="BS32" i="5"/>
  <c r="BU32" i="5"/>
  <c r="BT32" i="5"/>
  <c r="BS66" i="5"/>
  <c r="BT66" i="5"/>
  <c r="BU66" i="5"/>
  <c r="BT48" i="5"/>
  <c r="BS48" i="5"/>
  <c r="BU48" i="5"/>
  <c r="BU58" i="5"/>
  <c r="BT58" i="5"/>
  <c r="BS58" i="5"/>
  <c r="BS52" i="5"/>
  <c r="BU52" i="5"/>
  <c r="BT52" i="5"/>
  <c r="BE51" i="5"/>
  <c r="BK51" i="5" s="1"/>
  <c r="BL21" i="5"/>
  <c r="BE56" i="5"/>
  <c r="BK56" i="5" s="1"/>
  <c r="BK61" i="5"/>
  <c r="BS43" i="5"/>
  <c r="BU43" i="5"/>
  <c r="BT43" i="5"/>
  <c r="BT28" i="5"/>
  <c r="BU28" i="5"/>
  <c r="BS28" i="5"/>
  <c r="BU53" i="5"/>
  <c r="BS53" i="5"/>
  <c r="BT53" i="5"/>
  <c r="BT22" i="5"/>
  <c r="BU22" i="5"/>
  <c r="BS22" i="5"/>
  <c r="BT30" i="5"/>
  <c r="BU30" i="5"/>
  <c r="BS30" i="5"/>
  <c r="BT19" i="5"/>
  <c r="BU19" i="5"/>
  <c r="BS19" i="5"/>
  <c r="BU39" i="5"/>
  <c r="BS39" i="5"/>
  <c r="BT39" i="5"/>
  <c r="BT37" i="5"/>
  <c r="BS37" i="5"/>
  <c r="BU37" i="5"/>
  <c r="BS35" i="5"/>
  <c r="BU35" i="5"/>
  <c r="BT35" i="5"/>
  <c r="BU36" i="5"/>
  <c r="BS36" i="5"/>
  <c r="BT36" i="5"/>
  <c r="BM19" i="5"/>
  <c r="BE19" i="5"/>
  <c r="BK19" i="5" s="1"/>
  <c r="BZ21" i="5"/>
  <c r="BY21" i="5"/>
  <c r="BX21" i="5"/>
  <c r="BU41" i="5"/>
  <c r="BT41" i="5"/>
  <c r="BS41" i="5"/>
  <c r="BM18" i="5"/>
  <c r="BE18" i="5"/>
  <c r="BK18" i="5" s="1"/>
  <c r="BM20" i="5"/>
  <c r="BE20" i="5"/>
  <c r="BK20" i="5" s="1"/>
  <c r="BY22" i="5"/>
  <c r="BX22" i="5"/>
  <c r="BZ22" i="5"/>
  <c r="BE47" i="5"/>
  <c r="BK47" i="5" s="1"/>
  <c r="BS38" i="5"/>
  <c r="BU38" i="5"/>
  <c r="BT38" i="5"/>
  <c r="BE50" i="5"/>
  <c r="BK50" i="5" s="1"/>
  <c r="BS55" i="5"/>
  <c r="BU55" i="5"/>
  <c r="BT55" i="5"/>
  <c r="BT61" i="5"/>
  <c r="BS61" i="5"/>
  <c r="BU61" i="5"/>
  <c r="BL17" i="5"/>
  <c r="BU18" i="5"/>
  <c r="BT18" i="5"/>
  <c r="BS18" i="5"/>
  <c r="BE53" i="5"/>
  <c r="BK53" i="5" s="1"/>
  <c r="BS27" i="5"/>
  <c r="BT27" i="5"/>
  <c r="BU27" i="5"/>
  <c r="BS54" i="5"/>
  <c r="BU54" i="5"/>
  <c r="BT54" i="5"/>
  <c r="BT46" i="5"/>
  <c r="BU46" i="5"/>
  <c r="BS46" i="5"/>
  <c r="BS49" i="5"/>
  <c r="BU49" i="5"/>
  <c r="BT49" i="5"/>
  <c r="BX17" i="5"/>
  <c r="BY17" i="5"/>
  <c r="BZ17" i="5"/>
  <c r="BS56" i="5"/>
  <c r="BU56" i="5"/>
  <c r="BT56" i="5"/>
  <c r="BT26" i="5"/>
  <c r="BU26" i="5"/>
  <c r="BS26" i="5"/>
  <c r="BK45" i="5"/>
  <c r="BU62" i="5"/>
  <c r="BS62" i="5"/>
  <c r="BT62" i="5"/>
  <c r="BS42" i="5"/>
  <c r="BU42" i="5"/>
  <c r="BT42" i="5"/>
  <c r="BE60" i="5"/>
  <c r="BK60" i="5" s="1"/>
  <c r="BS57" i="5"/>
  <c r="BU57" i="5"/>
  <c r="BT57" i="5"/>
  <c r="BS16" i="5"/>
  <c r="BU16" i="5"/>
  <c r="BT16" i="5"/>
  <c r="BD23" i="5"/>
  <c r="BC23" i="5"/>
  <c r="AN23" i="5"/>
  <c r="AW23" i="5"/>
  <c r="BG23" i="5"/>
  <c r="BH23" i="5" s="1"/>
  <c r="BI23" i="5" s="1"/>
  <c r="BA23" i="5"/>
  <c r="BB23" i="5" s="1"/>
  <c r="BD26" i="5"/>
  <c r="BO18" i="5" l="1"/>
  <c r="BP19" i="5"/>
  <c r="BP22" i="5"/>
  <c r="BP20" i="5"/>
  <c r="BO19" i="5"/>
  <c r="BO20" i="5"/>
  <c r="BN20" i="5"/>
  <c r="BP18" i="5"/>
  <c r="BN22" i="5"/>
  <c r="BN19" i="5"/>
  <c r="BN17" i="5"/>
  <c r="BP17" i="5"/>
  <c r="BO17" i="5"/>
  <c r="BP21" i="5"/>
  <c r="BO21" i="5"/>
  <c r="BN21" i="5"/>
  <c r="BO22" i="5"/>
  <c r="BN18" i="5"/>
  <c r="BU23" i="5"/>
  <c r="BS23" i="5"/>
  <c r="BT23" i="5"/>
  <c r="BL23" i="5"/>
  <c r="BZ23" i="5"/>
  <c r="BX23" i="5"/>
  <c r="BY23" i="5"/>
  <c r="BM23" i="5"/>
  <c r="BE23" i="5"/>
  <c r="BK23" i="5" s="1"/>
  <c r="BO23" i="5" l="1"/>
  <c r="BN23" i="5"/>
  <c r="BP23" i="5"/>
  <c r="AC4" i="5" l="1"/>
  <c r="AB4" i="5"/>
  <c r="AC5" i="5"/>
  <c r="AB5" i="5"/>
  <c r="AU26" i="5"/>
  <c r="AU25" i="5"/>
  <c r="AV25" i="5"/>
  <c r="AL25" i="5"/>
  <c r="BQ25" i="5" s="1"/>
  <c r="AM25" i="5"/>
  <c r="BR25" i="5" s="1"/>
  <c r="AG4" i="5" l="1"/>
  <c r="AG5" i="5"/>
  <c r="AF5" i="5"/>
  <c r="AD5" i="5" s="1"/>
  <c r="AF4" i="5"/>
  <c r="AD4" i="5" s="1"/>
  <c r="AN25" i="5"/>
  <c r="BC25" i="5"/>
  <c r="AW26" i="5"/>
  <c r="BC26" i="5"/>
  <c r="BD25" i="5"/>
  <c r="AW25" i="5"/>
  <c r="BE25" i="5" l="1"/>
  <c r="BE26" i="5"/>
  <c r="BK26" i="5" s="1"/>
  <c r="BU25" i="5"/>
  <c r="BT25" i="5"/>
  <c r="BS25" i="5"/>
  <c r="BK25" i="5" l="1"/>
  <c r="Z26" i="5"/>
  <c r="AA26" i="5" s="1"/>
  <c r="Z41" i="5"/>
  <c r="AA41" i="5" s="1"/>
  <c r="Z48" i="5"/>
  <c r="AA48" i="5" s="1"/>
  <c r="Z33" i="5"/>
  <c r="AA33" i="5" s="1"/>
  <c r="Z32" i="5"/>
  <c r="AA32" i="5" s="1"/>
  <c r="Z49" i="5"/>
  <c r="AA49" i="5" s="1"/>
  <c r="Z37" i="5"/>
  <c r="AA37" i="5" s="1"/>
  <c r="Z58" i="5"/>
  <c r="AA58" i="5" s="1"/>
  <c r="Z31" i="5"/>
  <c r="AA31" i="5" s="1"/>
  <c r="Z34" i="5"/>
  <c r="AA34" i="5" s="1"/>
  <c r="Z65" i="5"/>
  <c r="AA65" i="5" s="1"/>
  <c r="Z20" i="5"/>
  <c r="AA20" i="5" s="1"/>
  <c r="Z22" i="5"/>
  <c r="AA22" i="5" s="1"/>
  <c r="Z39" i="5"/>
  <c r="AA39" i="5" s="1"/>
  <c r="Z24" i="5"/>
  <c r="AA24" i="5" s="1"/>
  <c r="Z21" i="5"/>
  <c r="AA21" i="5" s="1"/>
  <c r="Z23" i="5"/>
  <c r="AA23" i="5" s="1"/>
  <c r="Z46" i="5"/>
  <c r="AA46" i="5" s="1"/>
  <c r="Z35" i="5"/>
  <c r="AA35" i="5" s="1"/>
  <c r="BZ9" i="4"/>
  <c r="CA9" i="4" s="1"/>
  <c r="Z61" i="5"/>
  <c r="AA61" i="5" s="1"/>
  <c r="Z51" i="5"/>
  <c r="AA51" i="5" s="1"/>
  <c r="Z62" i="5"/>
  <c r="AA62" i="5" s="1"/>
  <c r="BZ3" i="4"/>
  <c r="CA3" i="4" s="1"/>
  <c r="Z25" i="5"/>
  <c r="AA25" i="5" s="1"/>
  <c r="BZ8" i="4"/>
  <c r="CA8" i="4" s="1"/>
  <c r="Z45" i="5"/>
  <c r="AA45" i="5" s="1"/>
  <c r="Z66" i="5"/>
  <c r="AA66" i="5" s="1"/>
  <c r="Z47" i="5"/>
  <c r="AA47" i="5" s="1"/>
  <c r="Z43" i="5"/>
  <c r="AA43" i="5" s="1"/>
  <c r="Z27" i="5"/>
  <c r="AA27" i="5" s="1"/>
  <c r="Z19" i="5"/>
  <c r="AA19" i="5" s="1"/>
  <c r="N19" i="5" s="1"/>
  <c r="BZ7" i="4"/>
  <c r="CA7" i="4" s="1"/>
  <c r="Z63" i="5"/>
  <c r="AA63" i="5" s="1"/>
  <c r="Z57" i="5"/>
  <c r="AA57" i="5" s="1"/>
  <c r="BZ4" i="4"/>
  <c r="CA4" i="4" s="1"/>
  <c r="Z44" i="5"/>
  <c r="AA44" i="5" s="1"/>
  <c r="Z56" i="5"/>
  <c r="AA56" i="5" s="1"/>
  <c r="Z30" i="5"/>
  <c r="AA30" i="5" s="1"/>
  <c r="BZ5" i="4"/>
  <c r="CA5" i="4" s="1"/>
  <c r="Z40" i="5"/>
  <c r="AA40" i="5" s="1"/>
  <c r="Z28" i="5"/>
  <c r="AA28" i="5" s="1"/>
  <c r="Z16" i="5"/>
  <c r="AA16" i="5" s="1"/>
  <c r="Z50" i="5"/>
  <c r="AA50" i="5" s="1"/>
  <c r="Z36" i="5"/>
  <c r="AA36" i="5" s="1"/>
  <c r="Z55" i="5"/>
  <c r="AA55" i="5" s="1"/>
  <c r="Z17" i="5"/>
  <c r="AA17" i="5" s="1"/>
  <c r="Z64" i="5"/>
  <c r="AA64" i="5" s="1"/>
  <c r="Z18" i="5"/>
  <c r="AA18" i="5" s="1"/>
  <c r="Z59" i="5"/>
  <c r="AA59" i="5" s="1"/>
  <c r="Z38" i="5"/>
  <c r="AA38" i="5" s="1"/>
  <c r="Z52" i="5"/>
  <c r="AA52" i="5" s="1"/>
  <c r="Z53" i="5"/>
  <c r="AA53" i="5" s="1"/>
  <c r="Z29" i="5"/>
  <c r="AA29" i="5" s="1"/>
  <c r="Z54" i="5"/>
  <c r="AA54" i="5" s="1"/>
  <c r="Z60" i="5"/>
  <c r="AA60" i="5" s="1"/>
  <c r="Z42" i="5"/>
  <c r="AA42" i="5" s="1"/>
  <c r="F52" i="5" l="1"/>
  <c r="G52" i="5"/>
  <c r="H52" i="5"/>
  <c r="S52" i="5"/>
  <c r="T52" i="5"/>
  <c r="N52" i="5"/>
  <c r="E52" i="5"/>
  <c r="L52" i="5"/>
  <c r="Q52" i="5"/>
  <c r="M52" i="5"/>
  <c r="K52" i="5"/>
  <c r="R52" i="5"/>
  <c r="G50" i="5"/>
  <c r="H50" i="5"/>
  <c r="E50" i="5"/>
  <c r="F50" i="5"/>
  <c r="R50" i="5"/>
  <c r="S50" i="5"/>
  <c r="T50" i="5"/>
  <c r="N50" i="5"/>
  <c r="Q50" i="5"/>
  <c r="L50" i="5"/>
  <c r="M50" i="5"/>
  <c r="K50" i="5"/>
  <c r="G42" i="5"/>
  <c r="H42" i="5"/>
  <c r="E42" i="5"/>
  <c r="R42" i="5"/>
  <c r="S42" i="5"/>
  <c r="T42" i="5"/>
  <c r="N42" i="5"/>
  <c r="Q42" i="5"/>
  <c r="F42" i="5"/>
  <c r="L42" i="5"/>
  <c r="M42" i="5"/>
  <c r="K42" i="5"/>
  <c r="H53" i="5"/>
  <c r="E53" i="5"/>
  <c r="F53" i="5"/>
  <c r="T53" i="5"/>
  <c r="G53" i="5"/>
  <c r="R53" i="5"/>
  <c r="N53" i="5"/>
  <c r="L53" i="5"/>
  <c r="S53" i="5"/>
  <c r="Q53" i="5"/>
  <c r="M53" i="5"/>
  <c r="K53" i="5"/>
  <c r="K18" i="5"/>
  <c r="N18" i="5"/>
  <c r="M18" i="5"/>
  <c r="L18" i="5"/>
  <c r="F36" i="5"/>
  <c r="G36" i="5"/>
  <c r="H36" i="5"/>
  <c r="S36" i="5"/>
  <c r="T36" i="5"/>
  <c r="N36" i="5"/>
  <c r="E36" i="5"/>
  <c r="L36" i="5"/>
  <c r="M36" i="5"/>
  <c r="Q36" i="5"/>
  <c r="K36" i="5"/>
  <c r="R36" i="5"/>
  <c r="F40" i="5"/>
  <c r="G40" i="5"/>
  <c r="S40" i="5"/>
  <c r="H40" i="5"/>
  <c r="T40" i="5"/>
  <c r="N40" i="5"/>
  <c r="Q40" i="5"/>
  <c r="K40" i="5"/>
  <c r="E40" i="5"/>
  <c r="R40" i="5"/>
  <c r="L40" i="5"/>
  <c r="M40" i="5"/>
  <c r="F44" i="5"/>
  <c r="G44" i="5"/>
  <c r="E44" i="5"/>
  <c r="S44" i="5"/>
  <c r="T44" i="5"/>
  <c r="N44" i="5"/>
  <c r="H44" i="5"/>
  <c r="L44" i="5"/>
  <c r="Q44" i="5"/>
  <c r="R44" i="5"/>
  <c r="M44" i="5"/>
  <c r="K44" i="5"/>
  <c r="F47" i="5"/>
  <c r="G47" i="5"/>
  <c r="H47" i="5"/>
  <c r="E47" i="5"/>
  <c r="R47" i="5"/>
  <c r="N47" i="5"/>
  <c r="L47" i="5"/>
  <c r="S47" i="5"/>
  <c r="T47" i="5"/>
  <c r="M47" i="5"/>
  <c r="K47" i="5"/>
  <c r="Q47" i="5"/>
  <c r="K25" i="5"/>
  <c r="L25" i="5"/>
  <c r="M25" i="5"/>
  <c r="N25" i="5"/>
  <c r="H61" i="5"/>
  <c r="E61" i="5"/>
  <c r="F61" i="5"/>
  <c r="T61" i="5"/>
  <c r="R61" i="5"/>
  <c r="N61" i="5"/>
  <c r="L61" i="5"/>
  <c r="G61" i="5"/>
  <c r="Q61" i="5"/>
  <c r="S61" i="5"/>
  <c r="M61" i="5"/>
  <c r="K61" i="5"/>
  <c r="K23" i="5"/>
  <c r="M23" i="5"/>
  <c r="N23" i="5"/>
  <c r="L23" i="5"/>
  <c r="K22" i="5"/>
  <c r="M22" i="5"/>
  <c r="L22" i="5"/>
  <c r="N22" i="5"/>
  <c r="F31" i="5"/>
  <c r="G31" i="5"/>
  <c r="H31" i="5"/>
  <c r="E31" i="5"/>
  <c r="K31" i="5"/>
  <c r="Q31" i="5"/>
  <c r="M31" i="5"/>
  <c r="L31" i="5"/>
  <c r="N31" i="5"/>
  <c r="F32" i="5"/>
  <c r="G32" i="5"/>
  <c r="E32" i="5"/>
  <c r="H32" i="5"/>
  <c r="Q32" i="5"/>
  <c r="K32" i="5"/>
  <c r="N32" i="5"/>
  <c r="T32" i="5"/>
  <c r="L32" i="5"/>
  <c r="R32" i="5"/>
  <c r="S32" i="5"/>
  <c r="M32" i="5"/>
  <c r="G26" i="5"/>
  <c r="H26" i="5"/>
  <c r="E26" i="5"/>
  <c r="F26" i="5"/>
  <c r="Q26" i="5"/>
  <c r="K26" i="5"/>
  <c r="T26" i="5"/>
  <c r="N26" i="5"/>
  <c r="L26" i="5"/>
  <c r="S26" i="5"/>
  <c r="R26" i="5"/>
  <c r="M26" i="5"/>
  <c r="R31" i="5"/>
  <c r="M19" i="5"/>
  <c r="F60" i="5"/>
  <c r="G60" i="5"/>
  <c r="E60" i="5"/>
  <c r="S60" i="5"/>
  <c r="T60" i="5"/>
  <c r="N60" i="5"/>
  <c r="H60" i="5"/>
  <c r="L60" i="5"/>
  <c r="Q60" i="5"/>
  <c r="R60" i="5"/>
  <c r="M60" i="5"/>
  <c r="K60" i="5"/>
  <c r="K20" i="5"/>
  <c r="L20" i="5"/>
  <c r="M20" i="5"/>
  <c r="N20" i="5"/>
  <c r="H33" i="5"/>
  <c r="E33" i="5"/>
  <c r="F33" i="5"/>
  <c r="G33" i="5"/>
  <c r="Q33" i="5"/>
  <c r="K33" i="5"/>
  <c r="S33" i="5"/>
  <c r="T33" i="5"/>
  <c r="M33" i="5"/>
  <c r="L33" i="5"/>
  <c r="R33" i="5"/>
  <c r="N33" i="5"/>
  <c r="S19" i="5"/>
  <c r="L19" i="5"/>
  <c r="G66" i="5"/>
  <c r="H66" i="5"/>
  <c r="E66" i="5"/>
  <c r="R66" i="5"/>
  <c r="S66" i="5"/>
  <c r="T66" i="5"/>
  <c r="Q66" i="5"/>
  <c r="N66" i="5"/>
  <c r="L66" i="5"/>
  <c r="M66" i="5"/>
  <c r="K66" i="5"/>
  <c r="K21" i="5"/>
  <c r="N21" i="5"/>
  <c r="L21" i="5"/>
  <c r="M21" i="5"/>
  <c r="G58" i="5"/>
  <c r="H58" i="5"/>
  <c r="E58" i="5"/>
  <c r="R58" i="5"/>
  <c r="S58" i="5"/>
  <c r="F58" i="5"/>
  <c r="T58" i="5"/>
  <c r="N58" i="5"/>
  <c r="Q58" i="5"/>
  <c r="L58" i="5"/>
  <c r="M58" i="5"/>
  <c r="K58" i="5"/>
  <c r="G54" i="5"/>
  <c r="H54" i="5"/>
  <c r="E54" i="5"/>
  <c r="R54" i="5"/>
  <c r="F54" i="5"/>
  <c r="S54" i="5"/>
  <c r="T54" i="5"/>
  <c r="L54" i="5"/>
  <c r="Q54" i="5"/>
  <c r="N54" i="5"/>
  <c r="M54" i="5"/>
  <c r="K54" i="5"/>
  <c r="G38" i="5"/>
  <c r="H38" i="5"/>
  <c r="E38" i="5"/>
  <c r="R38" i="5"/>
  <c r="F38" i="5"/>
  <c r="S38" i="5"/>
  <c r="T38" i="5"/>
  <c r="L38" i="5"/>
  <c r="M38" i="5"/>
  <c r="Q38" i="5"/>
  <c r="N38" i="5"/>
  <c r="K38" i="5"/>
  <c r="K17" i="5"/>
  <c r="L17" i="5"/>
  <c r="M17" i="5"/>
  <c r="N17" i="5"/>
  <c r="K16" i="5"/>
  <c r="L16" i="5"/>
  <c r="M16" i="5"/>
  <c r="N16" i="5"/>
  <c r="K30" i="5"/>
  <c r="M30" i="5"/>
  <c r="L30" i="5"/>
  <c r="N30" i="5"/>
  <c r="H57" i="5"/>
  <c r="E57" i="5"/>
  <c r="F57" i="5"/>
  <c r="T57" i="5"/>
  <c r="G57" i="5"/>
  <c r="R57" i="5"/>
  <c r="N57" i="5"/>
  <c r="L57" i="5"/>
  <c r="Q57" i="5"/>
  <c r="M57" i="5"/>
  <c r="K57" i="5"/>
  <c r="S57" i="5"/>
  <c r="F27" i="5"/>
  <c r="G27" i="5"/>
  <c r="H27" i="5"/>
  <c r="E27" i="5"/>
  <c r="K27" i="5"/>
  <c r="Q27" i="5"/>
  <c r="S27" i="5"/>
  <c r="L27" i="5"/>
  <c r="R27" i="5"/>
  <c r="T27" i="5"/>
  <c r="M27" i="5"/>
  <c r="N27" i="5"/>
  <c r="H45" i="5"/>
  <c r="E45" i="5"/>
  <c r="F45" i="5"/>
  <c r="T45" i="5"/>
  <c r="R45" i="5"/>
  <c r="N45" i="5"/>
  <c r="L45" i="5"/>
  <c r="G45" i="5"/>
  <c r="Q45" i="5"/>
  <c r="S45" i="5"/>
  <c r="M45" i="5"/>
  <c r="K45" i="5"/>
  <c r="G62" i="5"/>
  <c r="H62" i="5"/>
  <c r="E62" i="5"/>
  <c r="F62" i="5"/>
  <c r="R62" i="5"/>
  <c r="S62" i="5"/>
  <c r="N62" i="5"/>
  <c r="L62" i="5"/>
  <c r="Q62" i="5"/>
  <c r="T62" i="5"/>
  <c r="M62" i="5"/>
  <c r="K62" i="5"/>
  <c r="F35" i="5"/>
  <c r="G35" i="5"/>
  <c r="H35" i="5"/>
  <c r="E35" i="5"/>
  <c r="R35" i="5"/>
  <c r="N35" i="5"/>
  <c r="L35" i="5"/>
  <c r="M35" i="5"/>
  <c r="S35" i="5"/>
  <c r="T35" i="5"/>
  <c r="K35" i="5"/>
  <c r="Q35" i="5"/>
  <c r="K24" i="5"/>
  <c r="M24" i="5"/>
  <c r="L24" i="5"/>
  <c r="N24" i="5"/>
  <c r="H65" i="5"/>
  <c r="E65" i="5"/>
  <c r="F65" i="5"/>
  <c r="G65" i="5"/>
  <c r="T65" i="5"/>
  <c r="R65" i="5"/>
  <c r="N65" i="5"/>
  <c r="L65" i="5"/>
  <c r="S65" i="5"/>
  <c r="Q65" i="5"/>
  <c r="M65" i="5"/>
  <c r="K65" i="5"/>
  <c r="H37" i="5"/>
  <c r="E37" i="5"/>
  <c r="F37" i="5"/>
  <c r="T37" i="5"/>
  <c r="G37" i="5"/>
  <c r="R37" i="5"/>
  <c r="N37" i="5"/>
  <c r="L37" i="5"/>
  <c r="M37" i="5"/>
  <c r="S37" i="5"/>
  <c r="Q37" i="5"/>
  <c r="K37" i="5"/>
  <c r="F48" i="5"/>
  <c r="G48" i="5"/>
  <c r="S48" i="5"/>
  <c r="E48" i="5"/>
  <c r="T48" i="5"/>
  <c r="N48" i="5"/>
  <c r="R48" i="5"/>
  <c r="Q48" i="5"/>
  <c r="H48" i="5"/>
  <c r="M48" i="5"/>
  <c r="K48" i="5"/>
  <c r="L48" i="5"/>
  <c r="T19" i="5"/>
  <c r="F64" i="5"/>
  <c r="G64" i="5"/>
  <c r="S64" i="5"/>
  <c r="E64" i="5"/>
  <c r="T64" i="5"/>
  <c r="R64" i="5"/>
  <c r="Q64" i="5"/>
  <c r="M64" i="5"/>
  <c r="K64" i="5"/>
  <c r="H64" i="5"/>
  <c r="N64" i="5"/>
  <c r="L64" i="5"/>
  <c r="F19" i="5"/>
  <c r="G19" i="5"/>
  <c r="H19" i="5"/>
  <c r="E19" i="5"/>
  <c r="K19" i="5"/>
  <c r="Q19" i="5"/>
  <c r="H29" i="5"/>
  <c r="E29" i="5"/>
  <c r="F29" i="5"/>
  <c r="Q29" i="5"/>
  <c r="K29" i="5"/>
  <c r="G29" i="5"/>
  <c r="M29" i="5"/>
  <c r="S29" i="5"/>
  <c r="T29" i="5"/>
  <c r="R29" i="5"/>
  <c r="L29" i="5"/>
  <c r="N29" i="5"/>
  <c r="F59" i="5"/>
  <c r="G59" i="5"/>
  <c r="H59" i="5"/>
  <c r="E59" i="5"/>
  <c r="R59" i="5"/>
  <c r="N59" i="5"/>
  <c r="L59" i="5"/>
  <c r="S59" i="5"/>
  <c r="T59" i="5"/>
  <c r="M59" i="5"/>
  <c r="K59" i="5"/>
  <c r="Q59" i="5"/>
  <c r="F55" i="5"/>
  <c r="G55" i="5"/>
  <c r="H55" i="5"/>
  <c r="E55" i="5"/>
  <c r="R55" i="5"/>
  <c r="N55" i="5"/>
  <c r="L55" i="5"/>
  <c r="S55" i="5"/>
  <c r="T55" i="5"/>
  <c r="M55" i="5"/>
  <c r="K55" i="5"/>
  <c r="Q55" i="5"/>
  <c r="F28" i="5"/>
  <c r="G28" i="5"/>
  <c r="E28" i="5"/>
  <c r="H28" i="5"/>
  <c r="Q28" i="5"/>
  <c r="K28" i="5"/>
  <c r="M28" i="5"/>
  <c r="S28" i="5"/>
  <c r="T28" i="5"/>
  <c r="R28" i="5"/>
  <c r="L28" i="5"/>
  <c r="N28" i="5"/>
  <c r="F56" i="5"/>
  <c r="G56" i="5"/>
  <c r="S56" i="5"/>
  <c r="H56" i="5"/>
  <c r="T56" i="5"/>
  <c r="N56" i="5"/>
  <c r="Q56" i="5"/>
  <c r="M56" i="5"/>
  <c r="K56" i="5"/>
  <c r="R56" i="5"/>
  <c r="L56" i="5"/>
  <c r="E56" i="5"/>
  <c r="F63" i="5"/>
  <c r="G63" i="5"/>
  <c r="H63" i="5"/>
  <c r="E63" i="5"/>
  <c r="R63" i="5"/>
  <c r="N63" i="5"/>
  <c r="L63" i="5"/>
  <c r="S63" i="5"/>
  <c r="T63" i="5"/>
  <c r="M63" i="5"/>
  <c r="K63" i="5"/>
  <c r="Q63" i="5"/>
  <c r="F43" i="5"/>
  <c r="G43" i="5"/>
  <c r="H43" i="5"/>
  <c r="E43" i="5"/>
  <c r="R43" i="5"/>
  <c r="N43" i="5"/>
  <c r="L43" i="5"/>
  <c r="S43" i="5"/>
  <c r="T43" i="5"/>
  <c r="M43" i="5"/>
  <c r="K43" i="5"/>
  <c r="Q43" i="5"/>
  <c r="F51" i="5"/>
  <c r="G51" i="5"/>
  <c r="H51" i="5"/>
  <c r="E51" i="5"/>
  <c r="R51" i="5"/>
  <c r="N51" i="5"/>
  <c r="L51" i="5"/>
  <c r="S51" i="5"/>
  <c r="T51" i="5"/>
  <c r="M51" i="5"/>
  <c r="K51" i="5"/>
  <c r="Q51" i="5"/>
  <c r="G46" i="5"/>
  <c r="H46" i="5"/>
  <c r="E46" i="5"/>
  <c r="F46" i="5"/>
  <c r="R46" i="5"/>
  <c r="S46" i="5"/>
  <c r="N46" i="5"/>
  <c r="L46" i="5"/>
  <c r="Q46" i="5"/>
  <c r="T46" i="5"/>
  <c r="M46" i="5"/>
  <c r="K46" i="5"/>
  <c r="F39" i="5"/>
  <c r="G39" i="5"/>
  <c r="H39" i="5"/>
  <c r="E39" i="5"/>
  <c r="R39" i="5"/>
  <c r="N39" i="5"/>
  <c r="L39" i="5"/>
  <c r="M39" i="5"/>
  <c r="S39" i="5"/>
  <c r="T39" i="5"/>
  <c r="K39" i="5"/>
  <c r="Q39" i="5"/>
  <c r="G34" i="5"/>
  <c r="H34" i="5"/>
  <c r="E34" i="5"/>
  <c r="F34" i="5"/>
  <c r="Q34" i="5"/>
  <c r="K34" i="5"/>
  <c r="N34" i="5"/>
  <c r="T34" i="5"/>
  <c r="S34" i="5"/>
  <c r="M34" i="5"/>
  <c r="L34" i="5"/>
  <c r="R34" i="5"/>
  <c r="H49" i="5"/>
  <c r="E49" i="5"/>
  <c r="F49" i="5"/>
  <c r="G49" i="5"/>
  <c r="T49" i="5"/>
  <c r="R49" i="5"/>
  <c r="N49" i="5"/>
  <c r="L49" i="5"/>
  <c r="S49" i="5"/>
  <c r="Q49" i="5"/>
  <c r="M49" i="5"/>
  <c r="K49" i="5"/>
  <c r="H41" i="5"/>
  <c r="E41" i="5"/>
  <c r="F41" i="5"/>
  <c r="T41" i="5"/>
  <c r="G41" i="5"/>
  <c r="R41" i="5"/>
  <c r="N41" i="5"/>
  <c r="L41" i="5"/>
  <c r="M41" i="5"/>
  <c r="Q41" i="5"/>
  <c r="K41" i="5"/>
  <c r="S41" i="5"/>
  <c r="T31" i="5"/>
  <c r="R19" i="5"/>
  <c r="S31" i="5"/>
  <c r="AB42" i="5"/>
  <c r="C42" i="5" s="1"/>
  <c r="AC42" i="5"/>
  <c r="J42" i="5" s="1"/>
  <c r="AD42" i="5"/>
  <c r="P42" i="5" s="1"/>
  <c r="AC53" i="5"/>
  <c r="J53" i="5" s="1"/>
  <c r="AD53" i="5"/>
  <c r="P53" i="5" s="1"/>
  <c r="AB53" i="5"/>
  <c r="C53" i="5" s="1"/>
  <c r="AC18" i="5"/>
  <c r="J18" i="5" s="1"/>
  <c r="AB18" i="5"/>
  <c r="C18" i="5" s="1"/>
  <c r="AD18" i="5"/>
  <c r="P18" i="5" s="1"/>
  <c r="AB36" i="5"/>
  <c r="C36" i="5" s="1"/>
  <c r="AC36" i="5"/>
  <c r="J36" i="5" s="1"/>
  <c r="AD36" i="5"/>
  <c r="P36" i="5" s="1"/>
  <c r="AB40" i="5"/>
  <c r="C40" i="5" s="1"/>
  <c r="AD40" i="5"/>
  <c r="P40" i="5" s="1"/>
  <c r="AC40" i="5"/>
  <c r="J40" i="5" s="1"/>
  <c r="AC44" i="5"/>
  <c r="J44" i="5" s="1"/>
  <c r="AB44" i="5"/>
  <c r="C44" i="5" s="1"/>
  <c r="AD44" i="5"/>
  <c r="P44" i="5" s="1"/>
  <c r="CB7" i="4"/>
  <c r="CC7" i="4" s="1"/>
  <c r="C15" i="15"/>
  <c r="AB47" i="5"/>
  <c r="C47" i="5" s="1"/>
  <c r="AC47" i="5"/>
  <c r="J47" i="5" s="1"/>
  <c r="AD47" i="5"/>
  <c r="P47" i="5" s="1"/>
  <c r="AB25" i="5"/>
  <c r="C25" i="5" s="1"/>
  <c r="AC25" i="5"/>
  <c r="J25" i="5" s="1"/>
  <c r="AD25" i="5"/>
  <c r="P25" i="5" s="1"/>
  <c r="AD61" i="5"/>
  <c r="P61" i="5" s="1"/>
  <c r="AB61" i="5"/>
  <c r="C61" i="5" s="1"/>
  <c r="AC61" i="5"/>
  <c r="J61" i="5" s="1"/>
  <c r="AD23" i="5"/>
  <c r="P23" i="5" s="1"/>
  <c r="AB23" i="5"/>
  <c r="C23" i="5" s="1"/>
  <c r="AC23" i="5"/>
  <c r="J23" i="5" s="1"/>
  <c r="AC22" i="5"/>
  <c r="J22" i="5" s="1"/>
  <c r="AD22" i="5"/>
  <c r="P22" i="5" s="1"/>
  <c r="AB22" i="5"/>
  <c r="C22" i="5" s="1"/>
  <c r="AB31" i="5"/>
  <c r="C31" i="5" s="1"/>
  <c r="AD31" i="5"/>
  <c r="P31" i="5" s="1"/>
  <c r="AC31" i="5"/>
  <c r="J31" i="5" s="1"/>
  <c r="AB32" i="5"/>
  <c r="C32" i="5" s="1"/>
  <c r="AC32" i="5"/>
  <c r="J32" i="5" s="1"/>
  <c r="AD32" i="5"/>
  <c r="P32" i="5" s="1"/>
  <c r="AC26" i="5"/>
  <c r="J26" i="5" s="1"/>
  <c r="AD26" i="5"/>
  <c r="P26" i="5" s="1"/>
  <c r="AB26" i="5"/>
  <c r="C26" i="5" s="1"/>
  <c r="AB60" i="5"/>
  <c r="C60" i="5" s="1"/>
  <c r="AD60" i="5"/>
  <c r="P60" i="5" s="1"/>
  <c r="AC60" i="5"/>
  <c r="J60" i="5" s="1"/>
  <c r="AB52" i="5"/>
  <c r="C52" i="5" s="1"/>
  <c r="AD52" i="5"/>
  <c r="P52" i="5" s="1"/>
  <c r="AC52" i="5"/>
  <c r="J52" i="5" s="1"/>
  <c r="AC64" i="5"/>
  <c r="J64" i="5" s="1"/>
  <c r="AB64" i="5"/>
  <c r="C64" i="5" s="1"/>
  <c r="AD64" i="5"/>
  <c r="P64" i="5" s="1"/>
  <c r="AC50" i="5"/>
  <c r="J50" i="5" s="1"/>
  <c r="AB50" i="5"/>
  <c r="C50" i="5" s="1"/>
  <c r="AD50" i="5"/>
  <c r="P50" i="5" s="1"/>
  <c r="C14" i="15"/>
  <c r="CB5" i="4"/>
  <c r="CC5" i="4" s="1"/>
  <c r="C13" i="15"/>
  <c r="CB4" i="4"/>
  <c r="CC4" i="4" s="1"/>
  <c r="AB19" i="5"/>
  <c r="C19" i="5" s="1"/>
  <c r="AD19" i="5"/>
  <c r="P19" i="5" s="1"/>
  <c r="AC19" i="5"/>
  <c r="J19" i="5" s="1"/>
  <c r="AC66" i="5"/>
  <c r="J66" i="5" s="1"/>
  <c r="AD66" i="5"/>
  <c r="P66" i="5" s="1"/>
  <c r="AB66" i="5"/>
  <c r="C12" i="15"/>
  <c r="CB3" i="4"/>
  <c r="CC3" i="4" s="1"/>
  <c r="CB9" i="4"/>
  <c r="CC9" i="4" s="1"/>
  <c r="C17" i="15"/>
  <c r="AD21" i="5"/>
  <c r="P21" i="5" s="1"/>
  <c r="AB21" i="5"/>
  <c r="C21" i="5" s="1"/>
  <c r="AC21" i="5"/>
  <c r="J21" i="5" s="1"/>
  <c r="AB20" i="5"/>
  <c r="C20" i="5" s="1"/>
  <c r="AD20" i="5"/>
  <c r="P20" i="5" s="1"/>
  <c r="AC20" i="5"/>
  <c r="J20" i="5" s="1"/>
  <c r="AD58" i="5"/>
  <c r="P58" i="5" s="1"/>
  <c r="AB58" i="5"/>
  <c r="C58" i="5" s="1"/>
  <c r="AC58" i="5"/>
  <c r="J58" i="5" s="1"/>
  <c r="AC33" i="5"/>
  <c r="J33" i="5" s="1"/>
  <c r="AD33" i="5"/>
  <c r="P33" i="5" s="1"/>
  <c r="AB33" i="5"/>
  <c r="C33" i="5" s="1"/>
  <c r="AC54" i="5"/>
  <c r="J54" i="5" s="1"/>
  <c r="AB54" i="5"/>
  <c r="C54" i="5" s="1"/>
  <c r="AD54" i="5"/>
  <c r="P54" i="5" s="1"/>
  <c r="AC38" i="5"/>
  <c r="J38" i="5" s="1"/>
  <c r="AD38" i="5"/>
  <c r="P38" i="5" s="1"/>
  <c r="AB38" i="5"/>
  <c r="C38" i="5" s="1"/>
  <c r="AB17" i="5"/>
  <c r="C17" i="5" s="1"/>
  <c r="AC17" i="5"/>
  <c r="J17" i="5" s="1"/>
  <c r="AD17" i="5"/>
  <c r="P17" i="5" s="1"/>
  <c r="AD16" i="5"/>
  <c r="P16" i="5" s="1"/>
  <c r="AB16" i="5"/>
  <c r="C16" i="5" s="1"/>
  <c r="AC16" i="5"/>
  <c r="J16" i="5" s="1"/>
  <c r="AC30" i="5"/>
  <c r="J30" i="5" s="1"/>
  <c r="AB30" i="5"/>
  <c r="C30" i="5" s="1"/>
  <c r="AD30" i="5"/>
  <c r="P30" i="5" s="1"/>
  <c r="AC57" i="5"/>
  <c r="J57" i="5" s="1"/>
  <c r="AD57" i="5"/>
  <c r="P57" i="5" s="1"/>
  <c r="AB57" i="5"/>
  <c r="C57" i="5" s="1"/>
  <c r="AD27" i="5"/>
  <c r="P27" i="5" s="1"/>
  <c r="AC27" i="5"/>
  <c r="J27" i="5" s="1"/>
  <c r="AB27" i="5"/>
  <c r="C27" i="5" s="1"/>
  <c r="AB45" i="5"/>
  <c r="C45" i="5" s="1"/>
  <c r="AD45" i="5"/>
  <c r="P45" i="5" s="1"/>
  <c r="AC45" i="5"/>
  <c r="J45" i="5" s="1"/>
  <c r="AB62" i="5"/>
  <c r="C62" i="5" s="1"/>
  <c r="AD62" i="5"/>
  <c r="P62" i="5" s="1"/>
  <c r="AC62" i="5"/>
  <c r="J62" i="5" s="1"/>
  <c r="AB35" i="5"/>
  <c r="C35" i="5" s="1"/>
  <c r="AD35" i="5"/>
  <c r="P35" i="5" s="1"/>
  <c r="AC35" i="5"/>
  <c r="J35" i="5" s="1"/>
  <c r="AB24" i="5"/>
  <c r="C24" i="5" s="1"/>
  <c r="AC24" i="5"/>
  <c r="J24" i="5" s="1"/>
  <c r="AD24" i="5"/>
  <c r="P24" i="5" s="1"/>
  <c r="AD65" i="5"/>
  <c r="P65" i="5" s="1"/>
  <c r="AB65" i="5"/>
  <c r="C65" i="5" s="1"/>
  <c r="AC65" i="5"/>
  <c r="J65" i="5" s="1"/>
  <c r="AB37" i="5"/>
  <c r="C37" i="5" s="1"/>
  <c r="AC37" i="5"/>
  <c r="J37" i="5" s="1"/>
  <c r="AD37" i="5"/>
  <c r="P37" i="5" s="1"/>
  <c r="AC48" i="5"/>
  <c r="J48" i="5" s="1"/>
  <c r="AD48" i="5"/>
  <c r="P48" i="5" s="1"/>
  <c r="AB48" i="5"/>
  <c r="C48" i="5" s="1"/>
  <c r="AB29" i="5"/>
  <c r="C29" i="5" s="1"/>
  <c r="AC29" i="5"/>
  <c r="J29" i="5" s="1"/>
  <c r="AD29" i="5"/>
  <c r="P29" i="5" s="1"/>
  <c r="AB59" i="5"/>
  <c r="C59" i="5" s="1"/>
  <c r="AC59" i="5"/>
  <c r="J59" i="5" s="1"/>
  <c r="AD59" i="5"/>
  <c r="P59" i="5" s="1"/>
  <c r="AB55" i="5"/>
  <c r="C55" i="5" s="1"/>
  <c r="AC55" i="5"/>
  <c r="J55" i="5" s="1"/>
  <c r="AD55" i="5"/>
  <c r="P55" i="5" s="1"/>
  <c r="AB28" i="5"/>
  <c r="C28" i="5" s="1"/>
  <c r="AD28" i="5"/>
  <c r="P28" i="5" s="1"/>
  <c r="AC28" i="5"/>
  <c r="J28" i="5" s="1"/>
  <c r="AB56" i="5"/>
  <c r="C56" i="5" s="1"/>
  <c r="AC56" i="5"/>
  <c r="J56" i="5" s="1"/>
  <c r="AD56" i="5"/>
  <c r="P56" i="5" s="1"/>
  <c r="AC63" i="5"/>
  <c r="J63" i="5" s="1"/>
  <c r="AD63" i="5"/>
  <c r="P63" i="5" s="1"/>
  <c r="AB63" i="5"/>
  <c r="C63" i="5" s="1"/>
  <c r="AB43" i="5"/>
  <c r="C43" i="5" s="1"/>
  <c r="AD43" i="5"/>
  <c r="P43" i="5" s="1"/>
  <c r="AC43" i="5"/>
  <c r="J43" i="5" s="1"/>
  <c r="CB8" i="4"/>
  <c r="CC8" i="4" s="1"/>
  <c r="C16" i="15"/>
  <c r="AD51" i="5"/>
  <c r="P51" i="5" s="1"/>
  <c r="AC51" i="5"/>
  <c r="J51" i="5" s="1"/>
  <c r="AB51" i="5"/>
  <c r="C51" i="5" s="1"/>
  <c r="AC46" i="5"/>
  <c r="J46" i="5" s="1"/>
  <c r="AB46" i="5"/>
  <c r="C46" i="5" s="1"/>
  <c r="AD46" i="5"/>
  <c r="P46" i="5" s="1"/>
  <c r="AB39" i="5"/>
  <c r="C39" i="5" s="1"/>
  <c r="AD39" i="5"/>
  <c r="P39" i="5" s="1"/>
  <c r="AC39" i="5"/>
  <c r="J39" i="5" s="1"/>
  <c r="AC34" i="5"/>
  <c r="J34" i="5" s="1"/>
  <c r="AB34" i="5"/>
  <c r="C34" i="5" s="1"/>
  <c r="AD34" i="5"/>
  <c r="P34" i="5" s="1"/>
  <c r="AC49" i="5"/>
  <c r="J49" i="5" s="1"/>
  <c r="AD49" i="5"/>
  <c r="P49" i="5" s="1"/>
  <c r="AB49" i="5"/>
  <c r="C49" i="5" s="1"/>
  <c r="AC41" i="5"/>
  <c r="J41" i="5" s="1"/>
  <c r="AB41" i="5"/>
  <c r="C41" i="5" s="1"/>
  <c r="AD41" i="5"/>
  <c r="P41" i="5" s="1"/>
  <c r="D33" i="5" l="1"/>
  <c r="D58" i="5"/>
  <c r="D50" i="5"/>
  <c r="D45" i="5"/>
  <c r="D27" i="5"/>
  <c r="D52" i="5"/>
  <c r="D61" i="5"/>
  <c r="D22" i="5"/>
  <c r="D25" i="5"/>
  <c r="D65" i="5"/>
  <c r="D16" i="5"/>
  <c r="D48" i="5"/>
  <c r="D24" i="5"/>
  <c r="D57" i="5"/>
  <c r="D17" i="5"/>
  <c r="D38" i="5"/>
  <c r="D40" i="5"/>
  <c r="D51" i="5"/>
  <c r="D43" i="5"/>
  <c r="D62" i="5"/>
  <c r="D36" i="5"/>
  <c r="D34" i="5"/>
  <c r="D56" i="5"/>
  <c r="D28" i="5"/>
  <c r="D29" i="5"/>
  <c r="D35" i="5"/>
  <c r="B12" i="15"/>
  <c r="CD3" i="4"/>
  <c r="E12" i="15" s="1"/>
  <c r="D32" i="5"/>
  <c r="D31" i="5"/>
  <c r="D18" i="5"/>
  <c r="D53" i="5"/>
  <c r="D39" i="5"/>
  <c r="B16" i="15"/>
  <c r="CD8" i="4"/>
  <c r="E16" i="15" s="1"/>
  <c r="D59" i="5"/>
  <c r="D20" i="5"/>
  <c r="D21" i="5"/>
  <c r="D19" i="5"/>
  <c r="CD5" i="4"/>
  <c r="E14" i="15" s="1"/>
  <c r="B14" i="15"/>
  <c r="D60" i="5"/>
  <c r="D41" i="5"/>
  <c r="D49" i="5"/>
  <c r="D46" i="5"/>
  <c r="D63" i="5"/>
  <c r="D55" i="5"/>
  <c r="D37" i="5"/>
  <c r="D30" i="5"/>
  <c r="D54" i="5"/>
  <c r="D66" i="5"/>
  <c r="D64" i="5"/>
  <c r="D26" i="5"/>
  <c r="D47" i="5"/>
  <c r="B15" i="15"/>
  <c r="CD7" i="4"/>
  <c r="E15" i="15" s="1"/>
  <c r="D42" i="5"/>
  <c r="B17" i="15"/>
  <c r="CD9" i="4"/>
  <c r="E17" i="15" s="1"/>
  <c r="B13" i="15"/>
  <c r="CD4" i="4"/>
  <c r="E13" i="15" s="1"/>
  <c r="D23" i="5"/>
  <c r="D44" i="5"/>
  <c r="Y6" i="5" l="1"/>
  <c r="AZ16" i="5" l="1"/>
  <c r="BW16" i="5" l="1"/>
  <c r="BV16" i="5"/>
  <c r="BG16" i="5"/>
  <c r="BA16" i="5"/>
  <c r="BB16" i="5" s="1"/>
  <c r="Q25" i="5" l="1"/>
  <c r="Q17" i="5"/>
  <c r="BX16" i="5"/>
  <c r="BY16" i="5"/>
  <c r="BZ16" i="5"/>
  <c r="BL16" i="5"/>
  <c r="BH16" i="5"/>
  <c r="BI16" i="5" s="1"/>
  <c r="BM16" i="5"/>
  <c r="E25" i="5" l="1"/>
  <c r="E17" i="5"/>
  <c r="S25" i="5"/>
  <c r="S17" i="5"/>
  <c r="R25" i="5"/>
  <c r="R17" i="5"/>
  <c r="T25" i="5"/>
  <c r="T17" i="5"/>
  <c r="BP16" i="5"/>
  <c r="BN16" i="5"/>
  <c r="BO16" i="5"/>
  <c r="AH24" i="11"/>
  <c r="P13" i="15"/>
  <c r="AG14" i="7"/>
  <c r="AI15" i="7" s="1"/>
  <c r="G25" i="5" l="1"/>
  <c r="G17" i="5"/>
  <c r="F25" i="5"/>
  <c r="F17" i="5"/>
  <c r="H25" i="5"/>
  <c r="H17" i="5"/>
  <c r="AI24" i="11"/>
  <c r="AH14" i="7"/>
  <c r="AJ15" i="7" s="1"/>
  <c r="Q13" i="15"/>
  <c r="R15" i="15" s="1"/>
  <c r="BJ6" i="5"/>
  <c r="BI6" i="5"/>
  <c r="I32" i="15" s="1"/>
  <c r="N14" i="7"/>
  <c r="C39" i="15"/>
  <c r="BJ8" i="5"/>
  <c r="AG24" i="11" l="1"/>
  <c r="AJ24" i="11" s="1"/>
  <c r="E15" i="5"/>
  <c r="O14" i="7"/>
  <c r="AE6" i="5"/>
  <c r="E39" i="15"/>
  <c r="D39" i="15"/>
  <c r="AK15" i="7"/>
  <c r="AO4" i="7" s="1"/>
  <c r="DR2" i="4" l="1"/>
  <c r="A88" i="4" l="1"/>
  <c r="AT15" i="4" l="1"/>
  <c r="AT12" i="4"/>
  <c r="AU12" i="4" s="1"/>
  <c r="AT17" i="4"/>
  <c r="AT18" i="4"/>
  <c r="AP18" i="4" s="1"/>
  <c r="AT19" i="4"/>
  <c r="BW2" i="4"/>
  <c r="AT16" i="4"/>
  <c r="BW3" i="4" l="1"/>
  <c r="BW4" i="4" s="1"/>
  <c r="BW5" i="4" s="1"/>
  <c r="BW6" i="4" s="1"/>
  <c r="BW7" i="4" s="1"/>
  <c r="BW8" i="4" s="1"/>
  <c r="AZ12" i="4"/>
  <c r="BD12" i="4" s="1"/>
  <c r="BE12" i="4" s="1"/>
  <c r="AU16" i="4"/>
  <c r="AU19" i="4"/>
  <c r="AU18" i="4"/>
  <c r="AU17" i="4"/>
  <c r="AP17" i="4"/>
  <c r="AP19" i="4"/>
  <c r="AP16" i="4"/>
  <c r="BB12" i="4"/>
  <c r="BA12" i="4" s="1"/>
  <c r="BC12" i="4" s="1"/>
  <c r="AU15" i="4"/>
  <c r="AP12" i="4"/>
  <c r="AP15" i="4"/>
  <c r="AM2" i="4" l="1"/>
  <c r="AM4" i="4" s="1"/>
  <c r="AZ15" i="4"/>
  <c r="BI15" i="4" s="1"/>
  <c r="AZ18" i="4"/>
  <c r="AZ16" i="4"/>
  <c r="AZ19" i="4"/>
  <c r="AZ17" i="4"/>
  <c r="BG12" i="4"/>
  <c r="BF12" i="4" s="1"/>
  <c r="BK12" i="4"/>
  <c r="BL12" i="4" s="1"/>
  <c r="BH12" i="4"/>
  <c r="BI12" i="4" s="1"/>
  <c r="BB15" i="4"/>
  <c r="BA15" i="4" s="1"/>
  <c r="BB18" i="4"/>
  <c r="BA18" i="4" s="1"/>
  <c r="BB19" i="4"/>
  <c r="BA19" i="4" s="1"/>
  <c r="BB16" i="4"/>
  <c r="BA16" i="4" s="1"/>
  <c r="BB17" i="4"/>
  <c r="BA17" i="4" s="1"/>
  <c r="BD16" i="4" l="1"/>
  <c r="BR12" i="4"/>
  <c r="BS12" i="4" s="1"/>
  <c r="BN12" i="4"/>
  <c r="BQ12" i="4" s="1"/>
  <c r="BM12" i="4"/>
  <c r="BC17" i="4"/>
  <c r="BD17" i="4"/>
  <c r="BE17" i="4" s="1"/>
  <c r="BC16" i="4"/>
  <c r="BC19" i="4"/>
  <c r="BD19" i="4"/>
  <c r="BE19" i="4" s="1"/>
  <c r="BD15" i="4"/>
  <c r="BC15" i="4"/>
  <c r="BK15" i="4" s="1"/>
  <c r="BC10" i="4"/>
  <c r="BC18" i="4"/>
  <c r="BD18" i="4"/>
  <c r="BE18" i="4" s="1"/>
  <c r="BO12" i="4" l="1"/>
  <c r="BK19" i="4"/>
  <c r="BK18" i="4"/>
  <c r="BN15" i="4"/>
  <c r="BL15" i="4"/>
  <c r="BK16" i="4"/>
  <c r="BE16" i="4"/>
  <c r="BH16" i="4"/>
  <c r="BI16" i="4" s="1"/>
  <c r="BG16" i="4"/>
  <c r="BE15" i="4"/>
  <c r="BM15" i="4"/>
  <c r="BK17" i="4"/>
  <c r="K34" i="15"/>
  <c r="K33" i="15"/>
  <c r="W17" i="4" l="1"/>
  <c r="BF16" i="4"/>
  <c r="BR16" i="4"/>
  <c r="BS16" i="4" s="1"/>
  <c r="BG17" i="4"/>
  <c r="BH17" i="4"/>
  <c r="BI17" i="4" s="1"/>
  <c r="BQ15" i="4"/>
  <c r="BO15" i="4"/>
  <c r="BN16" i="4"/>
  <c r="BN17" i="4" s="1"/>
  <c r="BL16" i="4"/>
  <c r="BL17" i="4" s="1"/>
  <c r="BL18" i="4" s="1"/>
  <c r="BL19" i="4" s="1"/>
  <c r="BL20" i="4" s="1"/>
  <c r="BQ20" i="4" s="1"/>
  <c r="BM16" i="4"/>
  <c r="V35" i="15"/>
  <c r="L36" i="15"/>
  <c r="L35" i="15"/>
  <c r="V34" i="15"/>
  <c r="V32" i="15" l="1"/>
  <c r="BH18" i="4"/>
  <c r="BI18" i="4" s="1"/>
  <c r="BM17" i="4"/>
  <c r="BM18" i="4" s="1"/>
  <c r="BM19" i="4" s="1"/>
  <c r="BM20" i="4" s="1"/>
  <c r="W18" i="4"/>
  <c r="BF17" i="4"/>
  <c r="BG18" i="4"/>
  <c r="BQ16" i="4"/>
  <c r="BO16" i="4"/>
  <c r="BQ17" i="4"/>
  <c r="BO17" i="4"/>
  <c r="BN18" i="4"/>
  <c r="BN19" i="4" s="1"/>
  <c r="BO19" i="4" s="1"/>
  <c r="BR17" i="4"/>
  <c r="BS17" i="4" s="1"/>
  <c r="L37" i="15"/>
  <c r="L38" i="15"/>
  <c r="K41" i="15"/>
  <c r="K40" i="15"/>
  <c r="BQ19" i="4" l="1"/>
  <c r="K42" i="15"/>
  <c r="K39" i="15"/>
  <c r="BR18" i="4"/>
  <c r="BS18" i="4" s="1"/>
  <c r="W19" i="4"/>
  <c r="BF18" i="4"/>
  <c r="BG19" i="4"/>
  <c r="BG20" i="4" s="1"/>
  <c r="L32" i="15"/>
  <c r="V33" i="15"/>
  <c r="BQ18" i="4"/>
  <c r="BO18" i="4"/>
  <c r="BH19" i="4"/>
  <c r="BH20" i="4" s="1"/>
  <c r="BH21" i="4" l="1"/>
  <c r="BI20" i="4"/>
  <c r="BR20" i="4"/>
  <c r="BS20" i="4" s="1"/>
  <c r="BF20" i="4"/>
  <c r="BG21" i="4"/>
  <c r="W22" i="4" s="1"/>
  <c r="W21" i="4"/>
  <c r="W20" i="4"/>
  <c r="BI19" i="4"/>
  <c r="M32" i="15"/>
  <c r="K43" i="15"/>
  <c r="K44" i="15"/>
  <c r="BF19" i="4"/>
  <c r="BR19" i="4"/>
  <c r="BS19" i="4" s="1"/>
  <c r="BF21" i="4" l="1"/>
  <c r="BG22" i="4"/>
  <c r="W23" i="4" s="1"/>
  <c r="BR21" i="4"/>
  <c r="BS21" i="4" s="1"/>
  <c r="BH22" i="4"/>
  <c r="BI21" i="4"/>
  <c r="DS3" i="4"/>
  <c r="DS5" i="4"/>
  <c r="BH23" i="4" l="1"/>
  <c r="BI22" i="4"/>
  <c r="BF22" i="4"/>
  <c r="BG23" i="4"/>
  <c r="W24" i="4" s="1"/>
  <c r="BR22" i="4"/>
  <c r="BS22" i="4" s="1"/>
  <c r="EC5" i="4"/>
  <c r="DV5" i="4"/>
  <c r="DT5" i="4"/>
  <c r="DU5" i="4"/>
  <c r="DT3" i="4"/>
  <c r="DV3" i="4"/>
  <c r="EC3" i="4"/>
  <c r="DU3" i="4"/>
  <c r="BF23" i="4" l="1"/>
  <c r="BG24" i="4"/>
  <c r="BR23" i="4"/>
  <c r="BS23" i="4" s="1"/>
  <c r="BH24" i="4"/>
  <c r="BI23" i="4"/>
  <c r="W25" i="4"/>
  <c r="DZ5" i="4"/>
  <c r="ED3" i="4"/>
  <c r="EE3" i="4" s="1"/>
  <c r="EF3" i="4" s="1"/>
  <c r="DW3" i="4"/>
  <c r="DX3" i="4" s="1"/>
  <c r="EG3" i="4" s="1"/>
  <c r="DY3" i="4" s="1"/>
  <c r="DW5" i="4"/>
  <c r="DX5" i="4" s="1"/>
  <c r="EG5" i="4" s="1"/>
  <c r="DY5" i="4" s="1"/>
  <c r="ED5" i="4"/>
  <c r="EE5" i="4" s="1"/>
  <c r="EF5" i="4" s="1"/>
  <c r="EI3" i="4"/>
  <c r="DZ3" i="4"/>
  <c r="BF24" i="4" l="1"/>
  <c r="BG25" i="4"/>
  <c r="W26" i="4" s="1"/>
  <c r="BR24" i="4"/>
  <c r="BS24" i="4" s="1"/>
  <c r="BH25" i="4"/>
  <c r="BI24" i="4"/>
  <c r="EI5" i="4"/>
  <c r="BF25" i="4" l="1"/>
  <c r="BG26" i="4"/>
  <c r="BR25" i="4"/>
  <c r="BS25" i="4" s="1"/>
  <c r="BH26" i="4"/>
  <c r="BI25" i="4"/>
  <c r="W27" i="4"/>
  <c r="DS12" i="4"/>
  <c r="DS11" i="4"/>
  <c r="DS9" i="4"/>
  <c r="DS8" i="4"/>
  <c r="BF26" i="4" l="1"/>
  <c r="BG27" i="4"/>
  <c r="BR26" i="4"/>
  <c r="BS26" i="4" s="1"/>
  <c r="BH27" i="4"/>
  <c r="BI26" i="4"/>
  <c r="W28" i="4"/>
  <c r="DU9" i="4"/>
  <c r="DT9" i="4"/>
  <c r="EC9" i="4"/>
  <c r="DV9" i="4"/>
  <c r="DU11" i="4"/>
  <c r="DT11" i="4"/>
  <c r="EC11" i="4"/>
  <c r="DV11" i="4"/>
  <c r="DU12" i="4"/>
  <c r="DZ12" i="4" s="1"/>
  <c r="DT12" i="4"/>
  <c r="EC12" i="4"/>
  <c r="DV12" i="4"/>
  <c r="DT8" i="4"/>
  <c r="DU8" i="4"/>
  <c r="DZ8" i="4" s="1"/>
  <c r="EC8" i="4"/>
  <c r="DV8" i="4"/>
  <c r="DS2" i="4"/>
  <c r="BF27" i="4" l="1"/>
  <c r="BG28" i="4"/>
  <c r="BR27" i="4"/>
  <c r="BS27" i="4" s="1"/>
  <c r="BH28" i="4"/>
  <c r="BI27" i="4"/>
  <c r="W29" i="4"/>
  <c r="ED12" i="4"/>
  <c r="EE12" i="4" s="1"/>
  <c r="EF12" i="4" s="1"/>
  <c r="DW12" i="4"/>
  <c r="DX12" i="4" s="1"/>
  <c r="EG12" i="4" s="1"/>
  <c r="DY12" i="4" s="1"/>
  <c r="ED11" i="4"/>
  <c r="EE11" i="4" s="1"/>
  <c r="EF11" i="4" s="1"/>
  <c r="DW11" i="4"/>
  <c r="DX11" i="4" s="1"/>
  <c r="EG11" i="4" s="1"/>
  <c r="DY11" i="4" s="1"/>
  <c r="ED9" i="4"/>
  <c r="EE9" i="4" s="1"/>
  <c r="EF9" i="4" s="1"/>
  <c r="DW9" i="4"/>
  <c r="DX9" i="4" s="1"/>
  <c r="EG9" i="4" s="1"/>
  <c r="DY9" i="4" s="1"/>
  <c r="DU2" i="4"/>
  <c r="DZ2" i="4" s="1"/>
  <c r="DV2" i="4"/>
  <c r="ED8" i="4"/>
  <c r="EE8" i="4" s="1"/>
  <c r="EF8" i="4" s="1"/>
  <c r="DW8" i="4"/>
  <c r="DX8" i="4" s="1"/>
  <c r="EG8" i="4" s="1"/>
  <c r="DY8" i="4" s="1"/>
  <c r="DT2" i="4"/>
  <c r="DW2" i="4" s="1"/>
  <c r="DZ11" i="4"/>
  <c r="DZ9" i="4"/>
  <c r="Q20" i="5"/>
  <c r="Q21" i="5"/>
  <c r="BF28" i="4" l="1"/>
  <c r="BG29" i="4"/>
  <c r="BR28" i="4"/>
  <c r="BS28" i="4" s="1"/>
  <c r="BH29" i="4"/>
  <c r="BI28" i="4"/>
  <c r="W30" i="4"/>
  <c r="EI11" i="4"/>
  <c r="EI9" i="4"/>
  <c r="EI12" i="4"/>
  <c r="EI8" i="4"/>
  <c r="DX2" i="4"/>
  <c r="EG2" i="4" s="1"/>
  <c r="DY2" i="4" s="1"/>
  <c r="T20" i="5"/>
  <c r="S20" i="5"/>
  <c r="R20" i="5"/>
  <c r="S18" i="5"/>
  <c r="R18" i="5"/>
  <c r="E18" i="5"/>
  <c r="T18" i="5"/>
  <c r="S21" i="5"/>
  <c r="T21" i="5"/>
  <c r="R21" i="5"/>
  <c r="E21" i="5"/>
  <c r="BF29" i="4" l="1"/>
  <c r="BG30" i="4"/>
  <c r="W31" i="4" s="1"/>
  <c r="BR29" i="4"/>
  <c r="BS29" i="4" s="1"/>
  <c r="BH30" i="4"/>
  <c r="BI29" i="4"/>
  <c r="F21" i="5"/>
  <c r="G20" i="5"/>
  <c r="H18" i="5"/>
  <c r="G18" i="5"/>
  <c r="G21" i="5"/>
  <c r="H21" i="5"/>
  <c r="BF30" i="4" l="1"/>
  <c r="BG31" i="4"/>
  <c r="BR30" i="4"/>
  <c r="BS30" i="4" s="1"/>
  <c r="BH31" i="4"/>
  <c r="BI30" i="4"/>
  <c r="W32" i="4"/>
  <c r="AS48" i="15"/>
  <c r="AX51" i="15"/>
  <c r="BC59" i="15"/>
  <c r="AP59" i="15"/>
  <c r="AT58" i="15"/>
  <c r="AR48" i="15"/>
  <c r="AT57" i="15"/>
  <c r="AN49" i="15"/>
  <c r="AN52" i="15"/>
  <c r="AN50" i="15"/>
  <c r="AK57" i="15"/>
  <c r="AT60" i="15"/>
  <c r="AN61" i="15"/>
  <c r="AW58" i="15"/>
  <c r="AM48" i="15"/>
  <c r="AY51" i="15"/>
  <c r="AZ59" i="15"/>
  <c r="BC50" i="15"/>
  <c r="AZ61" i="15"/>
  <c r="AL49" i="15"/>
  <c r="AZ62" i="15"/>
  <c r="AT48" i="15"/>
  <c r="AS50" i="15"/>
  <c r="AO63" i="15"/>
  <c r="AM58" i="15"/>
  <c r="AL58" i="15"/>
  <c r="AP56" i="15"/>
  <c r="BC48" i="15"/>
  <c r="AK50" i="15"/>
  <c r="AM49" i="15"/>
  <c r="BA48" i="15"/>
  <c r="AT59" i="15"/>
  <c r="AY48" i="15"/>
  <c r="AL63" i="15"/>
  <c r="AM59" i="15"/>
  <c r="BC51" i="15"/>
  <c r="AW50" i="15"/>
  <c r="AO57" i="15"/>
  <c r="BC49" i="15"/>
  <c r="BA57" i="15"/>
  <c r="AP48" i="15"/>
  <c r="AT50" i="15"/>
  <c r="AN62" i="15"/>
  <c r="AW61" i="15"/>
  <c r="AL50" i="15"/>
  <c r="AQ48" i="15"/>
  <c r="BC52" i="15"/>
  <c r="AQ62" i="15"/>
  <c r="AN59" i="15"/>
  <c r="BA51" i="15"/>
  <c r="BB63" i="15"/>
  <c r="AZ60" i="15"/>
  <c r="AM60" i="15"/>
  <c r="BC58" i="15"/>
  <c r="AW60" i="15"/>
  <c r="BD62" i="15"/>
  <c r="AL56" i="15"/>
  <c r="AZ48" i="15"/>
  <c r="AU56" i="15"/>
  <c r="BB57" i="15"/>
  <c r="AM51" i="15"/>
  <c r="AV63" i="15"/>
  <c r="AO56" i="15"/>
  <c r="BA52" i="15"/>
  <c r="AM57" i="15"/>
  <c r="BA49" i="15"/>
  <c r="AN57" i="15"/>
  <c r="AR58" i="15"/>
  <c r="AS62" i="15"/>
  <c r="AW56" i="15"/>
  <c r="BD50" i="15"/>
  <c r="AR49" i="15"/>
  <c r="AU60" i="15"/>
  <c r="AO58" i="15"/>
  <c r="BB51" i="15"/>
  <c r="AV52" i="15"/>
  <c r="BB49" i="15"/>
  <c r="AN58" i="15"/>
  <c r="AL57" i="15"/>
  <c r="AO61" i="15"/>
  <c r="AP51" i="15"/>
  <c r="AV58" i="15"/>
  <c r="AL62" i="15"/>
  <c r="AV48" i="15"/>
  <c r="AS60" i="15"/>
  <c r="AQ59" i="15"/>
  <c r="AN48" i="15"/>
  <c r="AR60" i="15"/>
  <c r="AK48" i="15"/>
  <c r="AU51" i="15"/>
  <c r="AO60" i="15"/>
  <c r="BC61" i="15"/>
  <c r="BC57" i="15"/>
  <c r="AZ52" i="15"/>
  <c r="AP63" i="15"/>
  <c r="AU62" i="15"/>
  <c r="BD61" i="15"/>
  <c r="AV49" i="15"/>
  <c r="AR56" i="15"/>
  <c r="AU61" i="15"/>
  <c r="AR59" i="15"/>
  <c r="AO48" i="15"/>
  <c r="AQ51" i="15"/>
  <c r="AN63" i="15"/>
  <c r="AX62" i="15"/>
  <c r="AT61" i="15"/>
  <c r="AU57" i="15"/>
  <c r="BD60" i="15"/>
  <c r="BD48" i="15"/>
  <c r="AW49" i="15"/>
  <c r="AZ51" i="15"/>
  <c r="AT51" i="15"/>
  <c r="BA50" i="15"/>
  <c r="AS57" i="15"/>
  <c r="AN56" i="15"/>
  <c r="BA63" i="15"/>
  <c r="AQ61" i="15"/>
  <c r="AT49" i="15"/>
  <c r="AQ63" i="15"/>
  <c r="AK61" i="15"/>
  <c r="AV59" i="15"/>
  <c r="AK51" i="15"/>
  <c r="BA59" i="15"/>
  <c r="AR57" i="15"/>
  <c r="AH7" i="4"/>
  <c r="AY58" i="15"/>
  <c r="AY56" i="15"/>
  <c r="AN51" i="15"/>
  <c r="AV61" i="15"/>
  <c r="BB48" i="15"/>
  <c r="AO59" i="15"/>
  <c r="BD58" i="15"/>
  <c r="AM50" i="15"/>
  <c r="BB56" i="15"/>
  <c r="AU63" i="15"/>
  <c r="AM62" i="15"/>
  <c r="AP52" i="15"/>
  <c r="AK63" i="15"/>
  <c r="AQ52" i="15"/>
  <c r="AV50" i="15"/>
  <c r="AX52" i="15"/>
  <c r="AX60" i="15"/>
  <c r="AO51" i="15"/>
  <c r="AY63" i="15"/>
  <c r="AQ49" i="15"/>
  <c r="AY49" i="15"/>
  <c r="BA58" i="15"/>
  <c r="BC60" i="15"/>
  <c r="AZ63" i="15"/>
  <c r="AW62" i="15"/>
  <c r="AW57" i="15"/>
  <c r="AK49" i="15"/>
  <c r="AY60" i="15"/>
  <c r="AN60" i="15"/>
  <c r="BD51" i="15"/>
  <c r="BB58" i="15"/>
  <c r="AZ49" i="15"/>
  <c r="AY52" i="15"/>
  <c r="AT52" i="15"/>
  <c r="BA61" i="15"/>
  <c r="AP62" i="15"/>
  <c r="AS61" i="15"/>
  <c r="AS52" i="15"/>
  <c r="AP50" i="15"/>
  <c r="AS51" i="15"/>
  <c r="AM61" i="15"/>
  <c r="AW52" i="15"/>
  <c r="AR61" i="15"/>
  <c r="BB62" i="15"/>
  <c r="AX57" i="15"/>
  <c r="BD63" i="15"/>
  <c r="AX58" i="15"/>
  <c r="AQ50" i="15"/>
  <c r="AT63" i="15"/>
  <c r="BB52" i="15"/>
  <c r="AU59" i="15"/>
  <c r="AZ50" i="15"/>
  <c r="AO52" i="15"/>
  <c r="BB61" i="15"/>
  <c r="AP61" i="15"/>
  <c r="AK59" i="15"/>
  <c r="AU48" i="15"/>
  <c r="AW48" i="15"/>
  <c r="AR63" i="15"/>
  <c r="AP58" i="15"/>
  <c r="AR52" i="15"/>
  <c r="AV56" i="15"/>
  <c r="AP60" i="15"/>
  <c r="AY50" i="15"/>
  <c r="AR51" i="15"/>
  <c r="AX56" i="15"/>
  <c r="BC63" i="15"/>
  <c r="AL52" i="15"/>
  <c r="AM52" i="15"/>
  <c r="AY61" i="15"/>
  <c r="AL48" i="15"/>
  <c r="AR50" i="15"/>
  <c r="AK58" i="15"/>
  <c r="AW63" i="15"/>
  <c r="AX59" i="15"/>
  <c r="BC56" i="15"/>
  <c r="AM63" i="15"/>
  <c r="AU49" i="15"/>
  <c r="AL51" i="15"/>
  <c r="AX49" i="15"/>
  <c r="AZ56" i="15"/>
  <c r="AS58" i="15"/>
  <c r="AK62" i="15"/>
  <c r="AU52" i="15"/>
  <c r="AX63" i="15"/>
  <c r="AQ58" i="15"/>
  <c r="AS59" i="15"/>
  <c r="BD56" i="15"/>
  <c r="AZ57" i="15"/>
  <c r="BD57" i="15"/>
  <c r="AX48" i="15"/>
  <c r="AU58" i="15"/>
  <c r="AO49" i="15"/>
  <c r="AM56" i="15"/>
  <c r="AP57" i="15"/>
  <c r="AW59" i="15"/>
  <c r="AQ56" i="15"/>
  <c r="BB59" i="15"/>
  <c r="AU50" i="15"/>
  <c r="AP49" i="15"/>
  <c r="AS63" i="15"/>
  <c r="BA60" i="15"/>
  <c r="AV60" i="15"/>
  <c r="AZ58" i="15"/>
  <c r="AK56" i="15"/>
  <c r="AX50" i="15"/>
  <c r="BA56" i="15"/>
  <c r="BD49" i="15"/>
  <c r="AS56" i="15"/>
  <c r="AT56" i="15"/>
  <c r="AS49" i="15"/>
  <c r="AL61" i="15"/>
  <c r="AV62" i="15"/>
  <c r="AK60" i="15"/>
  <c r="AY59" i="15"/>
  <c r="AV51" i="15"/>
  <c r="BA62" i="15"/>
  <c r="AL59" i="15"/>
  <c r="AK52" i="15"/>
  <c r="AX61" i="15"/>
  <c r="AR62" i="15"/>
  <c r="AY62" i="15"/>
  <c r="AT62" i="15"/>
  <c r="BD59" i="15"/>
  <c r="AL60" i="15"/>
  <c r="AQ57" i="15"/>
  <c r="AO62" i="15"/>
  <c r="AV57" i="15"/>
  <c r="AQ60" i="15"/>
  <c r="BB50" i="15"/>
  <c r="AW51" i="15"/>
  <c r="BD52" i="15"/>
  <c r="BC62" i="15"/>
  <c r="AY57" i="15"/>
  <c r="AO50" i="15"/>
  <c r="BB60" i="15"/>
  <c r="BF31" i="4" l="1"/>
  <c r="BG32" i="4"/>
  <c r="BR31" i="4"/>
  <c r="BS31" i="4" s="1"/>
  <c r="BH32" i="4"/>
  <c r="BI31" i="4"/>
  <c r="W33" i="4"/>
  <c r="AX47" i="15"/>
  <c r="AL47" i="15"/>
  <c r="AV47" i="15"/>
  <c r="BC47" i="15"/>
  <c r="AZ39" i="5"/>
  <c r="F74" i="8"/>
  <c r="AZ48" i="5"/>
  <c r="D89" i="8"/>
  <c r="D26" i="8"/>
  <c r="F37" i="8"/>
  <c r="AZ44" i="5"/>
  <c r="D91" i="8"/>
  <c r="F107" i="8"/>
  <c r="G14" i="7"/>
  <c r="F15" i="8"/>
  <c r="F29" i="8"/>
  <c r="D52" i="8"/>
  <c r="F71" i="8"/>
  <c r="AZ27" i="5"/>
  <c r="F67" i="8"/>
  <c r="D68" i="8"/>
  <c r="D24" i="8"/>
  <c r="D108" i="8"/>
  <c r="D18" i="8"/>
  <c r="F111" i="8"/>
  <c r="D114" i="8"/>
  <c r="AZ54" i="5"/>
  <c r="F68" i="8"/>
  <c r="F96" i="8"/>
  <c r="J16" i="8"/>
  <c r="D65" i="8"/>
  <c r="F48" i="8"/>
  <c r="D83" i="8"/>
  <c r="F110" i="8"/>
  <c r="F36" i="8"/>
  <c r="D112" i="8"/>
  <c r="F84" i="8"/>
  <c r="F19" i="8"/>
  <c r="D62" i="8"/>
  <c r="D53" i="8"/>
  <c r="D79" i="8"/>
  <c r="D30" i="8"/>
  <c r="D55" i="8"/>
  <c r="D92" i="8"/>
  <c r="F45" i="8"/>
  <c r="D36" i="8"/>
  <c r="AZ59" i="5"/>
  <c r="F23" i="8"/>
  <c r="D82" i="8"/>
  <c r="AZ45" i="5"/>
  <c r="D102" i="8"/>
  <c r="D66" i="8"/>
  <c r="F61" i="8"/>
  <c r="F90" i="8"/>
  <c r="D45" i="8"/>
  <c r="D101" i="8"/>
  <c r="D105" i="8"/>
  <c r="F35" i="8"/>
  <c r="D75" i="8"/>
  <c r="D77" i="8"/>
  <c r="D96" i="8"/>
  <c r="D56" i="8"/>
  <c r="D41" i="8"/>
  <c r="AZ63" i="5"/>
  <c r="D72" i="8"/>
  <c r="F89" i="8"/>
  <c r="D31" i="8"/>
  <c r="AZ33" i="5"/>
  <c r="AZ49" i="5"/>
  <c r="F69" i="8"/>
  <c r="D43" i="8"/>
  <c r="F52" i="8"/>
  <c r="D17" i="8"/>
  <c r="D37" i="8"/>
  <c r="F92" i="8"/>
  <c r="F76" i="8"/>
  <c r="D58" i="8"/>
  <c r="F100" i="8"/>
  <c r="F51" i="8"/>
  <c r="AZ31" i="5"/>
  <c r="F108" i="8"/>
  <c r="AZ52" i="5"/>
  <c r="D34" i="8"/>
  <c r="F70" i="8"/>
  <c r="AZ64" i="5"/>
  <c r="F18" i="8"/>
  <c r="D47" i="8"/>
  <c r="AZ58" i="5"/>
  <c r="F82" i="8"/>
  <c r="F113" i="8"/>
  <c r="F26" i="8"/>
  <c r="F78" i="8"/>
  <c r="F91" i="8"/>
  <c r="D104" i="8"/>
  <c r="F56" i="8"/>
  <c r="F73" i="8"/>
  <c r="D85" i="8"/>
  <c r="AZ62" i="5"/>
  <c r="F112" i="8"/>
  <c r="D33" i="8"/>
  <c r="AZ34" i="5"/>
  <c r="D46" i="8"/>
  <c r="F50" i="8"/>
  <c r="D19" i="8"/>
  <c r="D27" i="8"/>
  <c r="D23" i="8"/>
  <c r="F49" i="8"/>
  <c r="F97" i="8"/>
  <c r="F62" i="8"/>
  <c r="D70" i="8"/>
  <c r="AZ26" i="5"/>
  <c r="F88" i="8"/>
  <c r="D28" i="8"/>
  <c r="F75" i="8"/>
  <c r="F43" i="8"/>
  <c r="D44" i="8"/>
  <c r="F63" i="8"/>
  <c r="D59" i="8"/>
  <c r="F83" i="8"/>
  <c r="F27" i="8"/>
  <c r="F79" i="8"/>
  <c r="D73" i="8"/>
  <c r="F60" i="8"/>
  <c r="D35" i="8"/>
  <c r="D61" i="8"/>
  <c r="D93" i="8"/>
  <c r="AZ40" i="5"/>
  <c r="D32" i="8"/>
  <c r="D76" i="8"/>
  <c r="AZ41" i="5"/>
  <c r="F38" i="8"/>
  <c r="D97" i="8"/>
  <c r="F85" i="8"/>
  <c r="F31" i="8"/>
  <c r="D74" i="8"/>
  <c r="D106" i="8"/>
  <c r="AZ37" i="5"/>
  <c r="F53" i="8"/>
  <c r="AZ66" i="5"/>
  <c r="D20" i="8"/>
  <c r="D25" i="8"/>
  <c r="F103" i="8"/>
  <c r="F55" i="8"/>
  <c r="F32" i="8"/>
  <c r="D51" i="8"/>
  <c r="AZ28" i="5"/>
  <c r="D94" i="8"/>
  <c r="D60" i="8"/>
  <c r="F24" i="8"/>
  <c r="H14" i="7"/>
  <c r="D95" i="8"/>
  <c r="D87" i="8"/>
  <c r="AZ65" i="5"/>
  <c r="AZ43" i="5"/>
  <c r="AZ46" i="5"/>
  <c r="D38" i="8"/>
  <c r="F21" i="8"/>
  <c r="F28" i="8"/>
  <c r="D113" i="8"/>
  <c r="D69" i="8"/>
  <c r="AZ51" i="5"/>
  <c r="F105" i="8"/>
  <c r="AZ47" i="5"/>
  <c r="D57" i="8"/>
  <c r="F80" i="8"/>
  <c r="F72" i="8"/>
  <c r="F64" i="8"/>
  <c r="AZ35" i="5"/>
  <c r="D50" i="8"/>
  <c r="AZ29" i="5"/>
  <c r="D84" i="8"/>
  <c r="AZ50" i="5"/>
  <c r="F114" i="8"/>
  <c r="F57" i="8"/>
  <c r="AZ32" i="5"/>
  <c r="D54" i="8"/>
  <c r="F47" i="8"/>
  <c r="D21" i="8"/>
  <c r="AZ53" i="5"/>
  <c r="D64" i="8"/>
  <c r="F65" i="8"/>
  <c r="F99" i="8"/>
  <c r="D86" i="8"/>
  <c r="AZ56" i="5"/>
  <c r="F42" i="8"/>
  <c r="F59" i="8"/>
  <c r="D49" i="8"/>
  <c r="F33" i="8"/>
  <c r="AZ24" i="5"/>
  <c r="F41" i="8"/>
  <c r="D109" i="8"/>
  <c r="D29" i="8"/>
  <c r="D110" i="8"/>
  <c r="D63" i="8"/>
  <c r="F94" i="8"/>
  <c r="F40" i="8"/>
  <c r="D107" i="8"/>
  <c r="D103" i="8"/>
  <c r="AM14" i="7"/>
  <c r="AO15" i="7" s="1"/>
  <c r="AQ15" i="7" s="1"/>
  <c r="AQ4" i="7" s="1"/>
  <c r="D98" i="8"/>
  <c r="AZ30" i="5"/>
  <c r="AZ25" i="5"/>
  <c r="AZ42" i="5"/>
  <c r="AZ38" i="5"/>
  <c r="F54" i="8"/>
  <c r="D99" i="8"/>
  <c r="F30" i="8"/>
  <c r="F109" i="8"/>
  <c r="AZ57" i="5"/>
  <c r="D22" i="8"/>
  <c r="D71" i="8"/>
  <c r="AZ36" i="5"/>
  <c r="F87" i="8"/>
  <c r="AZ61" i="5"/>
  <c r="D100" i="8"/>
  <c r="D40" i="8"/>
  <c r="D80" i="8"/>
  <c r="F20" i="8"/>
  <c r="F95" i="8"/>
  <c r="D15" i="8"/>
  <c r="F17" i="8"/>
  <c r="F104" i="8"/>
  <c r="D81" i="8"/>
  <c r="F34" i="8"/>
  <c r="F102" i="8"/>
  <c r="AZ60" i="5"/>
  <c r="F106" i="8"/>
  <c r="F22" i="8"/>
  <c r="D111" i="8"/>
  <c r="D42" i="8"/>
  <c r="D39" i="8"/>
  <c r="F98" i="8"/>
  <c r="D90" i="8"/>
  <c r="F86" i="8"/>
  <c r="F77" i="8"/>
  <c r="F101" i="8"/>
  <c r="AL14" i="7"/>
  <c r="AN15" i="7" s="1"/>
  <c r="D48" i="8"/>
  <c r="F66" i="8"/>
  <c r="D78" i="8"/>
  <c r="AZ55" i="5"/>
  <c r="D88" i="8"/>
  <c r="F39" i="8"/>
  <c r="F93" i="8"/>
  <c r="F81" i="8"/>
  <c r="F44" i="8"/>
  <c r="F58" i="8"/>
  <c r="F25" i="8"/>
  <c r="F46" i="8"/>
  <c r="D67" i="8"/>
  <c r="AW47" i="15"/>
  <c r="AN47" i="15"/>
  <c r="BA47" i="15"/>
  <c r="AM47" i="15"/>
  <c r="AI11" i="15"/>
  <c r="AH15" i="15"/>
  <c r="AH9" i="15"/>
  <c r="AI10" i="15"/>
  <c r="AJ24" i="15"/>
  <c r="AI13" i="15"/>
  <c r="AH16" i="15"/>
  <c r="AI7" i="15"/>
  <c r="AJ23" i="15"/>
  <c r="C22" i="15" s="1"/>
  <c r="AH13" i="15"/>
  <c r="AH3" i="11"/>
  <c r="AH11" i="15"/>
  <c r="AI9" i="15"/>
  <c r="AH14" i="15"/>
  <c r="AH6" i="15"/>
  <c r="AH12" i="15"/>
  <c r="AH10" i="15"/>
  <c r="AI17" i="15"/>
  <c r="AH5" i="15"/>
  <c r="AJ26" i="15"/>
  <c r="C25" i="15" s="1"/>
  <c r="AI6" i="15"/>
  <c r="AJ27" i="15"/>
  <c r="C26" i="15" s="1"/>
  <c r="AI14" i="15"/>
  <c r="AH8" i="15"/>
  <c r="AI16" i="15"/>
  <c r="AJ29" i="15"/>
  <c r="C28" i="15" s="1"/>
  <c r="AH7" i="15"/>
  <c r="AJ25" i="15"/>
  <c r="C24" i="15" s="1"/>
  <c r="AI5" i="15"/>
  <c r="AI15" i="15"/>
  <c r="AH17" i="15"/>
  <c r="AI12" i="15"/>
  <c r="AI8" i="15"/>
  <c r="AU47" i="15"/>
  <c r="BB47" i="15"/>
  <c r="AO47" i="15"/>
  <c r="AZ47" i="15"/>
  <c r="AQ47" i="15"/>
  <c r="AT47" i="15"/>
  <c r="AR47" i="15"/>
  <c r="AH9" i="4"/>
  <c r="AH8" i="4" s="1"/>
  <c r="AH6" i="4"/>
  <c r="AH2" i="4" s="1"/>
  <c r="BD47" i="15"/>
  <c r="AK47" i="15"/>
  <c r="AK46" i="15" s="1"/>
  <c r="AP47" i="15"/>
  <c r="AY47" i="15"/>
  <c r="AS47" i="15"/>
  <c r="BF32" i="4" l="1"/>
  <c r="BG33" i="4"/>
  <c r="BR32" i="4"/>
  <c r="BS32" i="4" s="1"/>
  <c r="BH33" i="4"/>
  <c r="BI32" i="4"/>
  <c r="W34" i="4"/>
  <c r="AL46" i="15"/>
  <c r="AM46" i="15" s="1"/>
  <c r="AN46" i="15" s="1"/>
  <c r="AO46" i="15" s="1"/>
  <c r="AP46" i="15" s="1"/>
  <c r="AQ46" i="15" s="1"/>
  <c r="AR46" i="15" s="1"/>
  <c r="AS46" i="15" s="1"/>
  <c r="AT46" i="15" s="1"/>
  <c r="AU46" i="15" s="1"/>
  <c r="AV46" i="15" s="1"/>
  <c r="AW46" i="15" s="1"/>
  <c r="AX46" i="15" s="1"/>
  <c r="AY46" i="15" s="1"/>
  <c r="AZ46" i="15" s="1"/>
  <c r="BA46" i="15" s="1"/>
  <c r="BB46" i="15" s="1"/>
  <c r="BC46" i="15" s="1"/>
  <c r="BD46" i="15" s="1"/>
  <c r="AC8" i="15"/>
  <c r="Q21" i="15" s="1"/>
  <c r="AC9" i="15"/>
  <c r="Q22" i="15" s="1"/>
  <c r="BI4" i="4"/>
  <c r="H25" i="8"/>
  <c r="E25" i="8"/>
  <c r="E93" i="8"/>
  <c r="H93" i="8"/>
  <c r="O78" i="8"/>
  <c r="L78" i="8"/>
  <c r="E101" i="8"/>
  <c r="H101" i="8"/>
  <c r="H98" i="8"/>
  <c r="E98" i="8"/>
  <c r="H22" i="8"/>
  <c r="E22" i="8"/>
  <c r="H34" i="8"/>
  <c r="E34" i="8"/>
  <c r="O14" i="8"/>
  <c r="L15" i="8"/>
  <c r="O15" i="8"/>
  <c r="P15" i="8" s="1"/>
  <c r="O40" i="8"/>
  <c r="L40" i="8"/>
  <c r="BV36" i="5"/>
  <c r="BA36" i="5"/>
  <c r="BB36" i="5" s="1"/>
  <c r="BG36" i="5"/>
  <c r="BW36" i="5"/>
  <c r="E109" i="8"/>
  <c r="H109" i="8"/>
  <c r="BG38" i="5"/>
  <c r="BA38" i="5"/>
  <c r="BB38" i="5" s="1"/>
  <c r="BV38" i="5"/>
  <c r="BW38" i="5"/>
  <c r="O98" i="8"/>
  <c r="L98" i="8"/>
  <c r="E40" i="8"/>
  <c r="H40" i="8"/>
  <c r="O29" i="8"/>
  <c r="L29" i="8"/>
  <c r="H33" i="8"/>
  <c r="E33" i="8"/>
  <c r="BG56" i="5"/>
  <c r="BW56" i="5"/>
  <c r="BV56" i="5"/>
  <c r="BA56" i="5"/>
  <c r="BB56" i="5" s="1"/>
  <c r="L64" i="8"/>
  <c r="O64" i="8"/>
  <c r="O54" i="8"/>
  <c r="L54" i="8"/>
  <c r="BA50" i="5"/>
  <c r="BB50" i="5" s="1"/>
  <c r="BG50" i="5"/>
  <c r="BW50" i="5"/>
  <c r="BV50" i="5"/>
  <c r="BW35" i="5"/>
  <c r="BV35" i="5"/>
  <c r="BA35" i="5"/>
  <c r="BB35" i="5" s="1"/>
  <c r="BG35" i="5"/>
  <c r="O57" i="8"/>
  <c r="L57" i="8"/>
  <c r="L69" i="8"/>
  <c r="O69" i="8"/>
  <c r="L38" i="8"/>
  <c r="O38" i="8"/>
  <c r="O87" i="8"/>
  <c r="L87" i="8"/>
  <c r="O60" i="8"/>
  <c r="L60" i="8"/>
  <c r="E32" i="8"/>
  <c r="H32" i="8"/>
  <c r="L20" i="8"/>
  <c r="O20" i="8"/>
  <c r="L106" i="8"/>
  <c r="O106" i="8"/>
  <c r="L97" i="8"/>
  <c r="O97" i="8"/>
  <c r="L32" i="8"/>
  <c r="O32" i="8"/>
  <c r="L35" i="8"/>
  <c r="O35" i="8"/>
  <c r="H27" i="8"/>
  <c r="E27" i="8"/>
  <c r="O44" i="8"/>
  <c r="L44" i="8"/>
  <c r="H88" i="8"/>
  <c r="E88" i="8"/>
  <c r="H97" i="8"/>
  <c r="E97" i="8"/>
  <c r="O19" i="8"/>
  <c r="L19" i="8"/>
  <c r="L33" i="8"/>
  <c r="O33" i="8"/>
  <c r="E73" i="8"/>
  <c r="H73" i="8"/>
  <c r="E78" i="8"/>
  <c r="H78" i="8"/>
  <c r="BV58" i="5"/>
  <c r="BA58" i="5"/>
  <c r="BB58" i="5" s="1"/>
  <c r="BW58" i="5"/>
  <c r="BG58" i="5"/>
  <c r="E70" i="8"/>
  <c r="H70" i="8"/>
  <c r="BW31" i="5"/>
  <c r="BA31" i="5"/>
  <c r="BB31" i="5" s="1"/>
  <c r="Q22" i="5" s="1"/>
  <c r="BV31" i="5"/>
  <c r="BG31" i="5"/>
  <c r="E76" i="8"/>
  <c r="H76" i="8"/>
  <c r="E52" i="8"/>
  <c r="H52" i="8"/>
  <c r="BA33" i="5"/>
  <c r="BB33" i="5" s="1"/>
  <c r="Q24" i="5" s="1"/>
  <c r="BW33" i="5"/>
  <c r="BG33" i="5"/>
  <c r="BV33" i="5"/>
  <c r="BV63" i="5"/>
  <c r="BG63" i="5"/>
  <c r="BW63" i="5"/>
  <c r="BA63" i="5"/>
  <c r="BB63" i="5" s="1"/>
  <c r="O77" i="8"/>
  <c r="L77" i="8"/>
  <c r="O101" i="8"/>
  <c r="L101" i="8"/>
  <c r="O66" i="8"/>
  <c r="L66" i="8"/>
  <c r="E23" i="8"/>
  <c r="H23" i="8"/>
  <c r="O92" i="8"/>
  <c r="L92" i="8"/>
  <c r="L53" i="8"/>
  <c r="O53" i="8"/>
  <c r="L112" i="8"/>
  <c r="O112" i="8"/>
  <c r="H48" i="8"/>
  <c r="E48" i="8"/>
  <c r="H68" i="8"/>
  <c r="E68" i="8"/>
  <c r="L18" i="8"/>
  <c r="O18" i="8"/>
  <c r="E67" i="8"/>
  <c r="H67" i="8"/>
  <c r="H29" i="8"/>
  <c r="E29" i="8"/>
  <c r="L91" i="8"/>
  <c r="O91" i="8"/>
  <c r="L89" i="8"/>
  <c r="O89" i="8"/>
  <c r="C23" i="15"/>
  <c r="AJ28" i="15"/>
  <c r="C27" i="15" s="1"/>
  <c r="E58" i="8"/>
  <c r="H58" i="8"/>
  <c r="E39" i="8"/>
  <c r="H39" i="8"/>
  <c r="E66" i="8"/>
  <c r="H66" i="8"/>
  <c r="E77" i="8"/>
  <c r="H77" i="8"/>
  <c r="L39" i="8"/>
  <c r="O39" i="8"/>
  <c r="E106" i="8"/>
  <c r="H106" i="8"/>
  <c r="L81" i="8"/>
  <c r="O81" i="8"/>
  <c r="H95" i="8"/>
  <c r="E95" i="8"/>
  <c r="L100" i="8"/>
  <c r="O100" i="8"/>
  <c r="L71" i="8"/>
  <c r="O71" i="8"/>
  <c r="E30" i="8"/>
  <c r="H30" i="8"/>
  <c r="BG42" i="5"/>
  <c r="BW42" i="5"/>
  <c r="BA42" i="5"/>
  <c r="BB42" i="5" s="1"/>
  <c r="BV42" i="5"/>
  <c r="E94" i="8"/>
  <c r="H94" i="8"/>
  <c r="O109" i="8"/>
  <c r="L109" i="8"/>
  <c r="L49" i="8"/>
  <c r="O49" i="8"/>
  <c r="O86" i="8"/>
  <c r="L86" i="8"/>
  <c r="BW53" i="5"/>
  <c r="BG53" i="5"/>
  <c r="BA53" i="5"/>
  <c r="BB53" i="5" s="1"/>
  <c r="BV53" i="5"/>
  <c r="BV32" i="5"/>
  <c r="BW32" i="5"/>
  <c r="BA32" i="5"/>
  <c r="BB32" i="5" s="1"/>
  <c r="BG32" i="5"/>
  <c r="O84" i="8"/>
  <c r="L84" i="8"/>
  <c r="E64" i="8"/>
  <c r="H64" i="8"/>
  <c r="BA47" i="5"/>
  <c r="BB47" i="5" s="1"/>
  <c r="BW47" i="5"/>
  <c r="BG47" i="5"/>
  <c r="BV47" i="5"/>
  <c r="L113" i="8"/>
  <c r="O113" i="8"/>
  <c r="BW46" i="5"/>
  <c r="BA46" i="5"/>
  <c r="BB46" i="5" s="1"/>
  <c r="BV46" i="5"/>
  <c r="BG46" i="5"/>
  <c r="L95" i="8"/>
  <c r="O95" i="8"/>
  <c r="O94" i="8"/>
  <c r="L94" i="8"/>
  <c r="E55" i="8"/>
  <c r="H55" i="8"/>
  <c r="BV66" i="5"/>
  <c r="BW66" i="5"/>
  <c r="BG66" i="5"/>
  <c r="BA66" i="5"/>
  <c r="BB66" i="5" s="1"/>
  <c r="L74" i="8"/>
  <c r="O74" i="8"/>
  <c r="H38" i="8"/>
  <c r="E38" i="8"/>
  <c r="BA40" i="5"/>
  <c r="BB40" i="5" s="1"/>
  <c r="BG40" i="5"/>
  <c r="BW40" i="5"/>
  <c r="BV40" i="5"/>
  <c r="E60" i="8"/>
  <c r="H60" i="8"/>
  <c r="E83" i="8"/>
  <c r="H83" i="8"/>
  <c r="E43" i="8"/>
  <c r="H43" i="8"/>
  <c r="BG26" i="5"/>
  <c r="BA26" i="5"/>
  <c r="BB26" i="5" s="1"/>
  <c r="BV26" i="5"/>
  <c r="BW26" i="5"/>
  <c r="E49" i="8"/>
  <c r="H49" i="8"/>
  <c r="H50" i="8"/>
  <c r="E50" i="8"/>
  <c r="E112" i="8"/>
  <c r="H112" i="8"/>
  <c r="H56" i="8"/>
  <c r="E56" i="8"/>
  <c r="H26" i="8"/>
  <c r="E26" i="8"/>
  <c r="O47" i="8"/>
  <c r="L47" i="8"/>
  <c r="L34" i="8"/>
  <c r="O34" i="8"/>
  <c r="H51" i="8"/>
  <c r="E51" i="8"/>
  <c r="E92" i="8"/>
  <c r="H92" i="8"/>
  <c r="L43" i="8"/>
  <c r="O43" i="8"/>
  <c r="O31" i="8"/>
  <c r="L31" i="8"/>
  <c r="O41" i="8"/>
  <c r="L41" i="8"/>
  <c r="L75" i="8"/>
  <c r="O75" i="8"/>
  <c r="L45" i="8"/>
  <c r="O45" i="8"/>
  <c r="L102" i="8"/>
  <c r="O102" i="8"/>
  <c r="BV59" i="5"/>
  <c r="BW59" i="5"/>
  <c r="BA59" i="5"/>
  <c r="BB59" i="5" s="1"/>
  <c r="BG59" i="5"/>
  <c r="L55" i="8"/>
  <c r="O55" i="8"/>
  <c r="O62" i="8"/>
  <c r="L62" i="8"/>
  <c r="E36" i="8"/>
  <c r="H36" i="8"/>
  <c r="O65" i="8"/>
  <c r="L65" i="8"/>
  <c r="BG54" i="5"/>
  <c r="BA54" i="5"/>
  <c r="BB54" i="5" s="1"/>
  <c r="BV54" i="5"/>
  <c r="BW54" i="5"/>
  <c r="O108" i="8"/>
  <c r="L108" i="8"/>
  <c r="BG27" i="5"/>
  <c r="BV27" i="5"/>
  <c r="BW27" i="5"/>
  <c r="BA27" i="5"/>
  <c r="BB27" i="5" s="1"/>
  <c r="Q18" i="5" s="1"/>
  <c r="H15" i="8"/>
  <c r="E15" i="8"/>
  <c r="BV44" i="5"/>
  <c r="BW44" i="5"/>
  <c r="BG44" i="5"/>
  <c r="BA44" i="5"/>
  <c r="BB44" i="5" s="1"/>
  <c r="BA48" i="5"/>
  <c r="BB48" i="5" s="1"/>
  <c r="BV48" i="5"/>
  <c r="BG48" i="5"/>
  <c r="BW48" i="5"/>
  <c r="O67" i="8"/>
  <c r="L67" i="8"/>
  <c r="E44" i="8"/>
  <c r="H44" i="8"/>
  <c r="L88" i="8"/>
  <c r="O88" i="8"/>
  <c r="L48" i="8"/>
  <c r="O48" i="8"/>
  <c r="E86" i="8"/>
  <c r="H86" i="8"/>
  <c r="O42" i="8"/>
  <c r="L42" i="8"/>
  <c r="BV60" i="5"/>
  <c r="BG60" i="5"/>
  <c r="BW60" i="5"/>
  <c r="BA60" i="5"/>
  <c r="BB60" i="5" s="1"/>
  <c r="E104" i="8"/>
  <c r="H104" i="8"/>
  <c r="H20" i="8"/>
  <c r="E20" i="8"/>
  <c r="BV61" i="5"/>
  <c r="BW61" i="5"/>
  <c r="BA61" i="5"/>
  <c r="BB61" i="5" s="1"/>
  <c r="BG61" i="5"/>
  <c r="O22" i="8"/>
  <c r="L22" i="8"/>
  <c r="O99" i="8"/>
  <c r="L99" i="8"/>
  <c r="BV25" i="5"/>
  <c r="BW25" i="5"/>
  <c r="BA25" i="5"/>
  <c r="BB25" i="5" s="1"/>
  <c r="BG25" i="5"/>
  <c r="O103" i="8"/>
  <c r="L103" i="8"/>
  <c r="O63" i="8"/>
  <c r="L63" i="8"/>
  <c r="H41" i="8"/>
  <c r="E41" i="8"/>
  <c r="E59" i="8"/>
  <c r="H59" i="8"/>
  <c r="E99" i="8"/>
  <c r="H99" i="8"/>
  <c r="O21" i="8"/>
  <c r="L21" i="8"/>
  <c r="E57" i="8"/>
  <c r="H57" i="8"/>
  <c r="BA29" i="5"/>
  <c r="BB29" i="5" s="1"/>
  <c r="BV29" i="5"/>
  <c r="BW29" i="5"/>
  <c r="BG29" i="5"/>
  <c r="E72" i="8"/>
  <c r="H72" i="8"/>
  <c r="H105" i="8"/>
  <c r="E105" i="8"/>
  <c r="E28" i="8"/>
  <c r="H28" i="8"/>
  <c r="BV43" i="5"/>
  <c r="BW43" i="5"/>
  <c r="BA43" i="5"/>
  <c r="BB43" i="5" s="1"/>
  <c r="BG43" i="5"/>
  <c r="BA28" i="5"/>
  <c r="BB28" i="5" s="1"/>
  <c r="Q16" i="5" s="1"/>
  <c r="BV28" i="5"/>
  <c r="BW28" i="5"/>
  <c r="BG28" i="5"/>
  <c r="E103" i="8"/>
  <c r="H103" i="8"/>
  <c r="H53" i="8"/>
  <c r="E53" i="8"/>
  <c r="E31" i="8"/>
  <c r="H31" i="8"/>
  <c r="BW41" i="5"/>
  <c r="BG41" i="5"/>
  <c r="BV41" i="5"/>
  <c r="BA41" i="5"/>
  <c r="BB41" i="5" s="1"/>
  <c r="O93" i="8"/>
  <c r="L93" i="8"/>
  <c r="L73" i="8"/>
  <c r="O73" i="8"/>
  <c r="L59" i="8"/>
  <c r="O59" i="8"/>
  <c r="E75" i="8"/>
  <c r="H75" i="8"/>
  <c r="O70" i="8"/>
  <c r="L70" i="8"/>
  <c r="O23" i="8"/>
  <c r="L23" i="8"/>
  <c r="L46" i="8"/>
  <c r="O46" i="8"/>
  <c r="BV62" i="5"/>
  <c r="BG62" i="5"/>
  <c r="BW62" i="5"/>
  <c r="BA62" i="5"/>
  <c r="BB62" i="5" s="1"/>
  <c r="O104" i="8"/>
  <c r="L104" i="8"/>
  <c r="H113" i="8"/>
  <c r="E113" i="8"/>
  <c r="E18" i="8"/>
  <c r="H18" i="8"/>
  <c r="BA52" i="5"/>
  <c r="BB52" i="5" s="1"/>
  <c r="BW52" i="5"/>
  <c r="BV52" i="5"/>
  <c r="BG52" i="5"/>
  <c r="H100" i="8"/>
  <c r="E100" i="8"/>
  <c r="L37" i="8"/>
  <c r="O37" i="8"/>
  <c r="H69" i="8"/>
  <c r="E69" i="8"/>
  <c r="H89" i="8"/>
  <c r="E89" i="8"/>
  <c r="O56" i="8"/>
  <c r="L56" i="8"/>
  <c r="E35" i="8"/>
  <c r="H35" i="8"/>
  <c r="H90" i="8"/>
  <c r="E90" i="8"/>
  <c r="BW45" i="5"/>
  <c r="BA45" i="5"/>
  <c r="BB45" i="5" s="1"/>
  <c r="BV45" i="5"/>
  <c r="BG45" i="5"/>
  <c r="O36" i="8"/>
  <c r="L36" i="8"/>
  <c r="O30" i="8"/>
  <c r="L30" i="8"/>
  <c r="E19" i="8"/>
  <c r="H19" i="8"/>
  <c r="H110" i="8"/>
  <c r="E110" i="8"/>
  <c r="F16" i="8"/>
  <c r="D16" i="8"/>
  <c r="O17" i="8" s="1"/>
  <c r="O114" i="8"/>
  <c r="L114" i="8"/>
  <c r="L24" i="8"/>
  <c r="O24" i="8"/>
  <c r="E71" i="8"/>
  <c r="H71" i="8"/>
  <c r="K14" i="7"/>
  <c r="X15" i="5"/>
  <c r="E37" i="8"/>
  <c r="H37" i="8"/>
  <c r="H74" i="8"/>
  <c r="E74" i="8"/>
  <c r="BA5" i="4"/>
  <c r="BA9" i="4"/>
  <c r="BB6" i="4"/>
  <c r="BA4" i="4"/>
  <c r="BB7" i="4"/>
  <c r="BB3" i="4"/>
  <c r="BA6" i="4"/>
  <c r="BB5" i="4"/>
  <c r="BB4" i="4"/>
  <c r="BA10" i="4"/>
  <c r="BA8" i="4"/>
  <c r="BA3" i="4"/>
  <c r="BB9" i="4"/>
  <c r="BD9" i="4" s="1"/>
  <c r="BA7" i="4"/>
  <c r="BB8" i="4"/>
  <c r="BD8" i="4" s="1"/>
  <c r="E46" i="8"/>
  <c r="H46" i="8"/>
  <c r="H81" i="8"/>
  <c r="E81" i="8"/>
  <c r="BV55" i="5"/>
  <c r="BW55" i="5"/>
  <c r="BG55" i="5"/>
  <c r="BA55" i="5"/>
  <c r="BB55" i="5" s="1"/>
  <c r="AP15" i="7"/>
  <c r="AP4" i="7" s="1"/>
  <c r="AR4" i="7" s="1"/>
  <c r="AV4" i="7" s="1"/>
  <c r="AM4" i="7" s="1"/>
  <c r="O90" i="8"/>
  <c r="L90" i="8"/>
  <c r="L111" i="8"/>
  <c r="O111" i="8"/>
  <c r="H102" i="8"/>
  <c r="E102" i="8"/>
  <c r="E17" i="8"/>
  <c r="H17" i="8"/>
  <c r="O80" i="8"/>
  <c r="L80" i="8"/>
  <c r="H87" i="8"/>
  <c r="E87" i="8"/>
  <c r="BG57" i="5"/>
  <c r="BV57" i="5"/>
  <c r="BA57" i="5"/>
  <c r="BB57" i="5" s="1"/>
  <c r="BW57" i="5"/>
  <c r="E54" i="8"/>
  <c r="H54" i="8"/>
  <c r="BA30" i="5"/>
  <c r="BB30" i="5" s="1"/>
  <c r="Q30" i="5" s="1"/>
  <c r="BV30" i="5"/>
  <c r="BG30" i="5"/>
  <c r="BW30" i="5"/>
  <c r="L107" i="8"/>
  <c r="O107" i="8"/>
  <c r="O110" i="8"/>
  <c r="L110" i="8"/>
  <c r="BG24" i="5"/>
  <c r="BV24" i="5"/>
  <c r="BA24" i="5"/>
  <c r="BB24" i="5" s="1"/>
  <c r="BW24" i="5"/>
  <c r="E42" i="8"/>
  <c r="H42" i="8"/>
  <c r="E65" i="8"/>
  <c r="H65" i="8"/>
  <c r="E47" i="8"/>
  <c r="H47" i="8"/>
  <c r="H114" i="8"/>
  <c r="E114" i="8"/>
  <c r="L50" i="8"/>
  <c r="O50" i="8"/>
  <c r="H80" i="8"/>
  <c r="E80" i="8"/>
  <c r="BV51" i="5"/>
  <c r="BW51" i="5"/>
  <c r="BA51" i="5"/>
  <c r="BB51" i="5" s="1"/>
  <c r="BG51" i="5"/>
  <c r="H21" i="8"/>
  <c r="E21" i="8"/>
  <c r="BW65" i="5"/>
  <c r="BG65" i="5"/>
  <c r="BV65" i="5"/>
  <c r="BA65" i="5"/>
  <c r="BB65" i="5" s="1"/>
  <c r="H24" i="8"/>
  <c r="E24" i="8"/>
  <c r="L51" i="8"/>
  <c r="O51" i="8"/>
  <c r="O25" i="8"/>
  <c r="L25" i="8"/>
  <c r="BV37" i="5"/>
  <c r="BW37" i="5"/>
  <c r="BG37" i="5"/>
  <c r="BA37" i="5"/>
  <c r="BB37" i="5" s="1"/>
  <c r="H85" i="8"/>
  <c r="E85" i="8"/>
  <c r="L76" i="8"/>
  <c r="O76" i="8"/>
  <c r="O61" i="8"/>
  <c r="L61" i="8"/>
  <c r="E79" i="8"/>
  <c r="H79" i="8"/>
  <c r="E63" i="8"/>
  <c r="H63" i="8"/>
  <c r="O28" i="8"/>
  <c r="L28" i="8"/>
  <c r="H62" i="8"/>
  <c r="E62" i="8"/>
  <c r="O27" i="8"/>
  <c r="L27" i="8"/>
  <c r="BG34" i="5"/>
  <c r="BV34" i="5"/>
  <c r="BW34" i="5"/>
  <c r="BA34" i="5"/>
  <c r="BB34" i="5" s="1"/>
  <c r="Q23" i="5" s="1"/>
  <c r="L85" i="8"/>
  <c r="O85" i="8"/>
  <c r="H91" i="8"/>
  <c r="E91" i="8"/>
  <c r="E82" i="8"/>
  <c r="H82" i="8"/>
  <c r="BG64" i="5"/>
  <c r="BV64" i="5"/>
  <c r="BA64" i="5"/>
  <c r="BB64" i="5" s="1"/>
  <c r="BW64" i="5"/>
  <c r="H108" i="8"/>
  <c r="E108" i="8"/>
  <c r="O58" i="8"/>
  <c r="L58" i="8"/>
  <c r="L17" i="8"/>
  <c r="BW49" i="5"/>
  <c r="BV49" i="5"/>
  <c r="BA49" i="5"/>
  <c r="BB49" i="5" s="1"/>
  <c r="BG49" i="5"/>
  <c r="L72" i="8"/>
  <c r="O72" i="8"/>
  <c r="O96" i="8"/>
  <c r="L96" i="8"/>
  <c r="O105" i="8"/>
  <c r="L105" i="8"/>
  <c r="E61" i="8"/>
  <c r="H61" i="8"/>
  <c r="O82" i="8"/>
  <c r="L82" i="8"/>
  <c r="E45" i="8"/>
  <c r="H45" i="8"/>
  <c r="O79" i="8"/>
  <c r="L79" i="8"/>
  <c r="E84" i="8"/>
  <c r="H84" i="8"/>
  <c r="L83" i="8"/>
  <c r="O83" i="8"/>
  <c r="H96" i="8"/>
  <c r="E96" i="8"/>
  <c r="H111" i="8"/>
  <c r="E111" i="8"/>
  <c r="L68" i="8"/>
  <c r="O68" i="8"/>
  <c r="L52" i="8"/>
  <c r="O52" i="8"/>
  <c r="E107" i="8"/>
  <c r="H107" i="8"/>
  <c r="O26" i="8"/>
  <c r="L26" i="8"/>
  <c r="BV39" i="5"/>
  <c r="BW39" i="5"/>
  <c r="BA39" i="5"/>
  <c r="BB39" i="5" s="1"/>
  <c r="BG39" i="5"/>
  <c r="BF33" i="4" l="1"/>
  <c r="BG34" i="4"/>
  <c r="BR33" i="4"/>
  <c r="BS33" i="4" s="1"/>
  <c r="BH34" i="4"/>
  <c r="BI33" i="4"/>
  <c r="W35" i="4"/>
  <c r="BC3" i="4"/>
  <c r="BD39" i="15"/>
  <c r="BD38" i="15"/>
  <c r="BC7" i="4"/>
  <c r="BD4" i="4"/>
  <c r="BC6" i="4"/>
  <c r="BD5" i="4"/>
  <c r="BY49" i="5"/>
  <c r="BX49" i="5"/>
  <c r="BZ49" i="5"/>
  <c r="BD7" i="4"/>
  <c r="BC5" i="4"/>
  <c r="BY45" i="5"/>
  <c r="BX45" i="5"/>
  <c r="BZ45" i="5"/>
  <c r="BH48" i="5"/>
  <c r="BI48" i="5" s="1"/>
  <c r="BM48" i="5"/>
  <c r="BL48" i="5"/>
  <c r="BM44" i="5"/>
  <c r="BH44" i="5"/>
  <c r="BI44" i="5" s="1"/>
  <c r="BL44" i="5"/>
  <c r="BH27" i="5"/>
  <c r="BI27" i="5" s="1"/>
  <c r="BM27" i="5"/>
  <c r="BL27" i="5"/>
  <c r="BX54" i="5"/>
  <c r="BZ54" i="5"/>
  <c r="BY54" i="5"/>
  <c r="BH26" i="5"/>
  <c r="BI26" i="5" s="1"/>
  <c r="BL26" i="5"/>
  <c r="BM26" i="5"/>
  <c r="BH66" i="5"/>
  <c r="BI66" i="5" s="1"/>
  <c r="BM66" i="5"/>
  <c r="BL66" i="5"/>
  <c r="BM47" i="5"/>
  <c r="BH47" i="5"/>
  <c r="BI47" i="5" s="1"/>
  <c r="BL47" i="5"/>
  <c r="BH33" i="5"/>
  <c r="BI33" i="5" s="1"/>
  <c r="E24" i="5" s="1"/>
  <c r="BM33" i="5"/>
  <c r="BL33" i="5"/>
  <c r="BZ31" i="5"/>
  <c r="S22" i="5" s="1"/>
  <c r="BY31" i="5"/>
  <c r="R22" i="5" s="1"/>
  <c r="BX31" i="5"/>
  <c r="T22" i="5" s="1"/>
  <c r="BX58" i="5"/>
  <c r="BY58" i="5"/>
  <c r="BZ58" i="5"/>
  <c r="BY56" i="5"/>
  <c r="BX56" i="5"/>
  <c r="BZ56" i="5"/>
  <c r="BX38" i="5"/>
  <c r="BZ38" i="5"/>
  <c r="BY38" i="5"/>
  <c r="BZ36" i="5"/>
  <c r="BX36" i="5"/>
  <c r="BY36" i="5"/>
  <c r="BI5" i="4"/>
  <c r="X27" i="15"/>
  <c r="BJ4" i="4"/>
  <c r="BL64" i="5"/>
  <c r="BH64" i="5"/>
  <c r="BI64" i="5" s="1"/>
  <c r="BM64" i="5"/>
  <c r="BM39" i="5"/>
  <c r="BL39" i="5"/>
  <c r="BH39" i="5"/>
  <c r="BI39" i="5" s="1"/>
  <c r="BZ34" i="5"/>
  <c r="S23" i="5" s="1"/>
  <c r="BX34" i="5"/>
  <c r="T23" i="5" s="1"/>
  <c r="BY34" i="5"/>
  <c r="R23" i="5" s="1"/>
  <c r="BY24" i="5"/>
  <c r="BX24" i="5"/>
  <c r="BZ24" i="5"/>
  <c r="BZ30" i="5"/>
  <c r="S30" i="5" s="1"/>
  <c r="BY30" i="5"/>
  <c r="R30" i="5" s="1"/>
  <c r="BX30" i="5"/>
  <c r="T30" i="5" s="1"/>
  <c r="BH34" i="5"/>
  <c r="BI34" i="5" s="1"/>
  <c r="E23" i="5" s="1"/>
  <c r="BM34" i="5"/>
  <c r="BL34" i="5"/>
  <c r="BZ37" i="5"/>
  <c r="BX37" i="5"/>
  <c r="BY37" i="5"/>
  <c r="BX65" i="5"/>
  <c r="BZ65" i="5"/>
  <c r="BY65" i="5"/>
  <c r="BZ51" i="5"/>
  <c r="BX51" i="5"/>
  <c r="BY51" i="5"/>
  <c r="BH24" i="5"/>
  <c r="BI24" i="5" s="1"/>
  <c r="BL24" i="5"/>
  <c r="BM24" i="5"/>
  <c r="AM3" i="7"/>
  <c r="AN4" i="7"/>
  <c r="BX55" i="5"/>
  <c r="BY55" i="5"/>
  <c r="BZ55" i="5"/>
  <c r="BC4" i="4"/>
  <c r="X6" i="7"/>
  <c r="X7" i="7" s="1"/>
  <c r="Y7" i="7" s="1"/>
  <c r="L16" i="8"/>
  <c r="O16" i="8"/>
  <c r="P16" i="8" s="1"/>
  <c r="P17" i="8" s="1"/>
  <c r="P18" i="8" s="1"/>
  <c r="P19" i="8" s="1"/>
  <c r="P20" i="8" s="1"/>
  <c r="P21" i="8" s="1"/>
  <c r="P22" i="8" s="1"/>
  <c r="P23" i="8" s="1"/>
  <c r="P24" i="8" s="1"/>
  <c r="P25" i="8" s="1"/>
  <c r="P26" i="8" s="1"/>
  <c r="P27" i="8" s="1"/>
  <c r="P28" i="8" s="1"/>
  <c r="P29" i="8" s="1"/>
  <c r="P30" i="8" s="1"/>
  <c r="P31" i="8" s="1"/>
  <c r="P32" i="8" s="1"/>
  <c r="P33" i="8" s="1"/>
  <c r="P34" i="8" s="1"/>
  <c r="P35" i="8" s="1"/>
  <c r="P36" i="8" s="1"/>
  <c r="P37" i="8" s="1"/>
  <c r="P38" i="8" s="1"/>
  <c r="P39" i="8" s="1"/>
  <c r="P40" i="8" s="1"/>
  <c r="P41" i="8" s="1"/>
  <c r="P42" i="8" s="1"/>
  <c r="P43" i="8" s="1"/>
  <c r="P44" i="8" s="1"/>
  <c r="P45" i="8" s="1"/>
  <c r="P46" i="8" s="1"/>
  <c r="P47" i="8" s="1"/>
  <c r="P48" i="8" s="1"/>
  <c r="P49" i="8" s="1"/>
  <c r="P50" i="8" s="1"/>
  <c r="P51" i="8" s="1"/>
  <c r="P52" i="8" s="1"/>
  <c r="P53" i="8" s="1"/>
  <c r="P54" i="8" s="1"/>
  <c r="P55" i="8" s="1"/>
  <c r="P56" i="8" s="1"/>
  <c r="P57" i="8" s="1"/>
  <c r="P58" i="8" s="1"/>
  <c r="P59" i="8" s="1"/>
  <c r="P60" i="8" s="1"/>
  <c r="P61" i="8" s="1"/>
  <c r="P62" i="8" s="1"/>
  <c r="P63" i="8" s="1"/>
  <c r="P64" i="8" s="1"/>
  <c r="P65" i="8" s="1"/>
  <c r="P66" i="8" s="1"/>
  <c r="P67" i="8" s="1"/>
  <c r="P68" i="8" s="1"/>
  <c r="P69" i="8" s="1"/>
  <c r="P70" i="8" s="1"/>
  <c r="P71" i="8" s="1"/>
  <c r="P72" i="8" s="1"/>
  <c r="P73" i="8" s="1"/>
  <c r="P74" i="8" s="1"/>
  <c r="P75" i="8" s="1"/>
  <c r="P76" i="8" s="1"/>
  <c r="P77" i="8" s="1"/>
  <c r="P78" i="8" s="1"/>
  <c r="P79" i="8" s="1"/>
  <c r="P80" i="8" s="1"/>
  <c r="P81" i="8" s="1"/>
  <c r="P82" i="8" s="1"/>
  <c r="P83" i="8" s="1"/>
  <c r="P84" i="8" s="1"/>
  <c r="P85" i="8" s="1"/>
  <c r="P86" i="8" s="1"/>
  <c r="P87" i="8" s="1"/>
  <c r="P88" i="8" s="1"/>
  <c r="P89" i="8" s="1"/>
  <c r="P90" i="8" s="1"/>
  <c r="P91" i="8" s="1"/>
  <c r="P92" i="8" s="1"/>
  <c r="P93" i="8" s="1"/>
  <c r="P94" i="8" s="1"/>
  <c r="P95" i="8" s="1"/>
  <c r="P96" i="8" s="1"/>
  <c r="P97" i="8" s="1"/>
  <c r="P98" i="8" s="1"/>
  <c r="P99" i="8" s="1"/>
  <c r="P100" i="8" s="1"/>
  <c r="P101" i="8" s="1"/>
  <c r="P102" i="8" s="1"/>
  <c r="P103" i="8" s="1"/>
  <c r="P104" i="8" s="1"/>
  <c r="P105" i="8" s="1"/>
  <c r="P106" i="8" s="1"/>
  <c r="P107" i="8" s="1"/>
  <c r="P108" i="8" s="1"/>
  <c r="P109" i="8" s="1"/>
  <c r="P110" i="8" s="1"/>
  <c r="P111" i="8" s="1"/>
  <c r="P112" i="8" s="1"/>
  <c r="P113" i="8" s="1"/>
  <c r="P114" i="8" s="1"/>
  <c r="BH52" i="5"/>
  <c r="BI52" i="5" s="1"/>
  <c r="BM52" i="5"/>
  <c r="BL52" i="5"/>
  <c r="BH62" i="5"/>
  <c r="BI62" i="5" s="1"/>
  <c r="BL62" i="5"/>
  <c r="BM62" i="5"/>
  <c r="BX28" i="5"/>
  <c r="T16" i="5" s="1"/>
  <c r="BY28" i="5"/>
  <c r="R16" i="5" s="1"/>
  <c r="BZ28" i="5"/>
  <c r="S16" i="5" s="1"/>
  <c r="BH29" i="5"/>
  <c r="BI29" i="5" s="1"/>
  <c r="BL29" i="5"/>
  <c r="BM29" i="5"/>
  <c r="BL60" i="5"/>
  <c r="BM60" i="5"/>
  <c r="BH60" i="5"/>
  <c r="BI60" i="5" s="1"/>
  <c r="BZ48" i="5"/>
  <c r="BX48" i="5"/>
  <c r="BY48" i="5"/>
  <c r="BH40" i="5"/>
  <c r="BI40" i="5" s="1"/>
  <c r="BM40" i="5"/>
  <c r="BL40" i="5"/>
  <c r="BM46" i="5"/>
  <c r="BH46" i="5"/>
  <c r="BI46" i="5" s="1"/>
  <c r="BL46" i="5"/>
  <c r="BL53" i="5"/>
  <c r="BM53" i="5"/>
  <c r="BH53" i="5"/>
  <c r="BI53" i="5" s="1"/>
  <c r="BM63" i="5"/>
  <c r="BH63" i="5"/>
  <c r="BI63" i="5" s="1"/>
  <c r="BL63" i="5"/>
  <c r="BH58" i="5"/>
  <c r="BI58" i="5" s="1"/>
  <c r="BL58" i="5"/>
  <c r="BM58" i="5"/>
  <c r="BZ35" i="5"/>
  <c r="BX35" i="5"/>
  <c r="BY35" i="5"/>
  <c r="BH50" i="5"/>
  <c r="BI50" i="5" s="1"/>
  <c r="BM50" i="5"/>
  <c r="BL50" i="5"/>
  <c r="BL49" i="5"/>
  <c r="BM49" i="5"/>
  <c r="BH49" i="5"/>
  <c r="BI49" i="5" s="1"/>
  <c r="BY64" i="5"/>
  <c r="BZ64" i="5"/>
  <c r="BX64" i="5"/>
  <c r="BH65" i="5"/>
  <c r="BI65" i="5" s="1"/>
  <c r="BM65" i="5"/>
  <c r="BL65" i="5"/>
  <c r="BH51" i="5"/>
  <c r="BI51" i="5" s="1"/>
  <c r="BM51" i="5"/>
  <c r="BL51" i="5"/>
  <c r="BX57" i="5"/>
  <c r="BY57" i="5"/>
  <c r="BZ57" i="5"/>
  <c r="BC8" i="4"/>
  <c r="BD6" i="4"/>
  <c r="I2" i="15"/>
  <c r="D6" i="4"/>
  <c r="L14" i="7"/>
  <c r="D7" i="4" s="1"/>
  <c r="H16" i="8"/>
  <c r="E16" i="8"/>
  <c r="H5" i="8" s="1"/>
  <c r="BY52" i="5"/>
  <c r="BX52" i="5"/>
  <c r="BZ52" i="5"/>
  <c r="BX62" i="5"/>
  <c r="BY62" i="5"/>
  <c r="BZ62" i="5"/>
  <c r="BX41" i="5"/>
  <c r="BY41" i="5"/>
  <c r="BZ41" i="5"/>
  <c r="BZ43" i="5"/>
  <c r="BX43" i="5"/>
  <c r="BY43" i="5"/>
  <c r="BZ25" i="5"/>
  <c r="BX25" i="5"/>
  <c r="BY25" i="5"/>
  <c r="BX61" i="5"/>
  <c r="BZ61" i="5"/>
  <c r="BY61" i="5"/>
  <c r="BZ60" i="5"/>
  <c r="BX60" i="5"/>
  <c r="BY60" i="5"/>
  <c r="BY44" i="5"/>
  <c r="BX44" i="5"/>
  <c r="BZ44" i="5"/>
  <c r="BL54" i="5"/>
  <c r="BM54" i="5"/>
  <c r="BH54" i="5"/>
  <c r="BI54" i="5" s="1"/>
  <c r="BZ59" i="5"/>
  <c r="BY59" i="5"/>
  <c r="BX59" i="5"/>
  <c r="BY26" i="5"/>
  <c r="BZ26" i="5"/>
  <c r="BX26" i="5"/>
  <c r="BY66" i="5"/>
  <c r="BZ66" i="5"/>
  <c r="BX66" i="5"/>
  <c r="BX46" i="5"/>
  <c r="BY46" i="5"/>
  <c r="BZ46" i="5"/>
  <c r="BZ32" i="5"/>
  <c r="BX32" i="5"/>
  <c r="BY32" i="5"/>
  <c r="BH42" i="5"/>
  <c r="BI42" i="5" s="1"/>
  <c r="BL42" i="5"/>
  <c r="BM42" i="5"/>
  <c r="BY63" i="5"/>
  <c r="BX63" i="5"/>
  <c r="BZ63" i="5"/>
  <c r="BM56" i="5"/>
  <c r="BH56" i="5"/>
  <c r="BI56" i="5" s="1"/>
  <c r="BL56" i="5"/>
  <c r="BL38" i="5"/>
  <c r="BM38" i="5"/>
  <c r="BH38" i="5"/>
  <c r="BI38" i="5" s="1"/>
  <c r="BL36" i="5"/>
  <c r="BH36" i="5"/>
  <c r="BI36" i="5" s="1"/>
  <c r="BM36" i="5"/>
  <c r="BL8" i="4"/>
  <c r="BL9" i="4"/>
  <c r="BZ39" i="5"/>
  <c r="BX39" i="5"/>
  <c r="BY39" i="5"/>
  <c r="BH37" i="5"/>
  <c r="BI37" i="5" s="1"/>
  <c r="BL37" i="5"/>
  <c r="BM37" i="5"/>
  <c r="BH30" i="5"/>
  <c r="BI30" i="5" s="1"/>
  <c r="E30" i="5" s="1"/>
  <c r="BL30" i="5"/>
  <c r="BM30" i="5"/>
  <c r="BL57" i="5"/>
  <c r="BH57" i="5"/>
  <c r="BI57" i="5" s="1"/>
  <c r="BM57" i="5"/>
  <c r="BL55" i="5"/>
  <c r="BH55" i="5"/>
  <c r="BI55" i="5" s="1"/>
  <c r="BM55" i="5"/>
  <c r="BD3" i="4"/>
  <c r="BC9" i="4"/>
  <c r="BL45" i="5"/>
  <c r="BH45" i="5"/>
  <c r="BI45" i="5" s="1"/>
  <c r="BM45" i="5"/>
  <c r="BM41" i="5"/>
  <c r="BH41" i="5"/>
  <c r="BI41" i="5" s="1"/>
  <c r="BL41" i="5"/>
  <c r="BM28" i="5"/>
  <c r="BH28" i="5"/>
  <c r="BI28" i="5" s="1"/>
  <c r="E16" i="5" s="1"/>
  <c r="BL28" i="5"/>
  <c r="BH43" i="5"/>
  <c r="BI43" i="5" s="1"/>
  <c r="BM43" i="5"/>
  <c r="BL43" i="5"/>
  <c r="BX29" i="5"/>
  <c r="BY29" i="5"/>
  <c r="BZ29" i="5"/>
  <c r="BL25" i="5"/>
  <c r="BH25" i="5"/>
  <c r="BI25" i="5" s="1"/>
  <c r="BM25" i="5"/>
  <c r="BH61" i="5"/>
  <c r="BI61" i="5" s="1"/>
  <c r="BL61" i="5"/>
  <c r="BM61" i="5"/>
  <c r="BX27" i="5"/>
  <c r="BY27" i="5"/>
  <c r="BZ27" i="5"/>
  <c r="BM59" i="5"/>
  <c r="BH59" i="5"/>
  <c r="BI59" i="5" s="1"/>
  <c r="BL59" i="5"/>
  <c r="BY40" i="5"/>
  <c r="BZ40" i="5"/>
  <c r="BX40" i="5"/>
  <c r="BY47" i="5"/>
  <c r="BZ47" i="5"/>
  <c r="BX47" i="5"/>
  <c r="BM32" i="5"/>
  <c r="BH32" i="5"/>
  <c r="BI32" i="5" s="1"/>
  <c r="E20" i="5" s="1"/>
  <c r="BL32" i="5"/>
  <c r="BZ53" i="5"/>
  <c r="BX53" i="5"/>
  <c r="BY53" i="5"/>
  <c r="BX42" i="5"/>
  <c r="BY42" i="5"/>
  <c r="BZ42" i="5"/>
  <c r="BX33" i="5"/>
  <c r="T24" i="5" s="1"/>
  <c r="BZ33" i="5"/>
  <c r="S24" i="5" s="1"/>
  <c r="BY33" i="5"/>
  <c r="R24" i="5" s="1"/>
  <c r="BL31" i="5"/>
  <c r="BM31" i="5"/>
  <c r="BH31" i="5"/>
  <c r="BI31" i="5" s="1"/>
  <c r="E22" i="5" s="1"/>
  <c r="BH35" i="5"/>
  <c r="BI35" i="5" s="1"/>
  <c r="BL35" i="5"/>
  <c r="BM35" i="5"/>
  <c r="BY50" i="5"/>
  <c r="BZ50" i="5"/>
  <c r="BX50" i="5"/>
  <c r="BF34" i="4" l="1"/>
  <c r="BG35" i="4"/>
  <c r="BR34" i="4"/>
  <c r="BS34" i="4" s="1"/>
  <c r="BH35" i="4"/>
  <c r="BI34" i="4"/>
  <c r="W36" i="4"/>
  <c r="I5" i="8"/>
  <c r="K2" i="15" s="1"/>
  <c r="M17" i="8"/>
  <c r="BN32" i="5"/>
  <c r="H20" i="5" s="1"/>
  <c r="BP32" i="5"/>
  <c r="BO32" i="5"/>
  <c r="F20" i="5" s="1"/>
  <c r="H8" i="8"/>
  <c r="AQ7" i="5"/>
  <c r="E7" i="15" s="1"/>
  <c r="AQ5" i="5"/>
  <c r="E6" i="15" s="1"/>
  <c r="G2" i="15"/>
  <c r="D14" i="7"/>
  <c r="BP41" i="5"/>
  <c r="BN41" i="5"/>
  <c r="BO41" i="5"/>
  <c r="BN35" i="5"/>
  <c r="BO35" i="5"/>
  <c r="BP35" i="5"/>
  <c r="BN31" i="5"/>
  <c r="H22" i="5" s="1"/>
  <c r="BP31" i="5"/>
  <c r="G22" i="5" s="1"/>
  <c r="BO31" i="5"/>
  <c r="F22" i="5" s="1"/>
  <c r="C14" i="7"/>
  <c r="BN61" i="5"/>
  <c r="BO61" i="5"/>
  <c r="BP61" i="5"/>
  <c r="BP25" i="5"/>
  <c r="BN25" i="5"/>
  <c r="BO25" i="5"/>
  <c r="BP43" i="5"/>
  <c r="BO43" i="5"/>
  <c r="BN43" i="5"/>
  <c r="BO55" i="5"/>
  <c r="BN55" i="5"/>
  <c r="BP55" i="5"/>
  <c r="BN37" i="5"/>
  <c r="BP37" i="5"/>
  <c r="BO37" i="5"/>
  <c r="AE6" i="7"/>
  <c r="AD6" i="7"/>
  <c r="BN36" i="5"/>
  <c r="BO36" i="5"/>
  <c r="BP36" i="5"/>
  <c r="BO56" i="5"/>
  <c r="BP56" i="5"/>
  <c r="BN56" i="5"/>
  <c r="BP51" i="5"/>
  <c r="BN51" i="5"/>
  <c r="BO51" i="5"/>
  <c r="BP49" i="5"/>
  <c r="BN49" i="5"/>
  <c r="BO49" i="5"/>
  <c r="BN58" i="5"/>
  <c r="BP58" i="5"/>
  <c r="BO58" i="5"/>
  <c r="BN46" i="5"/>
  <c r="BO46" i="5"/>
  <c r="BP46" i="5"/>
  <c r="BO60" i="5"/>
  <c r="BN60" i="5"/>
  <c r="BP60" i="5"/>
  <c r="BN62" i="5"/>
  <c r="BO62" i="5"/>
  <c r="BP62" i="5"/>
  <c r="M18" i="8"/>
  <c r="BN33" i="5"/>
  <c r="H24" i="5" s="1"/>
  <c r="BO33" i="5"/>
  <c r="F24" i="5" s="1"/>
  <c r="BP33" i="5"/>
  <c r="G24" i="5" s="1"/>
  <c r="BP48" i="5"/>
  <c r="BO48" i="5"/>
  <c r="BN48" i="5"/>
  <c r="BP30" i="5"/>
  <c r="G30" i="5" s="1"/>
  <c r="BN30" i="5"/>
  <c r="H30" i="5" s="1"/>
  <c r="BO30" i="5"/>
  <c r="F30" i="5" s="1"/>
  <c r="BN50" i="5"/>
  <c r="BP50" i="5"/>
  <c r="BO50" i="5"/>
  <c r="BO59" i="5"/>
  <c r="BN59" i="5"/>
  <c r="BP59" i="5"/>
  <c r="BM9" i="4"/>
  <c r="E35" i="15" s="1"/>
  <c r="C35" i="15"/>
  <c r="BP54" i="5"/>
  <c r="BN54" i="5"/>
  <c r="BO54" i="5"/>
  <c r="BP63" i="5"/>
  <c r="BO63" i="5"/>
  <c r="BN63" i="5"/>
  <c r="BO29" i="5"/>
  <c r="BP29" i="5"/>
  <c r="BN29" i="5"/>
  <c r="BP52" i="5"/>
  <c r="BN52" i="5"/>
  <c r="BO52" i="5"/>
  <c r="BP34" i="5"/>
  <c r="G23" i="5" s="1"/>
  <c r="BN34" i="5"/>
  <c r="H23" i="5" s="1"/>
  <c r="BO34" i="5"/>
  <c r="F23" i="5" s="1"/>
  <c r="X28" i="15"/>
  <c r="BJ5" i="4"/>
  <c r="BO66" i="5"/>
  <c r="BP66" i="5"/>
  <c r="BN66" i="5"/>
  <c r="BP26" i="5"/>
  <c r="BO26" i="5"/>
  <c r="BN26" i="5"/>
  <c r="BN44" i="5"/>
  <c r="BP44" i="5"/>
  <c r="BO44" i="5"/>
  <c r="C36" i="15"/>
  <c r="BM8" i="4"/>
  <c r="E36" i="15" s="1"/>
  <c r="BP28" i="5"/>
  <c r="G16" i="5" s="1"/>
  <c r="BO28" i="5"/>
  <c r="F16" i="5" s="1"/>
  <c r="BN28" i="5"/>
  <c r="H16" i="5" s="1"/>
  <c r="BO45" i="5"/>
  <c r="BN45" i="5"/>
  <c r="BP45" i="5"/>
  <c r="BP57" i="5"/>
  <c r="BN57" i="5"/>
  <c r="BO57" i="5"/>
  <c r="X11" i="7"/>
  <c r="I34" i="15"/>
  <c r="M34" i="15" s="1"/>
  <c r="I33" i="15"/>
  <c r="M33" i="15" s="1"/>
  <c r="BO38" i="5"/>
  <c r="BN38" i="5"/>
  <c r="BP38" i="5"/>
  <c r="BN42" i="5"/>
  <c r="BP42" i="5"/>
  <c r="BO42" i="5"/>
  <c r="BN65" i="5"/>
  <c r="BP65" i="5"/>
  <c r="BO65" i="5"/>
  <c r="BP53" i="5"/>
  <c r="BN53" i="5"/>
  <c r="BO53" i="5"/>
  <c r="BP40" i="5"/>
  <c r="BN40" i="5"/>
  <c r="BO40" i="5"/>
  <c r="B27" i="7"/>
  <c r="B32" i="7"/>
  <c r="B50" i="7"/>
  <c r="B42" i="7"/>
  <c r="B17" i="7"/>
  <c r="B24" i="7"/>
  <c r="B38" i="7"/>
  <c r="B37" i="7"/>
  <c r="B34" i="7"/>
  <c r="B15" i="7"/>
  <c r="B19" i="7"/>
  <c r="B20" i="7"/>
  <c r="B21" i="7"/>
  <c r="B49" i="7"/>
  <c r="B22" i="7"/>
  <c r="B43" i="7"/>
  <c r="B40" i="7"/>
  <c r="B30" i="7"/>
  <c r="B26" i="7"/>
  <c r="B48" i="7"/>
  <c r="B35" i="7"/>
  <c r="B29" i="7"/>
  <c r="B31" i="7"/>
  <c r="B28" i="7"/>
  <c r="B45" i="7"/>
  <c r="B16" i="7"/>
  <c r="B44" i="7"/>
  <c r="B39" i="7"/>
  <c r="B47" i="7"/>
  <c r="B23" i="7"/>
  <c r="B33" i="7"/>
  <c r="B18" i="7"/>
  <c r="B41" i="7"/>
  <c r="B36" i="7"/>
  <c r="B25" i="7"/>
  <c r="B46" i="7"/>
  <c r="BN24" i="5"/>
  <c r="BO24" i="5"/>
  <c r="BP24" i="5"/>
  <c r="BO39" i="5"/>
  <c r="BN39" i="5"/>
  <c r="BP39" i="5"/>
  <c r="BN64" i="5"/>
  <c r="BP64" i="5"/>
  <c r="BO64" i="5"/>
  <c r="BP47" i="5"/>
  <c r="BO47" i="5"/>
  <c r="BN47" i="5"/>
  <c r="BO27" i="5"/>
  <c r="F18" i="5" s="1"/>
  <c r="BP27" i="5"/>
  <c r="BN27" i="5"/>
  <c r="BF35" i="4" l="1"/>
  <c r="BG36" i="4"/>
  <c r="BR35" i="4"/>
  <c r="BS35" i="4" s="1"/>
  <c r="BH36" i="4"/>
  <c r="BI35" i="4"/>
  <c r="W37" i="4"/>
  <c r="J5" i="8"/>
  <c r="I9" i="8"/>
  <c r="I8" i="8"/>
  <c r="J8" i="8" s="1"/>
  <c r="AA3" i="15"/>
  <c r="AU6" i="5"/>
  <c r="AQ24" i="11"/>
  <c r="AS14" i="7"/>
  <c r="AA25" i="7"/>
  <c r="AH25" i="7"/>
  <c r="Q25" i="7" s="1"/>
  <c r="Z25" i="7"/>
  <c r="I25" i="7"/>
  <c r="G25" i="7"/>
  <c r="D25" i="7"/>
  <c r="C25" i="7"/>
  <c r="AG25" i="7"/>
  <c r="P25" i="7" s="1"/>
  <c r="AY25" i="7"/>
  <c r="U25" i="7"/>
  <c r="H25" i="7"/>
  <c r="AX25" i="7"/>
  <c r="AV25" i="7" s="1"/>
  <c r="AA33" i="7"/>
  <c r="H33" i="7"/>
  <c r="AH33" i="7"/>
  <c r="Q33" i="7" s="1"/>
  <c r="Z33" i="7"/>
  <c r="AY33" i="7"/>
  <c r="D33" i="7"/>
  <c r="G33" i="7"/>
  <c r="AG33" i="7"/>
  <c r="C33" i="7"/>
  <c r="I33" i="7"/>
  <c r="AX33" i="7"/>
  <c r="U33" i="7"/>
  <c r="AA44" i="7"/>
  <c r="G44" i="7"/>
  <c r="C44" i="7"/>
  <c r="D44" i="7"/>
  <c r="AY44" i="7"/>
  <c r="AH44" i="7"/>
  <c r="Q44" i="7" s="1"/>
  <c r="AG44" i="7"/>
  <c r="I44" i="7"/>
  <c r="AX44" i="7"/>
  <c r="Z44" i="7"/>
  <c r="H44" i="7"/>
  <c r="U44" i="7"/>
  <c r="AA31" i="7"/>
  <c r="AH31" i="7"/>
  <c r="Q31" i="7" s="1"/>
  <c r="H31" i="7"/>
  <c r="Z31" i="7"/>
  <c r="AY31" i="7"/>
  <c r="I31" i="7"/>
  <c r="D31" i="7"/>
  <c r="AX31" i="7"/>
  <c r="AG31" i="7"/>
  <c r="P31" i="7" s="1"/>
  <c r="C31" i="7"/>
  <c r="G31" i="7"/>
  <c r="U31" i="7"/>
  <c r="AA26" i="7"/>
  <c r="AY26" i="7"/>
  <c r="G26" i="7"/>
  <c r="AG26" i="7"/>
  <c r="U26" i="7"/>
  <c r="H26" i="7"/>
  <c r="C26" i="7"/>
  <c r="I26" i="7"/>
  <c r="AH26" i="7"/>
  <c r="Q26" i="7" s="1"/>
  <c r="D26" i="7"/>
  <c r="Z26" i="7"/>
  <c r="AX26" i="7"/>
  <c r="AV26" i="7" s="1"/>
  <c r="AA22" i="7"/>
  <c r="AY22" i="7"/>
  <c r="I22" i="7"/>
  <c r="U22" i="7"/>
  <c r="Z22" i="7"/>
  <c r="C22" i="7"/>
  <c r="AG22" i="7"/>
  <c r="P22" i="7" s="1"/>
  <c r="G22" i="7"/>
  <c r="D22" i="7"/>
  <c r="AH22" i="7"/>
  <c r="Q22" i="7" s="1"/>
  <c r="AX22" i="7"/>
  <c r="AV22" i="7" s="1"/>
  <c r="H22" i="7"/>
  <c r="AA19" i="7"/>
  <c r="AL19" i="7"/>
  <c r="AM19" i="7"/>
  <c r="D19" i="7"/>
  <c r="G19" i="7"/>
  <c r="AH19" i="7"/>
  <c r="Q19" i="7" s="1"/>
  <c r="AG19" i="7"/>
  <c r="I19" i="7"/>
  <c r="C19" i="7"/>
  <c r="H19" i="7"/>
  <c r="AY19" i="7"/>
  <c r="AX19" i="7"/>
  <c r="Z19" i="7"/>
  <c r="AA38" i="7"/>
  <c r="Z38" i="7"/>
  <c r="G38" i="7"/>
  <c r="AY38" i="7"/>
  <c r="AH38" i="7"/>
  <c r="Q38" i="7" s="1"/>
  <c r="H38" i="7"/>
  <c r="D38" i="7"/>
  <c r="C38" i="7"/>
  <c r="AG38" i="7"/>
  <c r="O38" i="7" s="1"/>
  <c r="AX38" i="7"/>
  <c r="I38" i="7"/>
  <c r="U38" i="7"/>
  <c r="AA50" i="7"/>
  <c r="I50" i="7"/>
  <c r="D50" i="7"/>
  <c r="G50" i="7"/>
  <c r="AX50" i="7"/>
  <c r="AH50" i="7"/>
  <c r="Q50" i="7" s="1"/>
  <c r="C50" i="7"/>
  <c r="H50" i="7"/>
  <c r="E50" i="7"/>
  <c r="AY50" i="7"/>
  <c r="AW50" i="7" s="1"/>
  <c r="AG50" i="7"/>
  <c r="P50" i="7" s="1"/>
  <c r="Z50" i="7"/>
  <c r="AA36" i="7"/>
  <c r="D36" i="7"/>
  <c r="AG36" i="7"/>
  <c r="Z36" i="7"/>
  <c r="AH36" i="7"/>
  <c r="Q36" i="7" s="1"/>
  <c r="AX36" i="7"/>
  <c r="AY36" i="7"/>
  <c r="C36" i="7"/>
  <c r="H36" i="7"/>
  <c r="I36" i="7"/>
  <c r="G36" i="7"/>
  <c r="U36" i="7"/>
  <c r="AA23" i="7"/>
  <c r="C23" i="7"/>
  <c r="AY23" i="7"/>
  <c r="AH23" i="7"/>
  <c r="Q23" i="7" s="1"/>
  <c r="AG23" i="7"/>
  <c r="I23" i="7"/>
  <c r="D23" i="7"/>
  <c r="Z23" i="7"/>
  <c r="U23" i="7"/>
  <c r="AX23" i="7"/>
  <c r="H23" i="7"/>
  <c r="G23" i="7"/>
  <c r="P23" i="7"/>
  <c r="AA16" i="7"/>
  <c r="AL16" i="7"/>
  <c r="Z16" i="7"/>
  <c r="AH16" i="7"/>
  <c r="Q16" i="7" s="1"/>
  <c r="D16" i="7"/>
  <c r="C16" i="7"/>
  <c r="H16" i="7"/>
  <c r="AM16" i="7"/>
  <c r="G16" i="7"/>
  <c r="I16" i="7"/>
  <c r="AG16" i="7"/>
  <c r="P16" i="7" s="1"/>
  <c r="AY16" i="7"/>
  <c r="AX16" i="7"/>
  <c r="AA29" i="7"/>
  <c r="Z29" i="7"/>
  <c r="G29" i="7"/>
  <c r="AG29" i="7"/>
  <c r="AX29" i="7"/>
  <c r="AY29" i="7"/>
  <c r="U29" i="7"/>
  <c r="H29" i="7"/>
  <c r="C29" i="7"/>
  <c r="D29" i="7"/>
  <c r="AH29" i="7"/>
  <c r="Q29" i="7" s="1"/>
  <c r="I29" i="7"/>
  <c r="AA30" i="7"/>
  <c r="I30" i="7"/>
  <c r="C30" i="7"/>
  <c r="AY30" i="7"/>
  <c r="H30" i="7"/>
  <c r="U30" i="7"/>
  <c r="AX30" i="7"/>
  <c r="AH30" i="7"/>
  <c r="Q30" i="7" s="1"/>
  <c r="AG30" i="7"/>
  <c r="D30" i="7"/>
  <c r="G30" i="7"/>
  <c r="Z30" i="7"/>
  <c r="AA49" i="7"/>
  <c r="AX49" i="7"/>
  <c r="Z49" i="7"/>
  <c r="C49" i="7"/>
  <c r="G49" i="7"/>
  <c r="D49" i="7"/>
  <c r="I49" i="7"/>
  <c r="AY49" i="7"/>
  <c r="AH49" i="7"/>
  <c r="Q49" i="7" s="1"/>
  <c r="AG49" i="7"/>
  <c r="H49" i="7"/>
  <c r="AA15" i="7"/>
  <c r="D15" i="7"/>
  <c r="AM15" i="7"/>
  <c r="AO16" i="7" s="1"/>
  <c r="H15" i="7"/>
  <c r="AG15" i="7"/>
  <c r="C15" i="7"/>
  <c r="F15" i="7" s="1"/>
  <c r="AY15" i="7"/>
  <c r="I15" i="7"/>
  <c r="Z15" i="7"/>
  <c r="AH15" i="7"/>
  <c r="AJ16" i="7" s="1"/>
  <c r="AL15" i="7"/>
  <c r="G15" i="7"/>
  <c r="K15" i="7" s="1"/>
  <c r="AX15" i="7"/>
  <c r="Q15" i="7"/>
  <c r="AA24" i="7"/>
  <c r="U24" i="7"/>
  <c r="C24" i="7"/>
  <c r="I24" i="7"/>
  <c r="AG24" i="7"/>
  <c r="Z24" i="7"/>
  <c r="G24" i="7"/>
  <c r="AX24" i="7"/>
  <c r="H24" i="7"/>
  <c r="D24" i="7"/>
  <c r="AY24" i="7"/>
  <c r="AH24" i="7"/>
  <c r="Q24" i="7" s="1"/>
  <c r="P24" i="7"/>
  <c r="AA32" i="7"/>
  <c r="AY32" i="7"/>
  <c r="H32" i="7"/>
  <c r="AX32" i="7"/>
  <c r="I32" i="7"/>
  <c r="AH32" i="7"/>
  <c r="Q32" i="7" s="1"/>
  <c r="Z32" i="7"/>
  <c r="D32" i="7"/>
  <c r="C32" i="7"/>
  <c r="AG32" i="7"/>
  <c r="G32" i="7"/>
  <c r="U32" i="7"/>
  <c r="AP16" i="15"/>
  <c r="AR16" i="15" s="1"/>
  <c r="AT16" i="15" s="1"/>
  <c r="AQ6" i="15"/>
  <c r="AR6" i="15" s="1"/>
  <c r="AS6" i="15" s="1"/>
  <c r="I35" i="15"/>
  <c r="M35" i="15" s="1"/>
  <c r="AQ12" i="15"/>
  <c r="AR12" i="15" s="1"/>
  <c r="AS12" i="15" s="1"/>
  <c r="AQ9" i="15"/>
  <c r="AR9" i="15" s="1"/>
  <c r="AS9" i="15" s="1"/>
  <c r="AP19" i="15"/>
  <c r="AR19" i="15" s="1"/>
  <c r="AT19" i="15" s="1"/>
  <c r="I38" i="15"/>
  <c r="AP22" i="15"/>
  <c r="AR22" i="15" s="1"/>
  <c r="AT22" i="15" s="1"/>
  <c r="AP15" i="15"/>
  <c r="AR15" i="15" s="1"/>
  <c r="AT15" i="15" s="1"/>
  <c r="AP23" i="15"/>
  <c r="AR23" i="15" s="1"/>
  <c r="AT23" i="15" s="1"/>
  <c r="AQ10" i="15"/>
  <c r="AR10" i="15" s="1"/>
  <c r="AS10" i="15" s="1"/>
  <c r="AQ14" i="15"/>
  <c r="AR14" i="15" s="1"/>
  <c r="AS14" i="15" s="1"/>
  <c r="AP20" i="15"/>
  <c r="AR20" i="15" s="1"/>
  <c r="AT20" i="15" s="1"/>
  <c r="I36" i="15"/>
  <c r="M36" i="15" s="1"/>
  <c r="AQ4" i="15"/>
  <c r="AR4" i="15" s="1"/>
  <c r="AS4" i="15" s="1"/>
  <c r="I37" i="15"/>
  <c r="AP25" i="15"/>
  <c r="AR25" i="15" s="1"/>
  <c r="AT25" i="15" s="1"/>
  <c r="AQ8" i="15"/>
  <c r="AR8" i="15" s="1"/>
  <c r="AS8" i="15" s="1"/>
  <c r="AP18" i="15"/>
  <c r="AR18" i="15" s="1"/>
  <c r="AT18" i="15" s="1"/>
  <c r="AP24" i="15"/>
  <c r="AR24" i="15" s="1"/>
  <c r="AT24" i="15" s="1"/>
  <c r="AX4" i="4"/>
  <c r="AQ5" i="15"/>
  <c r="AR5" i="15" s="1"/>
  <c r="AS5" i="15" s="1"/>
  <c r="AQ13" i="15"/>
  <c r="AR13" i="15" s="1"/>
  <c r="AS13" i="15" s="1"/>
  <c r="AP21" i="15"/>
  <c r="AR21" i="15" s="1"/>
  <c r="AT21" i="15" s="1"/>
  <c r="AQ7" i="15"/>
  <c r="AR7" i="15" s="1"/>
  <c r="AS7" i="15" s="1"/>
  <c r="AQ11" i="15"/>
  <c r="AR11" i="15" s="1"/>
  <c r="AS11" i="15" s="1"/>
  <c r="AP17" i="15"/>
  <c r="AR17" i="15" s="1"/>
  <c r="AT17" i="15" s="1"/>
  <c r="BL6" i="4"/>
  <c r="E34" i="15" s="1"/>
  <c r="BL7" i="4"/>
  <c r="AA46" i="7"/>
  <c r="H46" i="7"/>
  <c r="C46" i="7"/>
  <c r="D46" i="7"/>
  <c r="Z46" i="7"/>
  <c r="AX46" i="7"/>
  <c r="G46" i="7"/>
  <c r="AY46" i="7"/>
  <c r="AH46" i="7"/>
  <c r="Q46" i="7" s="1"/>
  <c r="AG46" i="7"/>
  <c r="I46" i="7"/>
  <c r="AA18" i="7"/>
  <c r="I18" i="7"/>
  <c r="AL18" i="7"/>
  <c r="D18" i="7"/>
  <c r="AY18" i="7"/>
  <c r="H18" i="7"/>
  <c r="AM18" i="7"/>
  <c r="AH18" i="7"/>
  <c r="Q18" i="7" s="1"/>
  <c r="AX18" i="7"/>
  <c r="AG18" i="7"/>
  <c r="G18" i="7"/>
  <c r="Z18" i="7"/>
  <c r="C18" i="7"/>
  <c r="AA39" i="7"/>
  <c r="H39" i="7"/>
  <c r="I39" i="7"/>
  <c r="AY39" i="7"/>
  <c r="G39" i="7"/>
  <c r="AG39" i="7"/>
  <c r="Z39" i="7"/>
  <c r="D39" i="7"/>
  <c r="AX39" i="7"/>
  <c r="AH39" i="7"/>
  <c r="Q39" i="7" s="1"/>
  <c r="C39" i="7"/>
  <c r="U39" i="7"/>
  <c r="AA28" i="7"/>
  <c r="U28" i="7"/>
  <c r="C28" i="7"/>
  <c r="AG28" i="7"/>
  <c r="Z28" i="7"/>
  <c r="AH28" i="7"/>
  <c r="Q28" i="7" s="1"/>
  <c r="AY28" i="7"/>
  <c r="G28" i="7"/>
  <c r="I28" i="7"/>
  <c r="AX28" i="7"/>
  <c r="H28" i="7"/>
  <c r="D28" i="7"/>
  <c r="AA48" i="7"/>
  <c r="AG48" i="7"/>
  <c r="G48" i="7"/>
  <c r="H48" i="7"/>
  <c r="AH48" i="7"/>
  <c r="Q48" i="7" s="1"/>
  <c r="C48" i="7"/>
  <c r="D48" i="7"/>
  <c r="AY48" i="7"/>
  <c r="Z48" i="7"/>
  <c r="AX48" i="7"/>
  <c r="AV48" i="7" s="1"/>
  <c r="I48" i="7"/>
  <c r="AA43" i="7"/>
  <c r="AG43" i="7"/>
  <c r="P43" i="7" s="1"/>
  <c r="Z43" i="7"/>
  <c r="C43" i="7"/>
  <c r="AH43" i="7"/>
  <c r="Q43" i="7" s="1"/>
  <c r="H43" i="7"/>
  <c r="G43" i="7"/>
  <c r="I43" i="7"/>
  <c r="AY43" i="7"/>
  <c r="AW43" i="7" s="1"/>
  <c r="AX43" i="7"/>
  <c r="AV43" i="7" s="1"/>
  <c r="D43" i="7"/>
  <c r="U43" i="7"/>
  <c r="AA20" i="7"/>
  <c r="AG20" i="7"/>
  <c r="P20" i="7" s="1"/>
  <c r="D20" i="7"/>
  <c r="Z20" i="7"/>
  <c r="AM20" i="7"/>
  <c r="I20" i="7"/>
  <c r="G20" i="7"/>
  <c r="AX20" i="7"/>
  <c r="AH20" i="7"/>
  <c r="Q20" i="7" s="1"/>
  <c r="C20" i="7"/>
  <c r="AL20" i="7"/>
  <c r="H20" i="7"/>
  <c r="AY20" i="7"/>
  <c r="AA37" i="7"/>
  <c r="AY37" i="7"/>
  <c r="AH37" i="7"/>
  <c r="Q37" i="7" s="1"/>
  <c r="I37" i="7"/>
  <c r="AX37" i="7"/>
  <c r="Z37" i="7"/>
  <c r="AG37" i="7"/>
  <c r="O37" i="7" s="1"/>
  <c r="D37" i="7"/>
  <c r="C37" i="7"/>
  <c r="H37" i="7"/>
  <c r="G37" i="7"/>
  <c r="U37" i="7"/>
  <c r="AA42" i="7"/>
  <c r="D42" i="7"/>
  <c r="I42" i="7"/>
  <c r="G42" i="7"/>
  <c r="H42" i="7"/>
  <c r="AX42" i="7"/>
  <c r="AH42" i="7"/>
  <c r="Q42" i="7" s="1"/>
  <c r="AG42" i="7"/>
  <c r="Z42" i="7"/>
  <c r="C42" i="7"/>
  <c r="F42" i="7" s="1"/>
  <c r="AY42" i="7"/>
  <c r="AW42" i="7" s="1"/>
  <c r="U42" i="7"/>
  <c r="AA41" i="7"/>
  <c r="C41" i="7"/>
  <c r="H41" i="7"/>
  <c r="I41" i="7"/>
  <c r="G41" i="7"/>
  <c r="Z41" i="7"/>
  <c r="AY41" i="7"/>
  <c r="AG41" i="7"/>
  <c r="P41" i="7" s="1"/>
  <c r="AX41" i="7"/>
  <c r="AH41" i="7"/>
  <c r="Q41" i="7" s="1"/>
  <c r="D41" i="7"/>
  <c r="U41" i="7"/>
  <c r="AA47" i="7"/>
  <c r="AY47" i="7"/>
  <c r="D47" i="7"/>
  <c r="AX47" i="7"/>
  <c r="I47" i="7"/>
  <c r="Z47" i="7"/>
  <c r="G47" i="7"/>
  <c r="AG47" i="7"/>
  <c r="P47" i="7" s="1"/>
  <c r="H47" i="7"/>
  <c r="C47" i="7"/>
  <c r="AH47" i="7"/>
  <c r="Q47" i="7" s="1"/>
  <c r="AA45" i="7"/>
  <c r="D45" i="7"/>
  <c r="AG45" i="7"/>
  <c r="P45" i="7" s="1"/>
  <c r="AX45" i="7"/>
  <c r="AH45" i="7"/>
  <c r="Q45" i="7" s="1"/>
  <c r="Z45" i="7"/>
  <c r="AY45" i="7"/>
  <c r="H45" i="7"/>
  <c r="I45" i="7"/>
  <c r="G45" i="7"/>
  <c r="C45" i="7"/>
  <c r="AA35" i="7"/>
  <c r="D35" i="7"/>
  <c r="AY35" i="7"/>
  <c r="C35" i="7"/>
  <c r="AX35" i="7"/>
  <c r="G35" i="7"/>
  <c r="AH35" i="7"/>
  <c r="Q35" i="7" s="1"/>
  <c r="I35" i="7"/>
  <c r="H35" i="7"/>
  <c r="AG35" i="7"/>
  <c r="P35" i="7" s="1"/>
  <c r="Z35" i="7"/>
  <c r="U35" i="7"/>
  <c r="AA40" i="7"/>
  <c r="AX40" i="7"/>
  <c r="AG40" i="7"/>
  <c r="H40" i="7"/>
  <c r="C40" i="7"/>
  <c r="AH40" i="7"/>
  <c r="Q40" i="7" s="1"/>
  <c r="G40" i="7"/>
  <c r="D40" i="7"/>
  <c r="I40" i="7"/>
  <c r="Z40" i="7"/>
  <c r="AY40" i="7"/>
  <c r="U40" i="7"/>
  <c r="AA21" i="7"/>
  <c r="G21" i="7"/>
  <c r="AG21" i="7"/>
  <c r="P21" i="7" s="1"/>
  <c r="AH21" i="7"/>
  <c r="Q21" i="7" s="1"/>
  <c r="AX21" i="7"/>
  <c r="H21" i="7"/>
  <c r="Z21" i="7"/>
  <c r="U21" i="7"/>
  <c r="I21" i="7"/>
  <c r="C21" i="7"/>
  <c r="D21" i="7"/>
  <c r="AY21" i="7"/>
  <c r="AA34" i="7"/>
  <c r="D34" i="7"/>
  <c r="H34" i="7"/>
  <c r="AH34" i="7"/>
  <c r="Q34" i="7" s="1"/>
  <c r="Z34" i="7"/>
  <c r="C34" i="7"/>
  <c r="F34" i="7" s="1"/>
  <c r="G34" i="7"/>
  <c r="AX34" i="7"/>
  <c r="AY34" i="7"/>
  <c r="I34" i="7"/>
  <c r="AG34" i="7"/>
  <c r="P34" i="7" s="1"/>
  <c r="U34" i="7"/>
  <c r="AA17" i="7"/>
  <c r="AM17" i="7"/>
  <c r="I17" i="7"/>
  <c r="H17" i="7"/>
  <c r="G17" i="7"/>
  <c r="AG17" i="7"/>
  <c r="AH17" i="7"/>
  <c r="Q17" i="7" s="1"/>
  <c r="AY17" i="7"/>
  <c r="Z17" i="7"/>
  <c r="AX17" i="7"/>
  <c r="D17" i="7"/>
  <c r="C17" i="7"/>
  <c r="AL17" i="7"/>
  <c r="AA27" i="7"/>
  <c r="C27" i="7"/>
  <c r="I27" i="7"/>
  <c r="H27" i="7"/>
  <c r="AX27" i="7"/>
  <c r="G27" i="7"/>
  <c r="Z27" i="7"/>
  <c r="AG27" i="7"/>
  <c r="P27" i="7" s="1"/>
  <c r="AH27" i="7"/>
  <c r="Q27" i="7" s="1"/>
  <c r="AY27" i="7"/>
  <c r="D27" i="7"/>
  <c r="U27" i="7"/>
  <c r="AR14" i="7"/>
  <c r="AD7" i="7"/>
  <c r="AA2" i="15"/>
  <c r="AU4" i="5"/>
  <c r="AP24" i="11"/>
  <c r="N50" i="7" l="1"/>
  <c r="F50" i="7"/>
  <c r="J50" i="7" s="1"/>
  <c r="AW25" i="7"/>
  <c r="T25" i="7" s="1"/>
  <c r="BF36" i="4"/>
  <c r="BG37" i="4"/>
  <c r="BR36" i="4"/>
  <c r="BS36" i="4" s="1"/>
  <c r="BP73" i="4"/>
  <c r="BP74" i="4"/>
  <c r="BP68" i="4"/>
  <c r="BP47" i="4"/>
  <c r="BP72" i="4"/>
  <c r="BP32" i="4"/>
  <c r="BP33" i="4"/>
  <c r="BP53" i="4"/>
  <c r="BP31" i="4"/>
  <c r="BP69" i="4"/>
  <c r="BP50" i="4"/>
  <c r="BP64" i="4"/>
  <c r="BP49" i="4"/>
  <c r="BP38" i="4"/>
  <c r="BP37" i="4"/>
  <c r="BP48" i="4"/>
  <c r="BP51" i="4"/>
  <c r="BP40" i="4"/>
  <c r="BP71" i="4"/>
  <c r="BP21" i="4"/>
  <c r="BP65" i="4"/>
  <c r="BP29" i="4"/>
  <c r="BP22" i="4"/>
  <c r="BP54" i="4"/>
  <c r="BP62" i="4"/>
  <c r="BP45" i="4"/>
  <c r="BP67" i="4"/>
  <c r="BP34" i="4"/>
  <c r="BP39" i="4"/>
  <c r="BP35" i="4"/>
  <c r="BP30" i="4"/>
  <c r="BP55" i="4"/>
  <c r="BP46" i="4"/>
  <c r="BP41" i="4"/>
  <c r="BP24" i="4"/>
  <c r="BP57" i="4"/>
  <c r="BP59" i="4"/>
  <c r="BP70" i="4"/>
  <c r="BP58" i="4"/>
  <c r="BP36" i="4"/>
  <c r="BP52" i="4"/>
  <c r="BP63" i="4"/>
  <c r="BP23" i="4"/>
  <c r="BP66" i="4"/>
  <c r="BP56" i="4"/>
  <c r="BP61" i="4"/>
  <c r="BP60" i="4"/>
  <c r="BP42" i="4"/>
  <c r="BP25" i="4"/>
  <c r="BP26" i="4"/>
  <c r="BP43" i="4"/>
  <c r="BP27" i="4"/>
  <c r="BP44" i="4"/>
  <c r="BP28" i="4"/>
  <c r="BP20" i="4"/>
  <c r="BH37" i="4"/>
  <c r="BI36" i="4"/>
  <c r="W38" i="4"/>
  <c r="AJ17" i="7"/>
  <c r="AJ18" i="7" s="1"/>
  <c r="AJ19" i="7" s="1"/>
  <c r="AJ20" i="7" s="1"/>
  <c r="R25" i="7"/>
  <c r="AV33" i="7"/>
  <c r="O25" i="7"/>
  <c r="R50" i="7"/>
  <c r="F29" i="7"/>
  <c r="F48" i="7"/>
  <c r="F24" i="7"/>
  <c r="R23" i="7"/>
  <c r="F44" i="7"/>
  <c r="F49" i="7"/>
  <c r="F36" i="7"/>
  <c r="AV50" i="7"/>
  <c r="T50" i="7" s="1"/>
  <c r="AW36" i="7"/>
  <c r="O36" i="7"/>
  <c r="K25" i="7"/>
  <c r="O44" i="7"/>
  <c r="K33" i="7"/>
  <c r="AW21" i="7"/>
  <c r="F33" i="7"/>
  <c r="I10" i="8"/>
  <c r="AW33" i="7"/>
  <c r="AV39" i="7"/>
  <c r="AW29" i="7"/>
  <c r="F27" i="7"/>
  <c r="F47" i="7"/>
  <c r="AW47" i="7"/>
  <c r="F28" i="7"/>
  <c r="F32" i="7"/>
  <c r="AW48" i="7"/>
  <c r="T48" i="7" s="1"/>
  <c r="O28" i="7"/>
  <c r="F18" i="7"/>
  <c r="AV24" i="7"/>
  <c r="F31" i="7"/>
  <c r="F17" i="7"/>
  <c r="F21" i="7"/>
  <c r="F35" i="7"/>
  <c r="AV42" i="7"/>
  <c r="S42" i="7" s="1"/>
  <c r="F43" i="7"/>
  <c r="AV34" i="7"/>
  <c r="F40" i="7"/>
  <c r="O48" i="7"/>
  <c r="F30" i="7"/>
  <c r="F23" i="7"/>
  <c r="AV36" i="7"/>
  <c r="AV27" i="7"/>
  <c r="K49" i="7"/>
  <c r="AV49" i="7"/>
  <c r="K37" i="7"/>
  <c r="K43" i="7"/>
  <c r="AV23" i="7"/>
  <c r="R34" i="7"/>
  <c r="R35" i="7"/>
  <c r="F41" i="7"/>
  <c r="O22" i="7"/>
  <c r="F26" i="7"/>
  <c r="R31" i="7"/>
  <c r="AV31" i="7"/>
  <c r="AV35" i="7"/>
  <c r="R47" i="7"/>
  <c r="O47" i="7"/>
  <c r="AV37" i="7"/>
  <c r="K20" i="7"/>
  <c r="F39" i="7"/>
  <c r="F46" i="7"/>
  <c r="K23" i="7"/>
  <c r="AW26" i="7"/>
  <c r="T26" i="7" s="1"/>
  <c r="K31" i="7"/>
  <c r="P44" i="7"/>
  <c r="R44" i="7" s="1"/>
  <c r="AW40" i="7"/>
  <c r="K40" i="7"/>
  <c r="F45" i="7"/>
  <c r="R45" i="7"/>
  <c r="R41" i="7"/>
  <c r="O41" i="7"/>
  <c r="O42" i="7"/>
  <c r="K42" i="7"/>
  <c r="S48" i="7"/>
  <c r="P28" i="7"/>
  <c r="R28" i="7" s="1"/>
  <c r="K18" i="7"/>
  <c r="R16" i="7"/>
  <c r="F16" i="7"/>
  <c r="AE10" i="7"/>
  <c r="P36" i="7"/>
  <c r="R36" i="7" s="1"/>
  <c r="O50" i="7"/>
  <c r="F38" i="7"/>
  <c r="R22" i="7"/>
  <c r="P40" i="7"/>
  <c r="R40" i="7" s="1"/>
  <c r="O40" i="7"/>
  <c r="AW4" i="5"/>
  <c r="BK4" i="5"/>
  <c r="P17" i="7"/>
  <c r="R17" i="7" s="1"/>
  <c r="O17" i="7"/>
  <c r="R21" i="7"/>
  <c r="AW27" i="7"/>
  <c r="K27" i="7"/>
  <c r="K17" i="7"/>
  <c r="AW34" i="7"/>
  <c r="AV21" i="7"/>
  <c r="T21" i="7" s="1"/>
  <c r="K45" i="7"/>
  <c r="AV41" i="7"/>
  <c r="K41" i="7"/>
  <c r="P42" i="7"/>
  <c r="R42" i="7" s="1"/>
  <c r="P37" i="7"/>
  <c r="R37" i="7" s="1"/>
  <c r="AV20" i="7"/>
  <c r="AR20" i="7"/>
  <c r="R43" i="7"/>
  <c r="K48" i="7"/>
  <c r="AV28" i="7"/>
  <c r="AW28" i="7"/>
  <c r="O39" i="7"/>
  <c r="P18" i="7"/>
  <c r="R18" i="7" s="1"/>
  <c r="O18" i="7"/>
  <c r="AW46" i="7"/>
  <c r="BP19" i="4"/>
  <c r="BP12" i="4"/>
  <c r="BP18" i="4"/>
  <c r="E33" i="15"/>
  <c r="BP17" i="4"/>
  <c r="BP16" i="4"/>
  <c r="BP15" i="4"/>
  <c r="R24" i="7"/>
  <c r="O24" i="7"/>
  <c r="AW49" i="7"/>
  <c r="AW30" i="7"/>
  <c r="K29" i="7"/>
  <c r="O16" i="7"/>
  <c r="AW23" i="7"/>
  <c r="AV38" i="7"/>
  <c r="K19" i="7"/>
  <c r="K22" i="7"/>
  <c r="K26" i="7"/>
  <c r="AW24" i="11"/>
  <c r="EA2" i="4"/>
  <c r="AR24" i="11"/>
  <c r="AW35" i="7"/>
  <c r="AV47" i="7"/>
  <c r="K39" i="7"/>
  <c r="AV18" i="7"/>
  <c r="AW18" i="7"/>
  <c r="K46" i="7"/>
  <c r="AV32" i="7"/>
  <c r="AV15" i="7"/>
  <c r="AF30" i="15"/>
  <c r="AF29" i="15" s="1"/>
  <c r="P15" i="7"/>
  <c r="R15" i="7" s="1"/>
  <c r="AI16" i="7"/>
  <c r="O15" i="7"/>
  <c r="AY13" i="7"/>
  <c r="AY12" i="7"/>
  <c r="K30" i="7"/>
  <c r="AV30" i="7"/>
  <c r="AV19" i="7"/>
  <c r="AR19" i="7"/>
  <c r="AR18" i="7" s="1"/>
  <c r="K44" i="7"/>
  <c r="EB2" i="4"/>
  <c r="ED2" i="4" s="1"/>
  <c r="AS24" i="11"/>
  <c r="R27" i="7"/>
  <c r="O27" i="7"/>
  <c r="O34" i="7"/>
  <c r="K34" i="7"/>
  <c r="O21" i="7"/>
  <c r="AV40" i="7"/>
  <c r="O35" i="7"/>
  <c r="K35" i="7"/>
  <c r="AV45" i="7"/>
  <c r="K47" i="7"/>
  <c r="AW41" i="7"/>
  <c r="AW37" i="7"/>
  <c r="R20" i="7"/>
  <c r="O20" i="7"/>
  <c r="S43" i="7"/>
  <c r="T43" i="7"/>
  <c r="O43" i="7"/>
  <c r="P48" i="7"/>
  <c r="R48" i="7" s="1"/>
  <c r="K28" i="7"/>
  <c r="P39" i="7"/>
  <c r="R39" i="7" s="1"/>
  <c r="AW39" i="7"/>
  <c r="P46" i="7"/>
  <c r="R46" i="7" s="1"/>
  <c r="O46" i="7"/>
  <c r="AV46" i="7"/>
  <c r="P14" i="7"/>
  <c r="M37" i="15"/>
  <c r="P15" i="15"/>
  <c r="AK24" i="11"/>
  <c r="I39" i="15"/>
  <c r="M39" i="15" s="1"/>
  <c r="AB6" i="5"/>
  <c r="K32" i="7"/>
  <c r="AW24" i="7"/>
  <c r="K24" i="7"/>
  <c r="AL7" i="4"/>
  <c r="D4" i="4" s="1"/>
  <c r="C2" i="15" s="1"/>
  <c r="P49" i="7"/>
  <c r="R49" i="7" s="1"/>
  <c r="O49" i="7"/>
  <c r="AV29" i="7"/>
  <c r="AV16" i="7"/>
  <c r="K16" i="7"/>
  <c r="O23" i="7"/>
  <c r="K50" i="7"/>
  <c r="L50" i="7" s="1"/>
  <c r="AB50" i="7" s="1"/>
  <c r="AC50" i="7" s="1"/>
  <c r="P38" i="7"/>
  <c r="R38" i="7" s="1"/>
  <c r="AW38" i="7"/>
  <c r="AW19" i="7"/>
  <c r="P19" i="7"/>
  <c r="R19" i="7" s="1"/>
  <c r="O19" i="7"/>
  <c r="AW22" i="7"/>
  <c r="S22" i="7" s="1"/>
  <c r="O31" i="7"/>
  <c r="AW31" i="7"/>
  <c r="AV44" i="7"/>
  <c r="AW44" i="7"/>
  <c r="P33" i="7"/>
  <c r="R33" i="7" s="1"/>
  <c r="O33" i="7"/>
  <c r="BL4" i="5"/>
  <c r="AO9" i="5"/>
  <c r="AW6" i="5"/>
  <c r="AW17" i="7"/>
  <c r="AV17" i="7"/>
  <c r="K21" i="7"/>
  <c r="AW45" i="7"/>
  <c r="O45" i="7"/>
  <c r="T42" i="7"/>
  <c r="AS20" i="7"/>
  <c r="AW20" i="7"/>
  <c r="M38" i="15"/>
  <c r="AL24" i="11"/>
  <c r="Q14" i="7"/>
  <c r="Q15" i="15"/>
  <c r="AC6" i="5"/>
  <c r="P32" i="7"/>
  <c r="R32" i="7" s="1"/>
  <c r="O32" i="7"/>
  <c r="AW32" i="7"/>
  <c r="AE9" i="7"/>
  <c r="AN16" i="7"/>
  <c r="AW15" i="7"/>
  <c r="AO17" i="7"/>
  <c r="AQ16" i="7"/>
  <c r="AQ5" i="7" s="1"/>
  <c r="P30" i="7"/>
  <c r="R30" i="7" s="1"/>
  <c r="O30" i="7"/>
  <c r="P29" i="7"/>
  <c r="R29" i="7" s="1"/>
  <c r="O29" i="7"/>
  <c r="AW16" i="7"/>
  <c r="K36" i="7"/>
  <c r="K38" i="7"/>
  <c r="P26" i="7"/>
  <c r="R26" i="7" s="1"/>
  <c r="O26" i="7"/>
  <c r="Y50" i="7" l="1"/>
  <c r="E49" i="7"/>
  <c r="N49" i="7" s="1"/>
  <c r="T31" i="7"/>
  <c r="S25" i="7"/>
  <c r="BH38" i="4"/>
  <c r="BI37" i="4"/>
  <c r="BF37" i="4"/>
  <c r="BG38" i="4"/>
  <c r="W39" i="4" s="1"/>
  <c r="BR37" i="4"/>
  <c r="BS37" i="4" s="1"/>
  <c r="S50" i="7"/>
  <c r="S33" i="7"/>
  <c r="T33" i="7"/>
  <c r="S34" i="7"/>
  <c r="T37" i="7"/>
  <c r="T27" i="7"/>
  <c r="T36" i="7"/>
  <c r="S37" i="7"/>
  <c r="T34" i="7"/>
  <c r="T49" i="7"/>
  <c r="T35" i="7"/>
  <c r="T23" i="7"/>
  <c r="S39" i="7"/>
  <c r="S26" i="7"/>
  <c r="T45" i="7"/>
  <c r="S36" i="7"/>
  <c r="AQ9" i="5"/>
  <c r="E8" i="15" s="1"/>
  <c r="AU20" i="7"/>
  <c r="S31" i="7"/>
  <c r="S49" i="7"/>
  <c r="S24" i="7"/>
  <c r="S35" i="7"/>
  <c r="S23" i="7"/>
  <c r="S15" i="7"/>
  <c r="T22" i="7"/>
  <c r="S18" i="7"/>
  <c r="AF6" i="5"/>
  <c r="AD6" i="5" s="1"/>
  <c r="S17" i="7"/>
  <c r="R14" i="7"/>
  <c r="T39" i="7"/>
  <c r="S32" i="7"/>
  <c r="T32" i="7"/>
  <c r="AT24" i="11"/>
  <c r="AX24" i="11"/>
  <c r="S38" i="7"/>
  <c r="T38" i="7"/>
  <c r="AR17" i="7"/>
  <c r="O6" i="5"/>
  <c r="S13" i="15"/>
  <c r="BL6" i="5"/>
  <c r="X12" i="15" s="1"/>
  <c r="T29" i="7"/>
  <c r="S29" i="7"/>
  <c r="T46" i="7"/>
  <c r="S46" i="7"/>
  <c r="T30" i="7"/>
  <c r="S30" i="7"/>
  <c r="AD15" i="7"/>
  <c r="AE15" i="7" s="1"/>
  <c r="AF15" i="7"/>
  <c r="T15" i="7" s="1"/>
  <c r="T24" i="7"/>
  <c r="T47" i="7"/>
  <c r="S47" i="7"/>
  <c r="AD16" i="7"/>
  <c r="AE16" i="7" s="1"/>
  <c r="AF16" i="7"/>
  <c r="T16" i="7" s="1"/>
  <c r="BM7" i="4"/>
  <c r="C33" i="15" s="1"/>
  <c r="BM6" i="4"/>
  <c r="C34" i="15" s="1"/>
  <c r="S27" i="7"/>
  <c r="AN17" i="7"/>
  <c r="AP16" i="7"/>
  <c r="AP5" i="7" s="1"/>
  <c r="AR5" i="7" s="1"/>
  <c r="AV5" i="7" s="1"/>
  <c r="AM5" i="7" s="1"/>
  <c r="AN5" i="7" s="1"/>
  <c r="AS19" i="7"/>
  <c r="S16" i="7"/>
  <c r="S44" i="7"/>
  <c r="T44" i="7"/>
  <c r="AF19" i="7"/>
  <c r="T19" i="7" s="1"/>
  <c r="AD19" i="7"/>
  <c r="AE19" i="7" s="1"/>
  <c r="AG6" i="5"/>
  <c r="S19" i="7"/>
  <c r="AI17" i="7"/>
  <c r="AK16" i="7"/>
  <c r="AO5" i="7" s="1"/>
  <c r="AD18" i="7"/>
  <c r="AE18" i="7" s="1"/>
  <c r="AF18" i="7"/>
  <c r="T18" i="7" s="1"/>
  <c r="T28" i="7"/>
  <c r="S28" i="7"/>
  <c r="S20" i="7"/>
  <c r="T41" i="7"/>
  <c r="S41" i="7"/>
  <c r="AF17" i="7"/>
  <c r="T17" i="7" s="1"/>
  <c r="AD17" i="7"/>
  <c r="AE17" i="7" s="1"/>
  <c r="AF20" i="7"/>
  <c r="T20" i="7" s="1"/>
  <c r="AD20" i="7"/>
  <c r="AE20" i="7" s="1"/>
  <c r="T40" i="7"/>
  <c r="S40" i="7"/>
  <c r="AQ17" i="7"/>
  <c r="AQ6" i="7" s="1"/>
  <c r="AO18" i="7"/>
  <c r="H9" i="8"/>
  <c r="D15" i="5"/>
  <c r="S45" i="7"/>
  <c r="EC2" i="4"/>
  <c r="EH2" i="4"/>
  <c r="BK6" i="5"/>
  <c r="X11" i="15" s="1"/>
  <c r="O5" i="5"/>
  <c r="BL9" i="5"/>
  <c r="R13" i="15"/>
  <c r="BJ9" i="5"/>
  <c r="BL8" i="5"/>
  <c r="S21" i="7"/>
  <c r="J49" i="7" l="1"/>
  <c r="L49" i="7"/>
  <c r="AB49" i="7" s="1"/>
  <c r="AC49" i="7" s="1"/>
  <c r="BF38" i="4"/>
  <c r="BG39" i="4"/>
  <c r="BR38" i="4"/>
  <c r="BS38" i="4" s="1"/>
  <c r="BH39" i="4"/>
  <c r="BI38" i="4"/>
  <c r="W40" i="4"/>
  <c r="AU19" i="7"/>
  <c r="AS18" i="7"/>
  <c r="AN18" i="7"/>
  <c r="AP17" i="7"/>
  <c r="AP6" i="7" s="1"/>
  <c r="AR6" i="7" s="1"/>
  <c r="AV6" i="7" s="1"/>
  <c r="AM6" i="7" s="1"/>
  <c r="AN6" i="7" s="1"/>
  <c r="AT17" i="7"/>
  <c r="AR16" i="7"/>
  <c r="AQ18" i="7"/>
  <c r="AQ7" i="7" s="1"/>
  <c r="AO19" i="7"/>
  <c r="H15" i="5"/>
  <c r="O9" i="5"/>
  <c r="X9" i="5"/>
  <c r="EJ7" i="4"/>
  <c r="EJ5" i="4"/>
  <c r="EJ6" i="4"/>
  <c r="EJ2" i="4"/>
  <c r="EJ10" i="4"/>
  <c r="EK10" i="4" s="1"/>
  <c r="EJ11" i="4"/>
  <c r="EK11" i="4" s="1"/>
  <c r="EJ8" i="4"/>
  <c r="EK8" i="4" s="1"/>
  <c r="EJ9" i="4"/>
  <c r="EK9" i="4" s="1"/>
  <c r="EJ3" i="4"/>
  <c r="EJ12" i="4"/>
  <c r="EK12" i="4" s="1"/>
  <c r="EJ4" i="4"/>
  <c r="I41" i="15"/>
  <c r="M41" i="15" s="1"/>
  <c r="X16" i="15"/>
  <c r="O8" i="5"/>
  <c r="T14" i="7"/>
  <c r="G15" i="5"/>
  <c r="S15" i="15"/>
  <c r="W43" i="15"/>
  <c r="E43" i="15" s="1"/>
  <c r="X15" i="15"/>
  <c r="I40" i="15"/>
  <c r="O7" i="5"/>
  <c r="F15" i="5"/>
  <c r="AA6" i="5"/>
  <c r="AH6" i="5" s="1"/>
  <c r="S14" i="7"/>
  <c r="EI2" i="4"/>
  <c r="EE2" i="4"/>
  <c r="EF2" i="4" s="1"/>
  <c r="J9" i="8"/>
  <c r="J10" i="8" s="1"/>
  <c r="M2" i="15" s="1"/>
  <c r="H10" i="8"/>
  <c r="AI18" i="7"/>
  <c r="AK17" i="7"/>
  <c r="AO6" i="7" s="1"/>
  <c r="Y49" i="7" l="1"/>
  <c r="E48" i="7"/>
  <c r="BF39" i="4"/>
  <c r="BG40" i="4"/>
  <c r="BR39" i="4"/>
  <c r="BS39" i="4" s="1"/>
  <c r="BH40" i="4"/>
  <c r="BI39" i="4"/>
  <c r="W41" i="4"/>
  <c r="D44" i="15"/>
  <c r="S17" i="15"/>
  <c r="I44" i="15" s="1"/>
  <c r="M44" i="15" s="1"/>
  <c r="I43" i="15"/>
  <c r="M43" i="15" s="1"/>
  <c r="Q17" i="15"/>
  <c r="EM9" i="4"/>
  <c r="EN9" i="4"/>
  <c r="EL9" i="4"/>
  <c r="EO9" i="4"/>
  <c r="E5" i="5"/>
  <c r="EK2" i="4"/>
  <c r="AN19" i="7"/>
  <c r="AP18" i="7"/>
  <c r="AP7" i="7" s="1"/>
  <c r="AR7" i="7" s="1"/>
  <c r="AV7" i="7" s="1"/>
  <c r="AM7" i="7" s="1"/>
  <c r="AN7" i="7" s="1"/>
  <c r="EK3" i="4"/>
  <c r="E6" i="5"/>
  <c r="AK18" i="7"/>
  <c r="AO7" i="7" s="1"/>
  <c r="AI19" i="7"/>
  <c r="AT18" i="7"/>
  <c r="EK4" i="4"/>
  <c r="E7" i="5"/>
  <c r="EL8" i="4"/>
  <c r="EM8" i="4"/>
  <c r="EN8" i="4"/>
  <c r="EO8" i="4"/>
  <c r="EK6" i="4"/>
  <c r="E9" i="5"/>
  <c r="AT16" i="7"/>
  <c r="AR15" i="7"/>
  <c r="AT15" i="7" s="1"/>
  <c r="AU18" i="7"/>
  <c r="AS17" i="7"/>
  <c r="EN10" i="4"/>
  <c r="EM10" i="4"/>
  <c r="EL10" i="4"/>
  <c r="EO10" i="4"/>
  <c r="E10" i="5"/>
  <c r="EK7" i="4"/>
  <c r="AQ19" i="7"/>
  <c r="AQ8" i="7" s="1"/>
  <c r="AO20" i="7"/>
  <c r="AQ20" i="7" s="1"/>
  <c r="AQ9" i="7" s="1"/>
  <c r="M40" i="15"/>
  <c r="I42" i="15"/>
  <c r="M42" i="15" s="1"/>
  <c r="EN12" i="4"/>
  <c r="EM12" i="4"/>
  <c r="EL12" i="4"/>
  <c r="EO12" i="4"/>
  <c r="EM11" i="4"/>
  <c r="EN11" i="4"/>
  <c r="EL11" i="4"/>
  <c r="EO11" i="4"/>
  <c r="E8" i="5"/>
  <c r="EK5" i="4"/>
  <c r="L48" i="7" l="1"/>
  <c r="AB48" i="7" s="1"/>
  <c r="AC48" i="7" s="1"/>
  <c r="J48" i="7"/>
  <c r="N48" i="7"/>
  <c r="BF40" i="4"/>
  <c r="BG41" i="4"/>
  <c r="BR40" i="4"/>
  <c r="BS40" i="4" s="1"/>
  <c r="BH41" i="4"/>
  <c r="BI40" i="4"/>
  <c r="W42" i="4"/>
  <c r="AU17" i="7"/>
  <c r="AT6" i="7" s="1"/>
  <c r="AS16" i="7"/>
  <c r="AT7" i="7"/>
  <c r="EM3" i="4"/>
  <c r="H6" i="5" s="1"/>
  <c r="EO3" i="4"/>
  <c r="F6" i="5" s="1"/>
  <c r="EN3" i="4"/>
  <c r="G6" i="5" s="1"/>
  <c r="EL3" i="4"/>
  <c r="C6" i="5" s="1"/>
  <c r="EL5" i="4"/>
  <c r="C8" i="5" s="1"/>
  <c r="EN5" i="4"/>
  <c r="G8" i="5" s="1"/>
  <c r="EM5" i="4"/>
  <c r="H8" i="5" s="1"/>
  <c r="EO5" i="4"/>
  <c r="F8" i="5" s="1"/>
  <c r="EM6" i="4"/>
  <c r="H9" i="5" s="1"/>
  <c r="EL6" i="4"/>
  <c r="C9" i="5" s="1"/>
  <c r="EO6" i="4"/>
  <c r="F9" i="5" s="1"/>
  <c r="EN6" i="4"/>
  <c r="G9" i="5" s="1"/>
  <c r="AK19" i="7"/>
  <c r="AO8" i="7" s="1"/>
  <c r="AI20" i="7"/>
  <c r="AT19" i="7"/>
  <c r="AT8" i="7" s="1"/>
  <c r="EO7" i="4"/>
  <c r="F10" i="5" s="1"/>
  <c r="EM7" i="4"/>
  <c r="H10" i="5" s="1"/>
  <c r="EL7" i="4"/>
  <c r="C10" i="5" s="1"/>
  <c r="EN7" i="4"/>
  <c r="G10" i="5" s="1"/>
  <c r="AP19" i="7"/>
  <c r="AP8" i="7" s="1"/>
  <c r="AR8" i="7" s="1"/>
  <c r="AV8" i="7" s="1"/>
  <c r="AM8" i="7" s="1"/>
  <c r="AN8" i="7" s="1"/>
  <c r="AN20" i="7"/>
  <c r="EL4" i="4"/>
  <c r="C7" i="5" s="1"/>
  <c r="EN4" i="4"/>
  <c r="G7" i="5" s="1"/>
  <c r="EO4" i="4"/>
  <c r="F7" i="5" s="1"/>
  <c r="EM4" i="4"/>
  <c r="H7" i="5" s="1"/>
  <c r="EM2" i="4"/>
  <c r="H5" i="5" s="1"/>
  <c r="EO2" i="4"/>
  <c r="F5" i="5" s="1"/>
  <c r="EN2" i="4"/>
  <c r="G5" i="5" s="1"/>
  <c r="EL2" i="4"/>
  <c r="C5" i="5" s="1"/>
  <c r="U18" i="7"/>
  <c r="U17" i="7"/>
  <c r="U16" i="7"/>
  <c r="U47" i="7"/>
  <c r="U46" i="7"/>
  <c r="Y48" i="7" l="1"/>
  <c r="E47" i="7"/>
  <c r="BF41" i="4"/>
  <c r="BG42" i="4"/>
  <c r="BR41" i="4"/>
  <c r="BS41" i="4" s="1"/>
  <c r="BH42" i="4"/>
  <c r="BI41" i="4"/>
  <c r="W43" i="4"/>
  <c r="AP20" i="7"/>
  <c r="AP9" i="7" s="1"/>
  <c r="AR9" i="7" s="1"/>
  <c r="AV9" i="7" s="1"/>
  <c r="AM9" i="7" s="1"/>
  <c r="AN9" i="7" s="1"/>
  <c r="AU16" i="7"/>
  <c r="AT5" i="7" s="1"/>
  <c r="AS15" i="7"/>
  <c r="AU15" i="7" s="1"/>
  <c r="AT4" i="7" s="1"/>
  <c r="AK20" i="7"/>
  <c r="AO9" i="7" s="1"/>
  <c r="AT20" i="7"/>
  <c r="AT9" i="7" s="1"/>
  <c r="U20" i="7"/>
  <c r="U19" i="7"/>
  <c r="L47" i="7" l="1"/>
  <c r="AB47" i="7" s="1"/>
  <c r="AC47" i="7" s="1"/>
  <c r="N47" i="7"/>
  <c r="J47" i="7"/>
  <c r="BF42" i="4"/>
  <c r="BG43" i="4"/>
  <c r="W44" i="4" s="1"/>
  <c r="BR42" i="4"/>
  <c r="BS42" i="4" s="1"/>
  <c r="BH43" i="4"/>
  <c r="BI42" i="4"/>
  <c r="Y47" i="7" l="1"/>
  <c r="E46" i="7"/>
  <c r="BF43" i="4"/>
  <c r="BG44" i="4"/>
  <c r="W45" i="4" s="1"/>
  <c r="BR43" i="4"/>
  <c r="BS43" i="4" s="1"/>
  <c r="BH44" i="4"/>
  <c r="BI43" i="4"/>
  <c r="N46" i="7" l="1"/>
  <c r="J46" i="7"/>
  <c r="L46" i="7"/>
  <c r="AB46" i="7" s="1"/>
  <c r="AC46" i="7" s="1"/>
  <c r="BF44" i="4"/>
  <c r="BG45" i="4"/>
  <c r="W46" i="4" s="1"/>
  <c r="BR44" i="4"/>
  <c r="BS44" i="4" s="1"/>
  <c r="BH45" i="4"/>
  <c r="BI44" i="4"/>
  <c r="Y46" i="7" l="1"/>
  <c r="E45" i="7"/>
  <c r="BF45" i="4"/>
  <c r="BG46" i="4"/>
  <c r="W47" i="4" s="1"/>
  <c r="BR45" i="4"/>
  <c r="BS45" i="4" s="1"/>
  <c r="BH46" i="4"/>
  <c r="BI45" i="4"/>
  <c r="N45" i="7" l="1"/>
  <c r="J45" i="7"/>
  <c r="L45" i="7"/>
  <c r="AB45" i="7" s="1"/>
  <c r="AC45" i="7" s="1"/>
  <c r="BF46" i="4"/>
  <c r="BG47" i="4"/>
  <c r="W48" i="4" s="1"/>
  <c r="BR46" i="4"/>
  <c r="BS46" i="4" s="1"/>
  <c r="BH47" i="4"/>
  <c r="BI46" i="4"/>
  <c r="E44" i="7" l="1"/>
  <c r="Y45" i="7"/>
  <c r="BF47" i="4"/>
  <c r="BG48" i="4"/>
  <c r="W49" i="4" s="1"/>
  <c r="BR47" i="4"/>
  <c r="BS47" i="4" s="1"/>
  <c r="BH48" i="4"/>
  <c r="BI47" i="4"/>
  <c r="N44" i="7" l="1"/>
  <c r="J44" i="7"/>
  <c r="L44" i="7"/>
  <c r="AB44" i="7" s="1"/>
  <c r="AC44" i="7" s="1"/>
  <c r="BF48" i="4"/>
  <c r="BG49" i="4"/>
  <c r="BR48" i="4"/>
  <c r="BS48" i="4" s="1"/>
  <c r="BH49" i="4"/>
  <c r="BI48" i="4"/>
  <c r="Y44" i="7" l="1"/>
  <c r="E43" i="7"/>
  <c r="BF49" i="4"/>
  <c r="BG50" i="4"/>
  <c r="BR49" i="4"/>
  <c r="BS49" i="4" s="1"/>
  <c r="W50" i="4"/>
  <c r="BH50" i="4"/>
  <c r="BI49" i="4"/>
  <c r="W51" i="4"/>
  <c r="N43" i="7" l="1"/>
  <c r="J43" i="7"/>
  <c r="L43" i="7"/>
  <c r="AB43" i="7" s="1"/>
  <c r="AC43" i="7" s="1"/>
  <c r="BF50" i="4"/>
  <c r="BG51" i="4"/>
  <c r="BR50" i="4"/>
  <c r="BS50" i="4" s="1"/>
  <c r="BH51" i="4"/>
  <c r="BI50" i="4"/>
  <c r="Y43" i="7" l="1"/>
  <c r="E42" i="7"/>
  <c r="BF51" i="4"/>
  <c r="BG52" i="4"/>
  <c r="W53" i="4" s="1"/>
  <c r="BR51" i="4"/>
  <c r="BS51" i="4" s="1"/>
  <c r="W52" i="4"/>
  <c r="BH52" i="4"/>
  <c r="BI51" i="4"/>
  <c r="N42" i="7" l="1"/>
  <c r="J42" i="7"/>
  <c r="L42" i="7"/>
  <c r="AB42" i="7" s="1"/>
  <c r="AC42" i="7" s="1"/>
  <c r="BF52" i="4"/>
  <c r="BG53" i="4"/>
  <c r="BR52" i="4"/>
  <c r="BS52" i="4" s="1"/>
  <c r="BH53" i="4"/>
  <c r="BI52" i="4"/>
  <c r="Y42" i="7" l="1"/>
  <c r="E41" i="7"/>
  <c r="BF53" i="4"/>
  <c r="BG54" i="4"/>
  <c r="W55" i="4" s="1"/>
  <c r="BR53" i="4"/>
  <c r="BS53" i="4" s="1"/>
  <c r="W54" i="4"/>
  <c r="BH54" i="4"/>
  <c r="BI53" i="4"/>
  <c r="U15" i="7"/>
  <c r="U45" i="7"/>
  <c r="N41" i="7" l="1"/>
  <c r="J41" i="7"/>
  <c r="L41" i="7"/>
  <c r="AB41" i="7" s="1"/>
  <c r="AC41" i="7" s="1"/>
  <c r="BF54" i="4"/>
  <c r="BG55" i="4"/>
  <c r="BR54" i="4"/>
  <c r="BS54" i="4" s="1"/>
  <c r="BH55" i="4"/>
  <c r="BI54" i="4"/>
  <c r="Y41" i="7" l="1"/>
  <c r="E40" i="7"/>
  <c r="BF55" i="4"/>
  <c r="BG56" i="4"/>
  <c r="BR55" i="4"/>
  <c r="BS55" i="4" s="1"/>
  <c r="W56" i="4"/>
  <c r="BH56" i="4"/>
  <c r="BI55" i="4"/>
  <c r="W57" i="4"/>
  <c r="J40" i="7" l="1"/>
  <c r="N40" i="7"/>
  <c r="L40" i="7"/>
  <c r="AB40" i="7" s="1"/>
  <c r="AC40" i="7" s="1"/>
  <c r="BF56" i="4"/>
  <c r="BG57" i="4"/>
  <c r="BR56" i="4"/>
  <c r="BS56" i="4" s="1"/>
  <c r="BH57" i="4"/>
  <c r="BI56" i="4"/>
  <c r="Y40" i="7" l="1"/>
  <c r="E39" i="7"/>
  <c r="BF57" i="4"/>
  <c r="BG58" i="4"/>
  <c r="W59" i="4" s="1"/>
  <c r="BR57" i="4"/>
  <c r="BS57" i="4" s="1"/>
  <c r="W58" i="4"/>
  <c r="BH58" i="4"/>
  <c r="BI57" i="4"/>
  <c r="N39" i="7" l="1"/>
  <c r="J39" i="7"/>
  <c r="L39" i="7"/>
  <c r="AB39" i="7" s="1"/>
  <c r="AC39" i="7" s="1"/>
  <c r="BF58" i="4"/>
  <c r="BG59" i="4"/>
  <c r="BR58" i="4"/>
  <c r="BS58" i="4" s="1"/>
  <c r="BH59" i="4"/>
  <c r="BI58" i="4"/>
  <c r="Y39" i="7" l="1"/>
  <c r="E38" i="7"/>
  <c r="BF59" i="4"/>
  <c r="BG60" i="4"/>
  <c r="W61" i="4" s="1"/>
  <c r="BR59" i="4"/>
  <c r="BS59" i="4" s="1"/>
  <c r="W60" i="4"/>
  <c r="BH60" i="4"/>
  <c r="BI59" i="4"/>
  <c r="F37" i="7"/>
  <c r="N38" i="7" l="1"/>
  <c r="J38" i="7"/>
  <c r="L38" i="7"/>
  <c r="AB38" i="7" s="1"/>
  <c r="AC38" i="7" s="1"/>
  <c r="BF60" i="4"/>
  <c r="BG61" i="4"/>
  <c r="W62" i="4" s="1"/>
  <c r="BR60" i="4"/>
  <c r="BS60" i="4" s="1"/>
  <c r="BH61" i="4"/>
  <c r="BI60" i="4"/>
  <c r="Y38" i="7" l="1"/>
  <c r="E37" i="7"/>
  <c r="BF61" i="4"/>
  <c r="BG62" i="4"/>
  <c r="W63" i="4" s="1"/>
  <c r="BR61" i="4"/>
  <c r="BS61" i="4" s="1"/>
  <c r="BH62" i="4"/>
  <c r="BI61" i="4"/>
  <c r="N37" i="7" l="1"/>
  <c r="L37" i="7"/>
  <c r="AB37" i="7" s="1"/>
  <c r="AC37" i="7" s="1"/>
  <c r="J37" i="7"/>
  <c r="BF62" i="4"/>
  <c r="BG63" i="4"/>
  <c r="W64" i="4" s="1"/>
  <c r="BR62" i="4"/>
  <c r="BS62" i="4" s="1"/>
  <c r="BH63" i="4"/>
  <c r="BI62" i="4"/>
  <c r="Y37" i="7" l="1"/>
  <c r="E36" i="7"/>
  <c r="BF63" i="4"/>
  <c r="BG64" i="4"/>
  <c r="W65" i="4" s="1"/>
  <c r="BR63" i="4"/>
  <c r="BS63" i="4" s="1"/>
  <c r="BH64" i="4"/>
  <c r="BI63" i="4"/>
  <c r="N36" i="7" l="1"/>
  <c r="J36" i="7"/>
  <c r="L36" i="7"/>
  <c r="AB36" i="7" s="1"/>
  <c r="AC36" i="7" s="1"/>
  <c r="BF64" i="4"/>
  <c r="BG65" i="4"/>
  <c r="BR64" i="4"/>
  <c r="BS64" i="4" s="1"/>
  <c r="BH65" i="4"/>
  <c r="BI64" i="4"/>
  <c r="Y36" i="7" l="1"/>
  <c r="E35" i="7"/>
  <c r="BF65" i="4"/>
  <c r="BG66" i="4"/>
  <c r="W67" i="4" s="1"/>
  <c r="BR65" i="4"/>
  <c r="BS65" i="4" s="1"/>
  <c r="W66" i="4"/>
  <c r="BH66" i="4"/>
  <c r="BI65" i="4"/>
  <c r="J35" i="7" l="1"/>
  <c r="L35" i="7"/>
  <c r="AB35" i="7" s="1"/>
  <c r="AC35" i="7" s="1"/>
  <c r="N35" i="7"/>
  <c r="BF66" i="4"/>
  <c r="BG67" i="4"/>
  <c r="BR66" i="4"/>
  <c r="BS66" i="4" s="1"/>
  <c r="BH67" i="4"/>
  <c r="BI66" i="4"/>
  <c r="E34" i="7" l="1"/>
  <c r="Y35" i="7"/>
  <c r="BF67" i="4"/>
  <c r="BG68" i="4"/>
  <c r="W69" i="4" s="1"/>
  <c r="BR67" i="4"/>
  <c r="BS67" i="4" s="1"/>
  <c r="W68" i="4"/>
  <c r="BH68" i="4"/>
  <c r="BI67" i="4"/>
  <c r="N34" i="7" l="1"/>
  <c r="J34" i="7"/>
  <c r="L34" i="7"/>
  <c r="AB34" i="7" s="1"/>
  <c r="AC34" i="7" s="1"/>
  <c r="BF68" i="4"/>
  <c r="BG69" i="4"/>
  <c r="BR68" i="4"/>
  <c r="BS68" i="4" s="1"/>
  <c r="BH69" i="4"/>
  <c r="BI68" i="4"/>
  <c r="E33" i="7" l="1"/>
  <c r="Y34" i="7"/>
  <c r="BF69" i="4"/>
  <c r="BG70" i="4"/>
  <c r="BR69" i="4"/>
  <c r="BS69" i="4" s="1"/>
  <c r="W70" i="4"/>
  <c r="U50" i="7" s="1"/>
  <c r="BH70" i="4"/>
  <c r="BI70" i="4" s="1"/>
  <c r="BI69" i="4"/>
  <c r="N33" i="7" l="1"/>
  <c r="J33" i="7"/>
  <c r="L33" i="7"/>
  <c r="AB33" i="7" s="1"/>
  <c r="AC33" i="7" s="1"/>
  <c r="BF70" i="4"/>
  <c r="BR74" i="4"/>
  <c r="BS74" i="4" s="1"/>
  <c r="BR70" i="4"/>
  <c r="BS70" i="4" s="1"/>
  <c r="BR71" i="4"/>
  <c r="BS71" i="4" s="1"/>
  <c r="BR72" i="4"/>
  <c r="BS72" i="4" s="1"/>
  <c r="BR73" i="4"/>
  <c r="BS73" i="4" s="1"/>
  <c r="Y33" i="7" l="1"/>
  <c r="E32" i="7"/>
  <c r="N32" i="7" l="1"/>
  <c r="J32" i="7"/>
  <c r="L32" i="7"/>
  <c r="AB32" i="7" s="1"/>
  <c r="AC32" i="7" s="1"/>
  <c r="Y32" i="7" l="1"/>
  <c r="E31" i="7"/>
  <c r="BF4" i="4"/>
  <c r="BH5" i="4"/>
  <c r="BF5" i="4"/>
  <c r="L31" i="7" l="1"/>
  <c r="AB31" i="7" s="1"/>
  <c r="AC31" i="7" s="1"/>
  <c r="N31" i="7"/>
  <c r="J31" i="7"/>
  <c r="W28" i="15"/>
  <c r="U49" i="7"/>
  <c r="AB36" i="15"/>
  <c r="AH36" i="15" s="1"/>
  <c r="AB38" i="15"/>
  <c r="AH38" i="15" s="1"/>
  <c r="AB37" i="15"/>
  <c r="AH37" i="15" s="1"/>
  <c r="AB35" i="15"/>
  <c r="AH35" i="15" s="1"/>
  <c r="AB33" i="15"/>
  <c r="AH33" i="15" s="1"/>
  <c r="U48" i="7"/>
  <c r="AB34" i="15"/>
  <c r="AH34" i="15" s="1"/>
  <c r="AB39" i="15"/>
  <c r="AH39" i="15" s="1"/>
  <c r="C48" i="15"/>
  <c r="C47" i="15"/>
  <c r="BL5" i="4"/>
  <c r="BL3" i="4"/>
  <c r="BL4" i="4"/>
  <c r="BN3" i="4"/>
  <c r="BN4" i="4"/>
  <c r="BH4" i="4"/>
  <c r="E30" i="7" l="1"/>
  <c r="Y31" i="7"/>
  <c r="W27" i="15"/>
  <c r="BM5" i="4"/>
  <c r="C32" i="15" s="1"/>
  <c r="E32" i="15"/>
  <c r="E48" i="15"/>
  <c r="E47" i="15"/>
  <c r="AL33" i="15"/>
  <c r="V40" i="15"/>
  <c r="D40" i="15" s="1"/>
  <c r="V41" i="15"/>
  <c r="E40" i="15" s="1"/>
  <c r="V39" i="15"/>
  <c r="C40" i="15" s="1"/>
  <c r="AL37" i="15"/>
  <c r="AK29" i="15"/>
  <c r="AL29" i="15" s="1"/>
  <c r="E28" i="15" s="1"/>
  <c r="L30" i="7" l="1"/>
  <c r="AB30" i="7" s="1"/>
  <c r="AC30" i="7" s="1"/>
  <c r="N30" i="7"/>
  <c r="J30" i="7"/>
  <c r="AN37" i="15"/>
  <c r="AE37" i="15"/>
  <c r="AN33" i="15"/>
  <c r="AE33" i="15"/>
  <c r="E29" i="7" l="1"/>
  <c r="Y30" i="7"/>
  <c r="AN39" i="15"/>
  <c r="B55" i="15" s="1"/>
  <c r="AN40" i="15"/>
  <c r="B56" i="15" s="1"/>
  <c r="N29" i="7" l="1"/>
  <c r="J29" i="7"/>
  <c r="L29" i="7"/>
  <c r="AB29" i="7" s="1"/>
  <c r="AC29" i="7" s="1"/>
  <c r="E28" i="7" l="1"/>
  <c r="Y29" i="7"/>
  <c r="N28" i="7" l="1"/>
  <c r="J28" i="7"/>
  <c r="L28" i="7"/>
  <c r="AB28" i="7" s="1"/>
  <c r="AC28" i="7" s="1"/>
  <c r="E27" i="7" l="1"/>
  <c r="Y28" i="7"/>
  <c r="N27" i="7" l="1"/>
  <c r="J27" i="7"/>
  <c r="L27" i="7"/>
  <c r="AB27" i="7" s="1"/>
  <c r="AC27" i="7" s="1"/>
  <c r="E26" i="7" l="1"/>
  <c r="Y27" i="7"/>
  <c r="F25" i="7"/>
  <c r="L26" i="7" l="1"/>
  <c r="AB26" i="7" s="1"/>
  <c r="AC26" i="7" s="1"/>
  <c r="N26" i="7"/>
  <c r="J26" i="7"/>
  <c r="E25" i="7" l="1"/>
  <c r="Y26" i="7"/>
  <c r="L25" i="7" l="1"/>
  <c r="AB25" i="7" s="1"/>
  <c r="AC25" i="7" s="1"/>
  <c r="N25" i="7"/>
  <c r="J25" i="7"/>
  <c r="Y25" i="7" l="1"/>
  <c r="E24" i="7"/>
  <c r="L24" i="7" l="1"/>
  <c r="AB24" i="7" s="1"/>
  <c r="AC24" i="7" s="1"/>
  <c r="N24" i="7"/>
  <c r="J24" i="7"/>
  <c r="E23" i="7" l="1"/>
  <c r="Y24" i="7"/>
  <c r="F22" i="7"/>
  <c r="L23" i="7" l="1"/>
  <c r="AB23" i="7" s="1"/>
  <c r="AC23" i="7" s="1"/>
  <c r="J23" i="7"/>
  <c r="N23" i="7"/>
  <c r="E22" i="7" l="1"/>
  <c r="Y23" i="7"/>
  <c r="L22" i="7" l="1"/>
  <c r="AB22" i="7" s="1"/>
  <c r="AC22" i="7" s="1"/>
  <c r="N22" i="7"/>
  <c r="J22" i="7"/>
  <c r="Y22" i="7" l="1"/>
  <c r="E21" i="7"/>
  <c r="F20" i="7"/>
  <c r="L21" i="7" l="1"/>
  <c r="AB21" i="7" s="1"/>
  <c r="AC21" i="7" s="1"/>
  <c r="J21" i="7"/>
  <c r="N21" i="7"/>
  <c r="E20" i="7" l="1"/>
  <c r="Y21" i="7"/>
  <c r="F19" i="7"/>
  <c r="F14" i="7" s="1"/>
  <c r="L20" i="7" l="1"/>
  <c r="AB20" i="7" s="1"/>
  <c r="AC20" i="7" s="1"/>
  <c r="N20" i="7"/>
  <c r="J20" i="7"/>
  <c r="J14" i="7"/>
  <c r="U14" i="7"/>
  <c r="E19" i="7" l="1"/>
  <c r="Y20" i="7"/>
  <c r="S7" i="11"/>
  <c r="AG5" i="15"/>
  <c r="L19" i="7" l="1"/>
  <c r="AB19" i="7" s="1"/>
  <c r="AC19" i="7" s="1"/>
  <c r="N19" i="7"/>
  <c r="J19" i="7"/>
  <c r="AG6" i="15"/>
  <c r="Y8" i="15"/>
  <c r="AB8" i="15" s="1"/>
  <c r="S21" i="15" s="1"/>
  <c r="Y19" i="7" l="1"/>
  <c r="E18" i="7"/>
  <c r="AK24" i="15" s="1"/>
  <c r="AL24" i="15" s="1"/>
  <c r="E23" i="15" s="1"/>
  <c r="Y9" i="15"/>
  <c r="AB9" i="15" s="1"/>
  <c r="S22" i="15" s="1"/>
  <c r="AG7" i="15"/>
  <c r="AG8" i="15" s="1"/>
  <c r="AG9" i="15" s="1"/>
  <c r="AG10" i="15" s="1"/>
  <c r="AG11" i="15" s="1"/>
  <c r="AG12" i="15" s="1"/>
  <c r="AG13" i="15" s="1"/>
  <c r="AG14" i="15" s="1"/>
  <c r="AG15" i="15" s="1"/>
  <c r="AG16" i="15" s="1"/>
  <c r="AG17" i="15" s="1"/>
  <c r="AD28" i="15" s="1"/>
  <c r="N18" i="7" l="1"/>
  <c r="L18" i="7"/>
  <c r="AB18" i="7" s="1"/>
  <c r="AC18" i="7" s="1"/>
  <c r="J18" i="7"/>
  <c r="AK28" i="15"/>
  <c r="AL28" i="15" s="1"/>
  <c r="E27" i="15" s="1"/>
  <c r="AD27" i="15"/>
  <c r="Y18" i="7" l="1"/>
  <c r="E17" i="7"/>
  <c r="AK26" i="15" l="1"/>
  <c r="AL26" i="15" s="1"/>
  <c r="E25" i="15" s="1"/>
  <c r="L17" i="7"/>
  <c r="AB17" i="7" s="1"/>
  <c r="AC17" i="7" s="1"/>
  <c r="J17" i="7"/>
  <c r="N17" i="7"/>
  <c r="Y17" i="7" l="1"/>
  <c r="E16" i="7"/>
  <c r="AK27" i="15"/>
  <c r="AL27" i="15" s="1"/>
  <c r="E26" i="15" s="1"/>
  <c r="N16" i="7" l="1"/>
  <c r="J16" i="7"/>
  <c r="L16" i="7"/>
  <c r="AB16" i="7" s="1"/>
  <c r="AC16" i="7" s="1"/>
  <c r="Y16" i="7" l="1"/>
  <c r="E15" i="7"/>
  <c r="N15" i="7" l="1"/>
  <c r="AK25" i="15"/>
  <c r="AL25" i="15" s="1"/>
  <c r="E24" i="15" s="1"/>
  <c r="AK23" i="15"/>
  <c r="AL23" i="15" s="1"/>
  <c r="E22" i="15" s="1"/>
  <c r="J15" i="7"/>
  <c r="L15" i="7"/>
  <c r="Y15" i="7" l="1"/>
  <c r="AZ13" i="7"/>
  <c r="AZ12" i="7"/>
  <c r="D5" i="4"/>
  <c r="AB15" i="7"/>
  <c r="AC15" i="7" s="1"/>
</calcChain>
</file>

<file path=xl/sharedStrings.xml><?xml version="1.0" encoding="utf-8"?>
<sst xmlns="http://schemas.openxmlformats.org/spreadsheetml/2006/main" count="1353" uniqueCount="891">
  <si>
    <t>Date</t>
  </si>
  <si>
    <t>Volume</t>
  </si>
  <si>
    <t>Stock Code</t>
  </si>
  <si>
    <t>BUY</t>
  </si>
  <si>
    <t>#</t>
  </si>
  <si>
    <t>Action</t>
  </si>
  <si>
    <t>Gross Amount</t>
  </si>
  <si>
    <t>SELL</t>
  </si>
  <si>
    <t xml:space="preserve">Stock Position Amount:  </t>
  </si>
  <si>
    <t>Total Bought</t>
  </si>
  <si>
    <t>Month</t>
  </si>
  <si>
    <t>Loss</t>
  </si>
  <si>
    <t>end</t>
  </si>
  <si>
    <t>Deposit</t>
  </si>
  <si>
    <t>Withdraw</t>
  </si>
  <si>
    <t>Net Amount</t>
  </si>
  <si>
    <t>Notes</t>
  </si>
  <si>
    <t>No.</t>
  </si>
  <si>
    <t>Trend Follow</t>
  </si>
  <si>
    <t>Win</t>
  </si>
  <si>
    <t>Additional 
Deposits</t>
  </si>
  <si>
    <t>Withdrawals</t>
  </si>
  <si>
    <t>Win Rate</t>
  </si>
  <si>
    <t>current</t>
  </si>
  <si>
    <t>previous</t>
  </si>
  <si>
    <t>Reason for Buying/Selling</t>
  </si>
  <si>
    <t>YTD</t>
  </si>
  <si>
    <t>PYTD</t>
  </si>
  <si>
    <t>Q4</t>
  </si>
  <si>
    <t>Q3</t>
  </si>
  <si>
    <t>Q2</t>
  </si>
  <si>
    <t>Q1</t>
  </si>
  <si>
    <t xml:space="preserve"> </t>
  </si>
  <si>
    <t xml:space="preserve"> Additional notes</t>
  </si>
  <si>
    <t>Professional Journaling Solution</t>
  </si>
  <si>
    <t>loss</t>
  </si>
  <si>
    <t>gain</t>
  </si>
  <si>
    <t>Period</t>
  </si>
  <si>
    <t>Capital:</t>
  </si>
  <si>
    <t>End Capital:</t>
  </si>
  <si>
    <t>Withdrawal</t>
  </si>
  <si>
    <t>Capital + Profit</t>
  </si>
  <si>
    <t>Profit Factor:</t>
  </si>
  <si>
    <t>Profit Rate</t>
  </si>
  <si>
    <t>Entry/Exit</t>
  </si>
  <si>
    <t>Emotion</t>
  </si>
  <si>
    <t>FEAR</t>
  </si>
  <si>
    <t>HOPE</t>
  </si>
  <si>
    <t>GREED</t>
  </si>
  <si>
    <t>BORED</t>
  </si>
  <si>
    <t>TOO EARLY</t>
  </si>
  <si>
    <t>NOT IN PLAN</t>
  </si>
  <si>
    <t>TOO LATE</t>
  </si>
  <si>
    <t>BROKE RULES</t>
  </si>
  <si>
    <t>IMPULSE</t>
  </si>
  <si>
    <t>FOMO</t>
  </si>
  <si>
    <t>AS PLANNED</t>
  </si>
  <si>
    <t>Largest Win %:</t>
  </si>
  <si>
    <t>Largest Loss %:</t>
  </si>
  <si>
    <t>Largest Profit:</t>
  </si>
  <si>
    <t>Largest Loss:</t>
  </si>
  <si>
    <t>TAX &amp; FEES</t>
  </si>
  <si>
    <t>Gain/loss</t>
  </si>
  <si>
    <t>Beg. Capital</t>
  </si>
  <si>
    <t>from</t>
  </si>
  <si>
    <t>to</t>
  </si>
  <si>
    <t>profit</t>
  </si>
  <si>
    <t>%change</t>
  </si>
  <si>
    <t>If sheets did'nt appear, macro is disabled. Follow steps below.</t>
  </si>
  <si>
    <t>SHORT</t>
  </si>
  <si>
    <t>total buy</t>
  </si>
  <si>
    <t>0% to 2%</t>
  </si>
  <si>
    <t>18% to 20%</t>
  </si>
  <si>
    <t>16% to 18%</t>
  </si>
  <si>
    <t>14% to 16%</t>
  </si>
  <si>
    <t>12% to 14%</t>
  </si>
  <si>
    <t>10% to 12%</t>
  </si>
  <si>
    <t>8% to 10%</t>
  </si>
  <si>
    <t>6% to 8%</t>
  </si>
  <si>
    <t>4% to 6%</t>
  </si>
  <si>
    <t>2% to 4%</t>
  </si>
  <si>
    <t>20% above</t>
  </si>
  <si>
    <t>0% to -2%</t>
  </si>
  <si>
    <t>-2% to -4%</t>
  </si>
  <si>
    <t>-4% to -6%</t>
  </si>
  <si>
    <t>-6% to -8%</t>
  </si>
  <si>
    <t>-8% to -10%</t>
  </si>
  <si>
    <t>-10% to -12%</t>
  </si>
  <si>
    <t>-12% to -14%</t>
  </si>
  <si>
    <t>-14% to -16%</t>
  </si>
  <si>
    <t>-16% to -18%</t>
  </si>
  <si>
    <t>-18% to -20%</t>
  </si>
  <si>
    <t>Kelly Criterion %:</t>
  </si>
  <si>
    <t>Position Size To Bet:</t>
  </si>
  <si>
    <t>win trade</t>
  </si>
  <si>
    <t>Win Rate%</t>
  </si>
  <si>
    <t>Win Trades</t>
  </si>
  <si>
    <t>Loss Trades</t>
  </si>
  <si>
    <t>Ave. Loss</t>
  </si>
  <si>
    <t>Loss Rate</t>
  </si>
  <si>
    <t>1st Quarter:</t>
  </si>
  <si>
    <t>2nd Quarter:</t>
  </si>
  <si>
    <t>3rd Quarter:</t>
  </si>
  <si>
    <t>4th Quarter:</t>
  </si>
  <si>
    <t>This Month:</t>
  </si>
  <si>
    <t>Year To Date:</t>
  </si>
  <si>
    <t>Previous YTD:</t>
  </si>
  <si>
    <t xml:space="preserve">    PERFORMANCE PER PERIOD</t>
  </si>
  <si>
    <t xml:space="preserve">     OVERALL PERFORMANCE</t>
  </si>
  <si>
    <t xml:space="preserve">     OVERALL TRADE STATISTICS</t>
  </si>
  <si>
    <t xml:space="preserve">     MONEY MANAGEMENT</t>
  </si>
  <si>
    <t>edge p&amp;l ratio</t>
  </si>
  <si>
    <t>Expectancy:</t>
  </si>
  <si>
    <t>CONFIDENT</t>
  </si>
  <si>
    <t>base</t>
  </si>
  <si>
    <t>row</t>
  </si>
  <si>
    <t>cum</t>
  </si>
  <si>
    <t>total row</t>
  </si>
  <si>
    <t xml:space="preserve">     TRADE EVALUATION</t>
  </si>
  <si>
    <t>Ave. Profit</t>
  </si>
  <si>
    <t xml:space="preserve">     LAST 20 TRADES</t>
  </si>
  <si>
    <t>LONG</t>
  </si>
  <si>
    <t>%P&amp;L</t>
  </si>
  <si>
    <t>Total Cum. Score:</t>
  </si>
  <si>
    <t>TRADE SETUP</t>
  </si>
  <si>
    <t>-20% below</t>
  </si>
  <si>
    <t>Net Total</t>
  </si>
  <si>
    <t>Total Profit/Loss:</t>
  </si>
  <si>
    <t>Total Fees</t>
  </si>
  <si>
    <t>LOSS</t>
  </si>
  <si>
    <t>winning streak</t>
  </si>
  <si>
    <t>losing streak</t>
  </si>
  <si>
    <t>drawdown</t>
  </si>
  <si>
    <t>loss streak</t>
  </si>
  <si>
    <t>win streak</t>
  </si>
  <si>
    <t>max</t>
  </si>
  <si>
    <t>min</t>
  </si>
  <si>
    <t>chart y max</t>
  </si>
  <si>
    <t>chart y min</t>
  </si>
  <si>
    <t xml:space="preserve">    TRADE EVALUATION CURVE</t>
  </si>
  <si>
    <t>score</t>
  </si>
  <si>
    <t>Review Monthly Report ►</t>
  </si>
  <si>
    <t>▼ BROKER ACCOUNT DEPOSITS/WITHDRAWALS</t>
  </si>
  <si>
    <t>TOTAL</t>
  </si>
  <si>
    <t>Ave. Win (R):</t>
  </si>
  <si>
    <t>Ave. Loss (R):</t>
  </si>
  <si>
    <t>b1sm1ll4h</t>
  </si>
  <si>
    <t>BSMLH-0107</t>
  </si>
  <si>
    <t>pre week</t>
  </si>
  <si>
    <t>this week</t>
  </si>
  <si>
    <t>to date</t>
  </si>
  <si>
    <t>TOTAL DEPOSITS</t>
  </si>
  <si>
    <t>TOTAL WITHDRAWALS</t>
  </si>
  <si>
    <t>Type</t>
  </si>
  <si>
    <t>allocation%</t>
  </si>
  <si>
    <t>datecode</t>
  </si>
  <si>
    <t>Swing Trade</t>
  </si>
  <si>
    <t>Momentum</t>
  </si>
  <si>
    <t>Bounce</t>
  </si>
  <si>
    <t>Bottom fishing</t>
  </si>
  <si>
    <t>HYPED</t>
  </si>
  <si>
    <t>Size</t>
  </si>
  <si>
    <t>Item</t>
  </si>
  <si>
    <t>Entry Price</t>
  </si>
  <si>
    <t>S / L</t>
  </si>
  <si>
    <t>T / P</t>
  </si>
  <si>
    <t>Open Time</t>
  </si>
  <si>
    <t>Close Time</t>
  </si>
  <si>
    <t>Exit Price</t>
  </si>
  <si>
    <t>Profit / Loss</t>
  </si>
  <si>
    <t>Pips</t>
  </si>
  <si>
    <t>units</t>
  </si>
  <si>
    <t>Account Currency</t>
  </si>
  <si>
    <t>USD</t>
  </si>
  <si>
    <t>EURUSD</t>
  </si>
  <si>
    <t>pip definition</t>
  </si>
  <si>
    <t>Lot Units</t>
  </si>
  <si>
    <t>Leverage</t>
  </si>
  <si>
    <t>P&amp;L %</t>
  </si>
  <si>
    <t>Entry Amount</t>
  </si>
  <si>
    <t>Exit Amount</t>
  </si>
  <si>
    <t>Consecutive Wins:</t>
  </si>
  <si>
    <t>Consecutive Losses:</t>
  </si>
  <si>
    <t>peak</t>
  </si>
  <si>
    <t>Winloss</t>
  </si>
  <si>
    <t>loss cost</t>
  </si>
  <si>
    <t>win cost</t>
  </si>
  <si>
    <t>Sorted sell</t>
  </si>
  <si>
    <t>unique date</t>
  </si>
  <si>
    <t>cons. Losses</t>
  </si>
  <si>
    <t>cons profit</t>
  </si>
  <si>
    <t>RRR</t>
  </si>
  <si>
    <t>Duration</t>
  </si>
  <si>
    <t>R-Mul.</t>
  </si>
  <si>
    <t>unique name list</t>
  </si>
  <si>
    <t>chart axis</t>
  </si>
  <si>
    <t>chart border</t>
  </si>
  <si>
    <t>max drawdown</t>
  </si>
  <si>
    <t>sorting name</t>
  </si>
  <si>
    <t>P&amp;L + Fees ($)</t>
  </si>
  <si>
    <t>EUR</t>
  </si>
  <si>
    <t>GBP</t>
  </si>
  <si>
    <t>CHF</t>
  </si>
  <si>
    <t>entry amount</t>
  </si>
  <si>
    <t>Total Losses</t>
  </si>
  <si>
    <t>periodic report</t>
  </si>
  <si>
    <t>Total Profit</t>
  </si>
  <si>
    <t>OVERALL STATISTICS</t>
  </si>
  <si>
    <t>LONG STATISTICS</t>
  </si>
  <si>
    <t>SHORT STATISTICS</t>
  </si>
  <si>
    <t>Expectancy</t>
  </si>
  <si>
    <t>W&amp;L Ratio:</t>
  </si>
  <si>
    <t>P&amp;L Ratio:</t>
  </si>
  <si>
    <t>Profit Factor</t>
  </si>
  <si>
    <t>Profit %</t>
  </si>
  <si>
    <t>Losses %</t>
  </si>
  <si>
    <t>Long Net P&amp;L</t>
  </si>
  <si>
    <t>Short Net P&amp;L</t>
  </si>
  <si>
    <t>trades</t>
  </si>
  <si>
    <t>win trades</t>
  </si>
  <si>
    <t>win rate</t>
  </si>
  <si>
    <t>stats</t>
  </si>
  <si>
    <t>NET PROFIT &amp; LOSS</t>
  </si>
  <si>
    <t>IN</t>
  </si>
  <si>
    <t>Deposit ref</t>
  </si>
  <si>
    <t>IN/OUT</t>
  </si>
  <si>
    <t>% P&amp;L</t>
  </si>
  <si>
    <t>Beginning Balance</t>
  </si>
  <si>
    <t>full</t>
  </si>
  <si>
    <t>Edge</t>
  </si>
  <si>
    <t>cum.w</t>
  </si>
  <si>
    <t>cum.l</t>
  </si>
  <si>
    <t>cum.win%</t>
  </si>
  <si>
    <t>%win sum</t>
  </si>
  <si>
    <t>%loss sum</t>
  </si>
  <si>
    <t>cumulative W%</t>
  </si>
  <si>
    <t>Cumulative L%</t>
  </si>
  <si>
    <t>Cum.ave.Win%</t>
  </si>
  <si>
    <t>Cum.ave.loss%</t>
  </si>
  <si>
    <t>Ave.Loss%</t>
  </si>
  <si>
    <t>Average Win% / Average Loss%</t>
  </si>
  <si>
    <t>Ave.Gain%</t>
  </si>
  <si>
    <t>cum.profit</t>
  </si>
  <si>
    <t>cu.loss</t>
  </si>
  <si>
    <t>ave.profit</t>
  </si>
  <si>
    <t>ave.loss</t>
  </si>
  <si>
    <t>TRADES</t>
  </si>
  <si>
    <t>WIN RATE</t>
  </si>
  <si>
    <t>AVE.WIN%</t>
  </si>
  <si>
    <t>AVE.LOSS%</t>
  </si>
  <si>
    <t>EDGE RATIO</t>
  </si>
  <si>
    <t>MONTH</t>
  </si>
  <si>
    <t>ITEM</t>
  </si>
  <si>
    <t>TRADES (WIN%)</t>
  </si>
  <si>
    <t>BEG. BALANCE</t>
  </si>
  <si>
    <t>END BALANCE</t>
  </si>
  <si>
    <t>FUND TRANSFER</t>
  </si>
  <si>
    <t>NET PROFIT/LOSS</t>
  </si>
  <si>
    <t>Setup</t>
  </si>
  <si>
    <t>vol positive</t>
  </si>
  <si>
    <t>vol.neg</t>
  </si>
  <si>
    <t>win%</t>
  </si>
  <si>
    <t>increase %</t>
  </si>
  <si>
    <t>decrease%</t>
  </si>
  <si>
    <t>Long</t>
  </si>
  <si>
    <t>Short</t>
  </si>
  <si>
    <t>Label</t>
  </si>
  <si>
    <t>item</t>
  </si>
  <si>
    <t>negative chart</t>
  </si>
  <si>
    <t>positive</t>
  </si>
  <si>
    <t>range from</t>
  </si>
  <si>
    <t>Distribution of gains and losses chart</t>
  </si>
  <si>
    <t>NO.</t>
  </si>
  <si>
    <t>OPEN TIME</t>
  </si>
  <si>
    <t>TYPE</t>
  </si>
  <si>
    <t>SIZE</t>
  </si>
  <si>
    <t>ENTRY PRICE</t>
  </si>
  <si>
    <t>CLOSE TIME</t>
  </si>
  <si>
    <t>EXIT PRICE</t>
  </si>
  <si>
    <t>TOTAL FEES</t>
  </si>
  <si>
    <t>PROFIT / LOSS</t>
  </si>
  <si>
    <t>PIPS</t>
  </si>
  <si>
    <t>ENTRY AMOUNT</t>
  </si>
  <si>
    <t>EXIT AMOUNT</t>
  </si>
  <si>
    <t>DURATION</t>
  </si>
  <si>
    <t>R-MUL.</t>
  </si>
  <si>
    <t>ENTRY/EXIT</t>
  </si>
  <si>
    <t>EMOTION</t>
  </si>
  <si>
    <t>Helper unique</t>
  </si>
  <si>
    <t>original unique date</t>
  </si>
  <si>
    <t>month</t>
  </si>
  <si>
    <t>year</t>
  </si>
  <si>
    <t>helper match</t>
  </si>
  <si>
    <t>deposits</t>
  </si>
  <si>
    <t>profit &amp; transfers</t>
  </si>
  <si>
    <t>tally</t>
  </si>
  <si>
    <t>streak cost</t>
  </si>
  <si>
    <t>Max streak</t>
  </si>
  <si>
    <t>max drawdown%</t>
  </si>
  <si>
    <t>historical win rate%</t>
  </si>
  <si>
    <t>equity chart</t>
  </si>
  <si>
    <t>evaluated total trades</t>
  </si>
  <si>
    <t>Equity</t>
  </si>
  <si>
    <t>Performance</t>
  </si>
  <si>
    <t>last log code=</t>
  </si>
  <si>
    <t>Max Consecutive Loss:</t>
  </si>
  <si>
    <t>Max Consecutive Profit:</t>
  </si>
  <si>
    <t>CONTRACT SIZE</t>
  </si>
  <si>
    <t>pip decimals</t>
  </si>
  <si>
    <t>GROSS PROFIT</t>
  </si>
  <si>
    <t>GROSS LOSS</t>
  </si>
  <si>
    <t>FEES</t>
  </si>
  <si>
    <t>netprofit</t>
  </si>
  <si>
    <t>NET PROFIT</t>
  </si>
  <si>
    <t>Trades</t>
  </si>
  <si>
    <t>ave.win</t>
  </si>
  <si>
    <t>breakeven</t>
  </si>
  <si>
    <t>vol axis</t>
  </si>
  <si>
    <t>equity axis</t>
  </si>
  <si>
    <t>net profit</t>
  </si>
  <si>
    <t>net loss</t>
  </si>
  <si>
    <t>SCORE</t>
  </si>
  <si>
    <t>w/l</t>
  </si>
  <si>
    <t>TOTAL TRADES</t>
  </si>
  <si>
    <t>TOTAL WINS</t>
  </si>
  <si>
    <t>Total buy</t>
  </si>
  <si>
    <t>total stats</t>
  </si>
  <si>
    <t>total win rate</t>
  </si>
  <si>
    <t>AVEW</t>
  </si>
  <si>
    <t>AVEL</t>
  </si>
  <si>
    <t>EXP</t>
  </si>
  <si>
    <t>pofit ratio</t>
  </si>
  <si>
    <t>EXPECTANCY</t>
  </si>
  <si>
    <t xml:space="preserve">    TRADE EVALUATION SETTINGS</t>
  </si>
  <si>
    <t xml:space="preserve">   Format : .jpg / .gif / .png</t>
  </si>
  <si>
    <t xml:space="preserve">   TRADE SETUP SETTINGS</t>
  </si>
  <si>
    <t>NO SETUP</t>
  </si>
  <si>
    <t>SETUP</t>
  </si>
  <si>
    <t xml:space="preserve">     SETUP DEFINITION AND RULES</t>
  </si>
  <si>
    <t>Total Net P&amp;L</t>
  </si>
  <si>
    <t>Max Drawdown:</t>
  </si>
  <si>
    <t xml:space="preserve">  This Week:</t>
  </si>
  <si>
    <t xml:space="preserve">  Prev. Week:</t>
  </si>
  <si>
    <t xml:space="preserve">     TOP/BOTTOM CUMULATIVE TRADES</t>
  </si>
  <si>
    <t xml:space="preserve">     TRADE LOG</t>
  </si>
  <si>
    <t>WITHDRAWALS</t>
  </si>
  <si>
    <t>CAPITAL</t>
  </si>
  <si>
    <t>sum</t>
  </si>
  <si>
    <t>More Details</t>
  </si>
  <si>
    <t>NET R-MUL</t>
  </si>
  <si>
    <t xml:space="preserve">    REASON FOR BUYING/SELLING</t>
  </si>
  <si>
    <t xml:space="preserve">      ADDITIONAL NOTES</t>
  </si>
  <si>
    <t xml:space="preserve">Forex Trading Journal </t>
  </si>
  <si>
    <t>O V E R A L L    S U M M A R Y</t>
  </si>
  <si>
    <t>P E R F O R M A N C E</t>
  </si>
  <si>
    <t>margin%</t>
  </si>
  <si>
    <t>Profit:Loss (Edge) Ratio:</t>
  </si>
  <si>
    <t>Contact Us at:</t>
  </si>
  <si>
    <t>info@rocketsheets.com</t>
  </si>
  <si>
    <t>aaespreadsheets@gmail.com</t>
  </si>
  <si>
    <t>Website:</t>
  </si>
  <si>
    <t>rocketsheets.com</t>
  </si>
  <si>
    <t xml:space="preserve">    RISK SETTINGS</t>
  </si>
  <si>
    <t>Your definition and rules here</t>
  </si>
  <si>
    <t>JAN</t>
  </si>
  <si>
    <t>FEB</t>
  </si>
  <si>
    <t>MAR</t>
  </si>
  <si>
    <t>APR</t>
  </si>
  <si>
    <t>MAY</t>
  </si>
  <si>
    <t>JUN</t>
  </si>
  <si>
    <t>JUL</t>
  </si>
  <si>
    <t>AUG</t>
  </si>
  <si>
    <t>SEP</t>
  </si>
  <si>
    <t>OCT</t>
  </si>
  <si>
    <t>NOV</t>
  </si>
  <si>
    <t>USDJPY</t>
  </si>
  <si>
    <t>GBPUSD</t>
  </si>
  <si>
    <t>USDCHF</t>
  </si>
  <si>
    <t>STOCK UNITS</t>
  </si>
  <si>
    <t>yield</t>
  </si>
  <si>
    <t>short profit</t>
  </si>
  <si>
    <t>long profit</t>
  </si>
  <si>
    <t>mach</t>
  </si>
  <si>
    <t>total</t>
  </si>
  <si>
    <t>short</t>
  </si>
  <si>
    <t>LONG TRADES</t>
  </si>
  <si>
    <t>SHORT TRADES</t>
  </si>
  <si>
    <t>EDGE</t>
  </si>
  <si>
    <t>TO b.e</t>
  </si>
  <si>
    <t>edge</t>
  </si>
  <si>
    <t>monthly</t>
  </si>
  <si>
    <t xml:space="preserve">    Plan RRR Ratio :</t>
  </si>
  <si>
    <t xml:space="preserve">   Insert 100x100 pixels,</t>
  </si>
  <si>
    <t xml:space="preserve">   max 20kb</t>
  </si>
  <si>
    <t>bar chart</t>
  </si>
  <si>
    <t>profitxwin</t>
  </si>
  <si>
    <t>lossxloss%</t>
  </si>
  <si>
    <t>p&amp;l</t>
  </si>
  <si>
    <t>duration</t>
  </si>
  <si>
    <t>col chart</t>
  </si>
  <si>
    <t xml:space="preserve">    PROFILE SETTINGS</t>
  </si>
  <si>
    <t>edge breakven</t>
  </si>
  <si>
    <t>RRR breakeven</t>
  </si>
  <si>
    <t>Win rate%</t>
  </si>
  <si>
    <t>Adj. RRR</t>
  </si>
  <si>
    <t>Edge Ratio</t>
  </si>
  <si>
    <t>Ratio</t>
  </si>
  <si>
    <t>PF</t>
  </si>
  <si>
    <r>
      <rPr>
        <b/>
        <sz val="8"/>
        <color theme="0" tint="-0.34998626667073579"/>
        <rFont val="Century Gothic"/>
        <family val="2"/>
      </rPr>
      <t xml:space="preserve">  </t>
    </r>
    <r>
      <rPr>
        <b/>
        <sz val="10"/>
        <color theme="0" tint="-0.34998626667073579"/>
        <rFont val="Century Gothic"/>
        <family val="2"/>
      </rPr>
      <t>TRADE STATISTICS</t>
    </r>
  </si>
  <si>
    <r>
      <rPr>
        <b/>
        <sz val="8"/>
        <color theme="0" tint="-0.34998626667073579"/>
        <rFont val="Century Gothic"/>
        <family val="2"/>
      </rPr>
      <t xml:space="preserve">  </t>
    </r>
    <r>
      <rPr>
        <b/>
        <sz val="10"/>
        <color theme="0" tint="-0.34998626667073579"/>
        <rFont val="Century Gothic"/>
        <family val="2"/>
      </rPr>
      <t>MONTHLY REPORT</t>
    </r>
  </si>
  <si>
    <r>
      <rPr>
        <b/>
        <sz val="8"/>
        <color theme="0" tint="-0.34998626667073579"/>
        <rFont val="Century Gothic"/>
        <family val="2"/>
      </rPr>
      <t xml:space="preserve">  </t>
    </r>
    <r>
      <rPr>
        <b/>
        <sz val="10"/>
        <color theme="0" tint="-0.34998626667073579"/>
        <rFont val="Century Gothic"/>
        <family val="2"/>
      </rPr>
      <t>SETTINGS</t>
    </r>
  </si>
  <si>
    <t>REMARKS</t>
  </si>
  <si>
    <t>Average Duration</t>
  </si>
  <si>
    <t>Average Allocation</t>
  </si>
  <si>
    <t>ALL TRADES</t>
  </si>
  <si>
    <t xml:space="preserve">     DRAWDOWN &amp; WIN STREAK</t>
  </si>
  <si>
    <t xml:space="preserve">     DURATION</t>
  </si>
  <si>
    <t>WIN</t>
  </si>
  <si>
    <t>Reward-to-Risk Ratio:</t>
  </si>
  <si>
    <t>day</t>
  </si>
  <si>
    <t>win</t>
  </si>
  <si>
    <t>R.Mul Ratio:</t>
  </si>
  <si>
    <t xml:space="preserve">    Equity%  to Risk (1R):</t>
  </si>
  <si>
    <t>POSSIBLE CAUSE</t>
  </si>
  <si>
    <t>RISK-MULTIPLE EVALUATION</t>
  </si>
  <si>
    <t>Over allocate, Greed</t>
  </si>
  <si>
    <t>Position sized, as planned</t>
  </si>
  <si>
    <t>Under allocate , fear</t>
  </si>
  <si>
    <t>No plan, Bored</t>
  </si>
  <si>
    <t>Over allocate, Hope</t>
  </si>
  <si>
    <t xml:space="preserve">     RISK-MULTIPLE</t>
  </si>
  <si>
    <t>Win trades within 2R :</t>
  </si>
  <si>
    <t>Win trades &lt; 2R target:</t>
  </si>
  <si>
    <t>Win trades &gt; 2R target:</t>
  </si>
  <si>
    <t>Fair trades within 0R:</t>
  </si>
  <si>
    <t>Loss trades within 1R:</t>
  </si>
  <si>
    <t>Loss trades &gt; -1R risk:</t>
  </si>
  <si>
    <t>Loss trades &lt; -1R risk:</t>
  </si>
  <si>
    <t>0R</t>
  </si>
  <si>
    <t>0R to -1R</t>
  </si>
  <si>
    <t>-1R</t>
  </si>
  <si>
    <t>&lt; -1R</t>
  </si>
  <si>
    <t>of win trades may due to early exit, under allocate or fear</t>
  </si>
  <si>
    <t>of loss trades may due to late exit, over allocate or hope</t>
  </si>
  <si>
    <t>of win trades is as planned or properly position sized</t>
  </si>
  <si>
    <t>of win trades may due to over allocate or greed</t>
  </si>
  <si>
    <t>of loss trades may due to early exit, under allocate or fear</t>
  </si>
  <si>
    <t>of loss trades is as planned or properly position sized</t>
  </si>
  <si>
    <t>Mon</t>
  </si>
  <si>
    <t>Tue</t>
  </si>
  <si>
    <t>Wed</t>
  </si>
  <si>
    <t>Thu</t>
  </si>
  <si>
    <t>Fri</t>
  </si>
  <si>
    <t>Expectancy per trade:</t>
  </si>
  <si>
    <t>Win rate%:</t>
  </si>
  <si>
    <t xml:space="preserve">     RISK-MULTIPLE EVALUATION</t>
  </si>
  <si>
    <t xml:space="preserve">   1R Allowable Range%</t>
  </si>
  <si>
    <t>PROFIT RATIO</t>
  </si>
  <si>
    <t>Adj. PROFIT RATIO</t>
  </si>
  <si>
    <t>RRR w%</t>
  </si>
  <si>
    <t>REWARD-RISK RATIO</t>
  </si>
  <si>
    <t>PROFIT-LOSS RATIO</t>
  </si>
  <si>
    <t xml:space="preserve">    Current VAR:</t>
  </si>
  <si>
    <t xml:space="preserve">    CHART SETTINGS</t>
  </si>
  <si>
    <t xml:space="preserve">    WIN RATE%  VS  RATIO</t>
  </si>
  <si>
    <t xml:space="preserve">   Ratio Settings:</t>
  </si>
  <si>
    <t>match</t>
  </si>
  <si>
    <t>setup</t>
  </si>
  <si>
    <t>exp</t>
  </si>
  <si>
    <t>winrate</t>
  </si>
  <si>
    <t>long</t>
  </si>
  <si>
    <t>P-FACTOR</t>
  </si>
  <si>
    <t>NET LOSS</t>
  </si>
  <si>
    <t>WIN RATE%</t>
  </si>
  <si>
    <t>AUDUSD</t>
  </si>
  <si>
    <t>USDCAD</t>
  </si>
  <si>
    <t>GBPJPY</t>
  </si>
  <si>
    <t xml:space="preserve">   BREAKEVEN CALCULATOR</t>
  </si>
  <si>
    <t xml:space="preserve">   FORMULA</t>
  </si>
  <si>
    <t xml:space="preserve">   Reward-Risk ratio = Ave.Win% / Ave.Loss%</t>
  </si>
  <si>
    <t xml:space="preserve">   Profit-Loss ratio = Ave.Profit / Ave.Loss</t>
  </si>
  <si>
    <t xml:space="preserve">             TOP 6 TRADE SETUP</t>
  </si>
  <si>
    <t>Win rate% is how many trades you win out of all your trades.</t>
  </si>
  <si>
    <t>REWARD-TO-RISK RATIO</t>
  </si>
  <si>
    <t>The ratio helps assess the expected return and risk of a given trade.</t>
  </si>
  <si>
    <t>Refers to the value of the average profit compared to the value of the average loss per trade.</t>
  </si>
  <si>
    <t>Formula: (Winrate% x Ave.Profit) / (Lossrate% x Ave.Loss)</t>
  </si>
  <si>
    <t>Formula: (Winrate% x Ave.Profit) - (Lossrate% x Ave.Loss)</t>
  </si>
  <si>
    <t xml:space="preserve">PROFIT-LOSS RATIO </t>
  </si>
  <si>
    <t xml:space="preserve">PROFIT FACTOR </t>
  </si>
  <si>
    <t>(RRR)</t>
  </si>
  <si>
    <t>(hit rate%, probability of win)</t>
  </si>
  <si>
    <t>Ex. 5 wins out of 10 trades = 5/10 = 50% win rate%</t>
  </si>
  <si>
    <t>The reward-risk ratio used in this program is define as the average gain% over average loss%.</t>
  </si>
  <si>
    <t>Ex. 10% average gain / 5% average loss = 10%/5% = 2 : 1 RRR</t>
  </si>
  <si>
    <t>Ex. Win rate% of 40% with $1000 average profit and $500 average loss</t>
  </si>
  <si>
    <t>Profit Factor = (40% x $1000) / (60% x $500) = 1.33 Profit Factor</t>
  </si>
  <si>
    <t>(Adjusted Profit-loss ratio, factor)</t>
  </si>
  <si>
    <t>(edge ratio, payoff ratio, edge)</t>
  </si>
  <si>
    <t>MAXIMUM DRAWDOWN</t>
  </si>
  <si>
    <t>(MMD)</t>
  </si>
  <si>
    <t>(Expectancy per trade)</t>
  </si>
  <si>
    <t>Is defined as how much money, on average, we can expect to make for every trade.</t>
  </si>
  <si>
    <t>Is the maximum observed loss from a peak to a trough of a portfolio, before a new peak is attained.</t>
  </si>
  <si>
    <t>R-MULTIPLE</t>
  </si>
  <si>
    <t>(Risk-multiple, 1R)</t>
  </si>
  <si>
    <t>The R stands for Initial Risk. The initial risk is how much are you willing to lose on a single trade.</t>
  </si>
  <si>
    <t>All profits and losses can be expressed as a multiple of the initial risk R.</t>
  </si>
  <si>
    <t>You want your losses to be 1R or less and your profits to be as big as possible.</t>
  </si>
  <si>
    <t>VAR</t>
  </si>
  <si>
    <t>VAR is the equivalent amount of your 1R</t>
  </si>
  <si>
    <t>KELLY CRITERION%</t>
  </si>
  <si>
    <t>Is a money-management formula that calculates the optimal percentage of capital to be put into a single trade.</t>
  </si>
  <si>
    <t>Formula : Kelly Criterion% = (Win rate% –  Loss rate%) / Profit loss ratio</t>
  </si>
  <si>
    <t>Ex. Equity is $100,000 , Winrate% is 60%, Loss rate% is 40% and profit loss ratio is 1.4</t>
  </si>
  <si>
    <t>Kelly Criterion% = (60% – 40%) / 1.4 = 14.3% of Equity or $14,300 position for each trade.</t>
  </si>
  <si>
    <t>(Value -at-Risk, 1R)</t>
  </si>
  <si>
    <t>Is an adjusted profit-loss ratio that considers the factor of win%.</t>
  </si>
  <si>
    <t>Ex. $1,000 average profit / $500 average loss = $1,000/$500 = 2 : 1 RRR</t>
  </si>
  <si>
    <t>Expectancy = (40% x $1000) - (60% x $500) = $100</t>
  </si>
  <si>
    <t>Ex. If you set 1R to 1% , a loss of 2R means you lossed 2% of your equity.</t>
  </si>
  <si>
    <t>Ex. If you set 1R to 2% , a loss of 2R means you lossed 4% of your equity.</t>
  </si>
  <si>
    <t>You want your losses to be within VAR or less for each trade.</t>
  </si>
  <si>
    <t>Ex. Equity is $100,000, you set 1R to 0.05% , your VAR for each trade is $500. A gain of 4R means you gained $2,000 ($500 x 4).</t>
  </si>
  <si>
    <t>Ex. Equity is $100,000, you set 1R to 1% , your VAR for each trade is $1,000. A loss of 2R means you lossed $2,000 ($1,000 x 2).</t>
  </si>
  <si>
    <t>1R Allowable Range%</t>
  </si>
  <si>
    <t>Ex. 1R with 10% allowable range. =  0.9R to 1.1R will be count as 1R.</t>
  </si>
  <si>
    <t>A range settings used in "Risk evaluation chart" to calculate -+10% from 1R.</t>
  </si>
  <si>
    <t>gold</t>
  </si>
  <si>
    <t>LEVERAGE</t>
  </si>
  <si>
    <t>MARKET</t>
  </si>
  <si>
    <t xml:space="preserve">   TERMS AND DEFINITIONS</t>
  </si>
  <si>
    <t xml:space="preserve">   Manually encode it for each trade on the trade log sheet.</t>
  </si>
  <si>
    <t xml:space="preserve">  Gold</t>
  </si>
  <si>
    <t xml:space="preserve">  Stocks/Indices/Crypto:</t>
  </si>
  <si>
    <t xml:space="preserve">  Forex/Program default Lot Units:</t>
  </si>
  <si>
    <t>AUD/CHF</t>
  </si>
  <si>
    <t>AUD/JPY</t>
  </si>
  <si>
    <t>AUD/NZD</t>
  </si>
  <si>
    <t>AUD/USD</t>
  </si>
  <si>
    <t>BGN/RON</t>
  </si>
  <si>
    <t>CAD/CHF</t>
  </si>
  <si>
    <t>CAD/JPY</t>
  </si>
  <si>
    <t>CHF/BGN</t>
  </si>
  <si>
    <t>CHF/JPY</t>
  </si>
  <si>
    <t>CHF/RON</t>
  </si>
  <si>
    <t>CHF/TRY</t>
  </si>
  <si>
    <t>EUR/AUD</t>
  </si>
  <si>
    <t>EUR/CAD</t>
  </si>
  <si>
    <t>EUR/CHF</t>
  </si>
  <si>
    <t>EUR/CZK</t>
  </si>
  <si>
    <t>EUR/DKK</t>
  </si>
  <si>
    <t>EUR/GBP</t>
  </si>
  <si>
    <t>EUR/HKD</t>
  </si>
  <si>
    <t>EUR/HUF</t>
  </si>
  <si>
    <t>EUR/ILS</t>
  </si>
  <si>
    <t>EUR/JPY</t>
  </si>
  <si>
    <t>EUR/MXN</t>
  </si>
  <si>
    <t>EUR/NOK</t>
  </si>
  <si>
    <t>EUR/NZD</t>
  </si>
  <si>
    <t>EUR/PLN</t>
  </si>
  <si>
    <t>EUR/RON</t>
  </si>
  <si>
    <t>EUR/RUB</t>
  </si>
  <si>
    <t>EUR/SEK</t>
  </si>
  <si>
    <t>EUR/SGD</t>
  </si>
  <si>
    <t>EUR/TRY</t>
  </si>
  <si>
    <t>EUR/USD</t>
  </si>
  <si>
    <t>EUR/ZAR</t>
  </si>
  <si>
    <t>GBP/AUD</t>
  </si>
  <si>
    <t>GBP/BGN</t>
  </si>
  <si>
    <t>GBP/CAD</t>
  </si>
  <si>
    <t>GBP/CHF</t>
  </si>
  <si>
    <t>GBP/CZK</t>
  </si>
  <si>
    <t>GBP/DKK</t>
  </si>
  <si>
    <t>GBP/HKD</t>
  </si>
  <si>
    <t>GBP/HUF</t>
  </si>
  <si>
    <t>GBP/JPY</t>
  </si>
  <si>
    <t>GBP/NOK</t>
  </si>
  <si>
    <t>GBP/NZD</t>
  </si>
  <si>
    <t>GBP/PLN</t>
  </si>
  <si>
    <t>GBP/RON</t>
  </si>
  <si>
    <t>GBP/SEK</t>
  </si>
  <si>
    <t>GBP/SGD</t>
  </si>
  <si>
    <t>GBP/TRY</t>
  </si>
  <si>
    <t>GBP/USD</t>
  </si>
  <si>
    <t>GBP/ZAR</t>
  </si>
  <si>
    <t>HKD/JPY</t>
  </si>
  <si>
    <t>NZD/CAD</t>
  </si>
  <si>
    <t>NZD/CHF</t>
  </si>
  <si>
    <t>NZD/JPY</t>
  </si>
  <si>
    <t>NZD/USD</t>
  </si>
  <si>
    <t>SGD/HKD</t>
  </si>
  <si>
    <t>SGD/JPY</t>
  </si>
  <si>
    <t>TRY/BGN</t>
  </si>
  <si>
    <t>TRY/JPY</t>
  </si>
  <si>
    <t>TRY/RON</t>
  </si>
  <si>
    <t>USD/BGN</t>
  </si>
  <si>
    <t>USD/CAD</t>
  </si>
  <si>
    <t>USD/CHF</t>
  </si>
  <si>
    <t>USD/CZK</t>
  </si>
  <si>
    <t>USD/DKK</t>
  </si>
  <si>
    <t>USD/HKD</t>
  </si>
  <si>
    <t>USD/HUF</t>
  </si>
  <si>
    <t>USD/ILS</t>
  </si>
  <si>
    <t>USD/JPY</t>
  </si>
  <si>
    <t>USD/MXN</t>
  </si>
  <si>
    <t>USD/NOK</t>
  </si>
  <si>
    <t>USD/PLN</t>
  </si>
  <si>
    <t>USD/RON</t>
  </si>
  <si>
    <t>USD/RUB</t>
  </si>
  <si>
    <t>USD/SEK</t>
  </si>
  <si>
    <t>USD/SGD</t>
  </si>
  <si>
    <t>USD/TRY</t>
  </si>
  <si>
    <t>USD/ZAR</t>
  </si>
  <si>
    <t>AUDCHF</t>
  </si>
  <si>
    <t>AUDJPY</t>
  </si>
  <si>
    <t>AUDNZD</t>
  </si>
  <si>
    <t>BGNRON</t>
  </si>
  <si>
    <t>CADCHF</t>
  </si>
  <si>
    <t>CADJPY</t>
  </si>
  <si>
    <t>CHFBGN</t>
  </si>
  <si>
    <t>CHFJPY</t>
  </si>
  <si>
    <t>CHFRON</t>
  </si>
  <si>
    <t>CHFTRY</t>
  </si>
  <si>
    <t>EURAUD</t>
  </si>
  <si>
    <t>EURCAD</t>
  </si>
  <si>
    <t>EURCHF</t>
  </si>
  <si>
    <t>EURCZK</t>
  </si>
  <si>
    <t>EURDKK</t>
  </si>
  <si>
    <t>EURGBP</t>
  </si>
  <si>
    <t>EURHKD</t>
  </si>
  <si>
    <t>EURHUF</t>
  </si>
  <si>
    <t>EURILS</t>
  </si>
  <si>
    <t>EURJPY</t>
  </si>
  <si>
    <t>EURMXN</t>
  </si>
  <si>
    <t>EURNOK</t>
  </si>
  <si>
    <t>EURNZD</t>
  </si>
  <si>
    <t>EURPLN</t>
  </si>
  <si>
    <t>EURRON</t>
  </si>
  <si>
    <t>EURRUB</t>
  </si>
  <si>
    <t>EURSEK</t>
  </si>
  <si>
    <t>EURSGD</t>
  </si>
  <si>
    <t>EURTRY</t>
  </si>
  <si>
    <t>EURZAR</t>
  </si>
  <si>
    <t>GBPAUD</t>
  </si>
  <si>
    <t>GBPBGN</t>
  </si>
  <si>
    <t>GBPCAD</t>
  </si>
  <si>
    <t>GBPCHF</t>
  </si>
  <si>
    <t>GBPCZK</t>
  </si>
  <si>
    <t>GBPDKK</t>
  </si>
  <si>
    <t>GBPHKD</t>
  </si>
  <si>
    <t>GBPHUF</t>
  </si>
  <si>
    <t>GBPNOK</t>
  </si>
  <si>
    <t>GBPNZD</t>
  </si>
  <si>
    <t>GBPPLN</t>
  </si>
  <si>
    <t>GBPRON</t>
  </si>
  <si>
    <t>GBPSEK</t>
  </si>
  <si>
    <t>GBPSGD</t>
  </si>
  <si>
    <t>GBPTRY</t>
  </si>
  <si>
    <t>GBPZAR</t>
  </si>
  <si>
    <t>HKDJPY</t>
  </si>
  <si>
    <t>NZDCAD</t>
  </si>
  <si>
    <t>NZDCHF</t>
  </si>
  <si>
    <t>NZDJPY</t>
  </si>
  <si>
    <t>NZDUSD</t>
  </si>
  <si>
    <t>SGDHKD</t>
  </si>
  <si>
    <t>SGDJPY</t>
  </si>
  <si>
    <t>TRYBGN</t>
  </si>
  <si>
    <t>TRYJPY</t>
  </si>
  <si>
    <t>TRYRON</t>
  </si>
  <si>
    <t>USDBGN</t>
  </si>
  <si>
    <t>USDCZK</t>
  </si>
  <si>
    <t>USDDKK</t>
  </si>
  <si>
    <t>USDHKD</t>
  </si>
  <si>
    <t>USDHUF</t>
  </si>
  <si>
    <t>USDILS</t>
  </si>
  <si>
    <t>USDMXN</t>
  </si>
  <si>
    <t>USDNOK</t>
  </si>
  <si>
    <t>USDPLN</t>
  </si>
  <si>
    <t>USDRON</t>
  </si>
  <si>
    <t>USDRUB</t>
  </si>
  <si>
    <t>USDSEK</t>
  </si>
  <si>
    <t>USDSGD</t>
  </si>
  <si>
    <t>USDTRY</t>
  </si>
  <si>
    <t>USDZAR</t>
  </si>
  <si>
    <t xml:space="preserve">    MARKET DEFAULT SETTINGS</t>
  </si>
  <si>
    <t>stock</t>
  </si>
  <si>
    <t>def</t>
  </si>
  <si>
    <t xml:space="preserve">   will automatically used the default settings above.</t>
  </si>
  <si>
    <t>R</t>
  </si>
  <si>
    <t>.</t>
  </si>
  <si>
    <t>Rocketsheets</t>
  </si>
  <si>
    <t>MDY</t>
  </si>
  <si>
    <t>DMY</t>
  </si>
  <si>
    <t>YMD</t>
  </si>
  <si>
    <t>CAD</t>
  </si>
  <si>
    <t>Close Trade Stats</t>
  </si>
  <si>
    <t>drawdown stats</t>
  </si>
  <si>
    <t>Line chart</t>
  </si>
  <si>
    <t>PIP SIZE</t>
  </si>
  <si>
    <t>Setup stats</t>
  </si>
  <si>
    <t xml:space="preserve"> LOG SETTINGS</t>
  </si>
  <si>
    <t>Retain Formula</t>
  </si>
  <si>
    <t>x axis</t>
  </si>
  <si>
    <t>Paste the Activation Code below to proceed:</t>
  </si>
  <si>
    <t>DEC</t>
  </si>
  <si>
    <t xml:space="preserve">           TRADING JOURNAL</t>
  </si>
  <si>
    <t>Ave. Win %</t>
  </si>
  <si>
    <t>Ave.Profit/Loss</t>
  </si>
  <si>
    <t>Positive</t>
  </si>
  <si>
    <t>Negative</t>
  </si>
  <si>
    <t>selection</t>
  </si>
  <si>
    <t>Ave. Win% per trade:</t>
  </si>
  <si>
    <t>Ave. Loss% per trade:</t>
  </si>
  <si>
    <t>Ave. Profit per trade:</t>
  </si>
  <si>
    <t>Ave. Loss per trade:</t>
  </si>
  <si>
    <t xml:space="preserve">         ACCOUNT SETTINGS</t>
  </si>
  <si>
    <t xml:space="preserve">         Account Currency:</t>
  </si>
  <si>
    <t xml:space="preserve">         Account Leverage:</t>
  </si>
  <si>
    <t xml:space="preserve">         Account Margin:</t>
  </si>
  <si>
    <t>PERFORMANCE CURVE</t>
  </si>
  <si>
    <t xml:space="preserve">  WEEKLY PERFORMANCE CURVE</t>
  </si>
  <si>
    <t xml:space="preserve">   STATISTICS</t>
  </si>
  <si>
    <t xml:space="preserve">   DISTRIBUTION OF GAINS AND LOSSES</t>
  </si>
  <si>
    <t>Sat</t>
  </si>
  <si>
    <t>Sun</t>
  </si>
  <si>
    <t>Win%</t>
  </si>
  <si>
    <t xml:space="preserve">   THIS MONTH</t>
  </si>
  <si>
    <t xml:space="preserve">   THIS MONTH %</t>
  </si>
  <si>
    <t xml:space="preserve">   CUMULATIVE</t>
  </si>
  <si>
    <t xml:space="preserve">   CUMULATIVE %</t>
  </si>
  <si>
    <t xml:space="preserve">     Setup</t>
  </si>
  <si>
    <t xml:space="preserve">     Execution</t>
  </si>
  <si>
    <t xml:space="preserve">     Emotion</t>
  </si>
  <si>
    <t xml:space="preserve">     Month</t>
  </si>
  <si>
    <t xml:space="preserve">     Year</t>
  </si>
  <si>
    <t xml:space="preserve">     Symbol</t>
  </si>
  <si>
    <t xml:space="preserve">     Type</t>
  </si>
  <si>
    <t xml:space="preserve">           Trade</t>
  </si>
  <si>
    <t xml:space="preserve">                       Trading Journal</t>
  </si>
  <si>
    <t>V.1.0</t>
  </si>
  <si>
    <t xml:space="preserve">     STATISTICS</t>
  </si>
  <si>
    <t>P/FACTOR</t>
  </si>
  <si>
    <t>P/RATIO</t>
  </si>
  <si>
    <t xml:space="preserve"> * For other market with different pip size and leverage</t>
  </si>
  <si>
    <t xml:space="preserve"> * Leaving the cell range empty for leverage &amp; pip size column </t>
  </si>
  <si>
    <t>kelly</t>
  </si>
  <si>
    <t>last 20 trades</t>
  </si>
  <si>
    <t>pie chart</t>
  </si>
  <si>
    <t>setup validation</t>
  </si>
  <si>
    <t>emotion</t>
  </si>
  <si>
    <t>last log</t>
  </si>
  <si>
    <t>add row</t>
  </si>
  <si>
    <t>next to last</t>
  </si>
  <si>
    <t>filter</t>
  </si>
  <si>
    <t>EXECUTION</t>
  </si>
  <si>
    <t>SYMBOL</t>
  </si>
  <si>
    <t>usdchf</t>
  </si>
  <si>
    <t>b1sm1ll4hftj</t>
  </si>
  <si>
    <t>unique symbol</t>
  </si>
  <si>
    <t>pnl</t>
  </si>
  <si>
    <t>Unique Symbol</t>
  </si>
  <si>
    <t>Profir</t>
  </si>
  <si>
    <t>Net PNL</t>
  </si>
  <si>
    <t>pnl%</t>
  </si>
  <si>
    <t>profit factor</t>
  </si>
  <si>
    <t>ave.Loss</t>
  </si>
  <si>
    <t>expectancy</t>
  </si>
  <si>
    <t>profit ratio</t>
  </si>
  <si>
    <t>XAUUSD</t>
  </si>
  <si>
    <t>Wins &amp; Losses</t>
  </si>
  <si>
    <t>Ave.Profit &amp; Loss</t>
  </si>
  <si>
    <t>D:\00-SPREADSHEET\00 - COMPANY PROFILE\14- LOGO\RocketSheets\Published\rocketsheets-LOGO-200.png</t>
  </si>
  <si>
    <t>y</t>
  </si>
  <si>
    <t>x</t>
  </si>
  <si>
    <t>max axis</t>
  </si>
  <si>
    <t>min axis</t>
  </si>
  <si>
    <t>ChartSet</t>
  </si>
  <si>
    <t>ALL</t>
  </si>
  <si>
    <t>Last Number of Trades</t>
  </si>
  <si>
    <t>Starting Month</t>
  </si>
  <si>
    <t>SUN</t>
  </si>
  <si>
    <t>MON</t>
  </si>
  <si>
    <t>TUE</t>
  </si>
  <si>
    <t>WED</t>
  </si>
  <si>
    <t>FRI</t>
  </si>
  <si>
    <t>SAT</t>
  </si>
  <si>
    <t>W/L Ratio</t>
  </si>
  <si>
    <t>P/L Ratio</t>
  </si>
  <si>
    <t>THU</t>
  </si>
  <si>
    <t xml:space="preserve">         Ave. Profit</t>
  </si>
  <si>
    <t xml:space="preserve">         Ave. Loss</t>
  </si>
  <si>
    <t xml:space="preserve">         Profit Ratio</t>
  </si>
  <si>
    <t xml:space="preserve">         Profit Factor</t>
  </si>
  <si>
    <t xml:space="preserve">         Expectancy</t>
  </si>
  <si>
    <t>$</t>
  </si>
  <si>
    <t>€</t>
  </si>
  <si>
    <t>CHf</t>
  </si>
  <si>
    <t>£</t>
  </si>
  <si>
    <t>JPY</t>
  </si>
  <si>
    <t>AUD</t>
  </si>
  <si>
    <t>NZD</t>
  </si>
  <si>
    <t>HKD</t>
  </si>
  <si>
    <t>NOK</t>
  </si>
  <si>
    <t>SEK</t>
  </si>
  <si>
    <t>DKK</t>
  </si>
  <si>
    <t>ZAR</t>
  </si>
  <si>
    <t>¥‎</t>
  </si>
  <si>
    <t>A$</t>
  </si>
  <si>
    <t>kr</t>
  </si>
  <si>
    <t>Kr.</t>
  </si>
  <si>
    <t>selected</t>
  </si>
  <si>
    <t>May</t>
  </si>
  <si>
    <t>Year</t>
  </si>
  <si>
    <t>win allocation</t>
  </si>
  <si>
    <t>loss allocation</t>
  </si>
  <si>
    <t>total allocation</t>
  </si>
  <si>
    <t>*** Enter a positive value for a good trade and a negative value for a bad trade.</t>
  </si>
  <si>
    <t xml:space="preserve"> REPORT DATE</t>
  </si>
  <si>
    <t>Net Profit</t>
  </si>
  <si>
    <t>Total</t>
  </si>
  <si>
    <t>Rows to Add</t>
  </si>
  <si>
    <t xml:space="preserve">  Ratio:</t>
  </si>
  <si>
    <t xml:space="preserve">  Win rate%:</t>
  </si>
  <si>
    <t xml:space="preserve">               Evaluation</t>
  </si>
  <si>
    <t xml:space="preserve">             Date</t>
  </si>
  <si>
    <t>My Setup 1</t>
  </si>
  <si>
    <t>My Setup 2</t>
  </si>
  <si>
    <t>My Setup 3</t>
  </si>
  <si>
    <t>My Setup 4</t>
  </si>
  <si>
    <t>My Setup 5</t>
  </si>
  <si>
    <t>Last Data Date</t>
  </si>
  <si>
    <t>System Requirements: MS Excel</t>
  </si>
  <si>
    <t>Recommended: At least Excel 2010</t>
  </si>
  <si>
    <t>Excel 365 autosave should be turned-off</t>
  </si>
  <si>
    <t>Its recommended to save the file in folder that are not linked to Onedrive.</t>
  </si>
  <si>
    <t>excel date format verification</t>
  </si>
  <si>
    <t>date</t>
  </si>
  <si>
    <t>name</t>
  </si>
  <si>
    <t>ID</t>
  </si>
  <si>
    <t>Inputs</t>
  </si>
  <si>
    <t>Name</t>
  </si>
  <si>
    <t>Enter your prefer Name (This will be displayed in the file interface)</t>
  </si>
  <si>
    <t>R4ALEEARUDAB4AARMN4LH008ER</t>
  </si>
  <si>
    <t>reader</t>
  </si>
  <si>
    <t>text</t>
  </si>
  <si>
    <t>code name</t>
  </si>
  <si>
    <t>CODE2</t>
  </si>
  <si>
    <t xml:space="preserve">                                        Forex Trading Journal Copyright © 2020, rocketsheets.com. All Rights Reserved.</t>
  </si>
  <si>
    <t>Enabling Macros in Excel for Windows:</t>
  </si>
  <si>
    <t>1. Open Excel on your Windows computer.</t>
  </si>
  <si>
    <t>2. Click on the "File" tab in the ribbon at the top of the screen.</t>
  </si>
  <si>
    <t>3. Click on "Options" in the left-hand menu.</t>
  </si>
  <si>
    <t>4. In the Excel Options window, click on "Trust Center" in the left-hand menu.</t>
  </si>
  <si>
    <t>5. Click on the "Trust Center Settings" button.</t>
  </si>
  <si>
    <t>6. In the Trust Center window, click on "Macro Settings" in the left-hand menu.</t>
  </si>
  <si>
    <t>7. Check the box next to "Enable all macros under the "Macro Settings" section.</t>
  </si>
  <si>
    <t>8. Click the "OK" button and save your changes.</t>
  </si>
  <si>
    <t>9. Close the Excel Options window and restart Excel.</t>
  </si>
  <si>
    <t>Enabling Macros in Excel for Mac:</t>
  </si>
  <si>
    <t>1. Open Excel on your Mac.</t>
  </si>
  <si>
    <t>2. Click on "Excel" in the menu bar at the top of the screen.</t>
  </si>
  <si>
    <t>3. Select "Preferences" from the drop-down menu.</t>
  </si>
  <si>
    <t>4. In the Preferences window, click on "Security &amp; Privacy" in the "Authoring" section.</t>
  </si>
  <si>
    <t>5. Check the box next to "Enable all macros under the "Macro Security" section.</t>
  </si>
  <si>
    <t>6. Close the Preferences window and restart Excel.</t>
  </si>
  <si>
    <t>How to Enable Macro?</t>
  </si>
  <si>
    <t>1. Open Excel and click on "File" in the top-left corner of the screen.</t>
  </si>
  <si>
    <t>2. Select "Options" from the menu that appears.</t>
  </si>
  <si>
    <t>3. In the Excel Options window, click on "Trust Center" on the left-hand side.</t>
  </si>
  <si>
    <t>4. Click on the "Trust Center Settings" button.</t>
  </si>
  <si>
    <t>5. In the Trust Center window, click on "Trusted Locations" on the left-hand side.</t>
  </si>
  <si>
    <t>6. You can now view the trusted location on your computer, you can either put the excel file in an existing location or add a new location.</t>
  </si>
  <si>
    <t>7. Click on the "Add new location" button.</t>
  </si>
  <si>
    <t>8. Browse to the folder that you want to add as a trusted location.</t>
  </si>
  <si>
    <t>9. Click "OK" to add the folder to the list of trusted locations.</t>
  </si>
  <si>
    <t>10. Click "OK" again to close the Trust Center window.</t>
  </si>
  <si>
    <t>11. Click "OK" once more to close the Excel Options window.</t>
  </si>
  <si>
    <t>1. Open Excel and click on "Excel" in the top-left corner of the screen.</t>
  </si>
  <si>
    <t>2. Select "Preferences" from the menu that appears.</t>
  </si>
  <si>
    <t>3. In the Excel Preferences window, click on "Security &amp; Privacy" on the left-hand side.</t>
  </si>
  <si>
    <t>4. Under the "Macro Security" section, select "Enable all macros" or "Enable macros for all workbooks" (depending on your preference).</t>
  </si>
  <si>
    <t>5. You can now view the trusted location on your computer, you can either put the excel file in an existing location or add a new location.</t>
  </si>
  <si>
    <t>6. Click on "Add Folder" under the "Trusted Locations" section.</t>
  </si>
  <si>
    <t>7. Browse to the folder that you want to add as a trusted location.</t>
  </si>
  <si>
    <t>8. Click "Choose" to add the folder to the list of trusted locations.</t>
  </si>
  <si>
    <t>9. Close the Excel Preferences window.</t>
  </si>
  <si>
    <t>Once you've added a folder as a trusted location, any files that are located in that folder should be able to run macros without triggering any security warnings or errors.</t>
  </si>
  <si>
    <t>If Macro is blocked and steps above did not work, Here's a step-by-step guide on how to add a trusted location in Excel for both Mac and Windows:</t>
  </si>
  <si>
    <t>Trusted Location For Excel on Windows:</t>
  </si>
  <si>
    <t>Trusted Location For Excel on Mac: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</si>
</sst>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5">
    <numFmt numFmtId="44" formatCode="_(&quot;$&quot;* #,##0.00_);_(&quot;$&quot;* \(#,##0.00\);_(&quot;$&quot;* &quot;-&quot;??_);_(@_)"/>
    <numFmt numFmtId="43" formatCode="_(* #,##0.00_);_(* \(#,##0.00\);_(* &quot;-&quot;??_);_(@_)"/>
    <numFmt numFmtId="164" formatCode="_(* #,##0.000_);_(* \(#,##0.000\);_(* &quot;-&quot;??_);_(@_)"/>
    <numFmt numFmtId="165" formatCode="_([$PHP]\ * #,##0.00_);_([$PHP]\ * \(#,##0.00\);_([$PHP]\ * &quot;-&quot;??_);_(@_)"/>
    <numFmt numFmtId="166" formatCode="_(* #,##0.0_);_(* \(#,##0.0\);_(* &quot;-&quot;??_);_(@_)"/>
    <numFmt numFmtId="167" formatCode="0.0&quot; : 1&quot;"/>
    <numFmt numFmtId="168" formatCode="#,##0.0"/>
    <numFmt numFmtId="169" formatCode="0.0%"/>
    <numFmt numFmtId="170" formatCode="mm\-yyyy"/>
    <numFmt numFmtId="171" formatCode="[$-409]mmmm\-yy;@"/>
    <numFmt numFmtId="172" formatCode="_(* #,##0_);_(* \(#,##0\);_(* &quot;-&quot;??_);_(@_)"/>
    <numFmt numFmtId="173" formatCode="0.00&quot;R&quot;"/>
    <numFmt numFmtId="174" formatCode="0.00&quot; : 1&quot;"/>
    <numFmt numFmtId="175" formatCode="_(* #,##0.00000_);_(* \(#,##0.00000\);_(* &quot;-&quot;??_);_(@_)"/>
    <numFmt numFmtId="176" formatCode="mm/dd/yy\ hh:mm;@"/>
    <numFmt numFmtId="177" formatCode="_(&quot;$&quot;* #,##0.00_);_(&quot;$&quot;* \-#,##0.00;_(&quot;$&quot;* &quot;-&quot;??_);_(@_)"/>
    <numFmt numFmtId="178" formatCode="0.0"/>
    <numFmt numFmtId="179" formatCode="#,##0.000"/>
    <numFmt numFmtId="180" formatCode="0.00\ &quot;h&quot;;;"/>
    <numFmt numFmtId="181" formatCode="&quot;▲ &quot;* 0.00%;&quot;▼ &quot;* \-0.00%;;"/>
    <numFmt numFmtId="182" formatCode="&quot;▲ &quot;* 0.00%\ ;&quot;▼ &quot;* \-0.00%\ ;;"/>
    <numFmt numFmtId="183" formatCode="_([$€-2]\ * #,##0.00_);_([$€-2]\ * \(#,##0.00\);_([$€-2]\ * &quot;-&quot;??_);_(@_)"/>
    <numFmt numFmtId="184" formatCode="_-* #,##0.00\ [$CHF-100C]_-;\-* #,##0.00\ [$CHF-100C]_-;_-* &quot;-&quot;??\ [$CHF-100C]_-;_-@_-"/>
    <numFmt numFmtId="185" formatCode="[$-409]mmm\-yy;@"/>
    <numFmt numFmtId="186" formatCode="#,##0;;"/>
    <numFmt numFmtId="187" formatCode="#,##0;\-#,##0;"/>
    <numFmt numFmtId="188" formatCode="&quot;▲ &quot;* 0.00%\ \ ;&quot;▼ &quot;* \-0.00%\ \ ;;"/>
    <numFmt numFmtId="189" formatCode="_(&quot;$&quot;* #,##0.0_)\ \ ;_(&quot;$&quot;* \-#,##0.0\ \ ;_(&quot;$&quot;* &quot;-&quot;?_);_(@_)"/>
    <numFmt numFmtId="190" formatCode="#,##0\ &quot;Trades  &quot;"/>
    <numFmt numFmtId="191" formatCode="0.00&quot; R  &quot;"/>
    <numFmt numFmtId="192" formatCode="0.00&quot; : 1  &quot;"/>
    <numFmt numFmtId="193" formatCode="d&quot;d&quot;\ hh&quot;h&quot;:mm&quot;m&quot;;@"/>
    <numFmt numFmtId="194" formatCode="0.00\ &quot;d&quot;"/>
    <numFmt numFmtId="195" formatCode="&quot;Improving ▲ &quot;;&quot;Declining ▼ &quot;;"/>
    <numFmt numFmtId="196" formatCode="#&quot;R&quot;"/>
    <numFmt numFmtId="197" formatCode="\1&quot; : &quot;#,##0"/>
    <numFmt numFmtId="198" formatCode="0.00%\ \ \ ;;&quot;Stats N/A  &quot;"/>
    <numFmt numFmtId="199" formatCode="_(* #,##0.00_)\ \ \ ;_(* \(#,##0.00\);_(* &quot;-&quot;??_);_(@_)"/>
    <numFmt numFmtId="200" formatCode="0.0000"/>
    <numFmt numFmtId="201" formatCode="0.000"/>
    <numFmt numFmtId="202" formatCode="_(* #,##0.0000_);_(* \(#,##0.0000\);_(* &quot;-&quot;??_);_(@_)"/>
    <numFmt numFmtId="203" formatCode="0.0000%"/>
    <numFmt numFmtId="204" formatCode="##\ &quot;Rows&quot;"/>
    <numFmt numFmtId="205" formatCode="&quot;▲ &quot;* 0.0%\ \ ;&quot;▼ &quot;* \-0.0%\ \ ;"/>
    <numFmt numFmtId="206" formatCode="_(&quot;$&quot;* #,##0_);_(&quot;$&quot;* \-#,##0;_(&quot;$&quot;* &quot;-&quot;??_);_(@_)"/>
    <numFmt numFmtId="207" formatCode="&quot;▲ &quot;* 0.00%\ \ ;&quot;▼ &quot;* \-0.00%\ \ ;"/>
    <numFmt numFmtId="208" formatCode="mmmm\ yyyy"/>
    <numFmt numFmtId="209" formatCode="dd"/>
    <numFmt numFmtId="210" formatCode="##\ &quot;Trades&quot;"/>
    <numFmt numFmtId="211" formatCode="[$USD]* #,##0.00_);[$USD]* \-#,##0.00_);[$USD]\ * &quot;-&quot;??_);_(@_)"/>
    <numFmt numFmtId="212" formatCode="[$$]* #,##0.00_);[$$]* \-#,##0.00_);[$$]\ * &quot;-&quot;??_);_(@_)"/>
    <numFmt numFmtId="213" formatCode="[$€]* #,##0.00_);[$€]* \-#,##0.00_);[$€]\ * &quot;-&quot;??_);_(@_)"/>
    <numFmt numFmtId="214" formatCode="[$CAD]* #,##0.0_);[$CAD]* \-#,##0.0_);[$CAD]\ * &quot;-&quot;??_);_(@_)"/>
    <numFmt numFmtId="215" formatCode="[$$]* #,##0.0_);[$$]* \-#,##0.0_);[$$]\ * &quot;-&quot;??_);_(@_)"/>
    <numFmt numFmtId="216" formatCode="[$$]\ #,##0.0_);[$$]\ \-#,##0.0_);[$$]\ &quot;-&quot;??_);_(@_)"/>
  </numFmts>
  <fonts count="306">
    <font>
      <sz val="11"/>
      <color theme="1"/>
      <name val="Calibri"/>
      <family val="2"/>
      <scheme val="minor"/>
    </font>
    <font>
      <sz val="11"/>
      <color theme="1"/>
      <name val="Calibri"/>
      <family val="2"/>
      <scheme val="minor"/>
    </font>
    <font>
      <sz val="11"/>
      <color theme="0"/>
      <name val="Calibri"/>
      <family val="2"/>
      <scheme val="minor"/>
    </font>
    <font>
      <sz val="11"/>
      <color theme="1"/>
      <name val="Century Gothic"/>
      <family val="2"/>
    </font>
    <font>
      <sz val="10"/>
      <name val="Arial"/>
      <family val="2"/>
    </font>
    <font>
      <sz val="10"/>
      <color theme="1" tint="0.34998626667073579"/>
      <name val="Century Gothic"/>
      <family val="2"/>
    </font>
    <font>
      <sz val="10"/>
      <name val="Arial"/>
      <family val="2"/>
    </font>
    <font>
      <sz val="8"/>
      <color theme="1" tint="0.34998626667073579"/>
      <name val="Century Gothic"/>
      <family val="2"/>
    </font>
    <font>
      <sz val="9"/>
      <color theme="1" tint="0.249977111117893"/>
      <name val="Century Gothic"/>
      <family val="2"/>
    </font>
    <font>
      <u/>
      <sz val="10"/>
      <color theme="10"/>
      <name val="Arial"/>
      <family val="2"/>
    </font>
    <font>
      <sz val="10"/>
      <color theme="0" tint="-0.14999847407452621"/>
      <name val="Century Gothic"/>
      <family val="2"/>
    </font>
    <font>
      <b/>
      <sz val="9"/>
      <color theme="1" tint="0.499984740745262"/>
      <name val="Century Gothic"/>
      <family val="2"/>
    </font>
    <font>
      <sz val="10"/>
      <color theme="1" tint="0.34998626667073579"/>
      <name val="Century Gothic"/>
      <family val="2"/>
    </font>
    <font>
      <b/>
      <sz val="8"/>
      <color theme="1" tint="0.499984740745262"/>
      <name val="Century Gothic"/>
      <family val="2"/>
    </font>
    <font>
      <b/>
      <sz val="9"/>
      <color theme="1" tint="0.34998626667073579"/>
      <name val="Century Gothic"/>
      <family val="2"/>
    </font>
    <font>
      <i/>
      <sz val="9"/>
      <color theme="1" tint="0.499984740745262"/>
      <name val="Calibri"/>
      <family val="2"/>
    </font>
    <font>
      <sz val="10"/>
      <color theme="1" tint="0.34998626667073579"/>
      <name val="Century Gothic"/>
      <family val="2"/>
    </font>
    <font>
      <sz val="10"/>
      <name val="Century Gothic"/>
      <family val="2"/>
    </font>
    <font>
      <b/>
      <sz val="11"/>
      <color theme="0"/>
      <name val="Century Gothic"/>
      <family val="2"/>
    </font>
    <font>
      <sz val="9"/>
      <color theme="0" tint="-0.34998626667073579"/>
      <name val="Century Gothic"/>
      <family val="2"/>
    </font>
    <font>
      <sz val="8"/>
      <color theme="1" tint="0.34998626667073579"/>
      <name val="Century Gothic"/>
      <family val="2"/>
    </font>
    <font>
      <sz val="9"/>
      <color theme="1" tint="0.34998626667073579"/>
      <name val="Century Gothic"/>
      <family val="2"/>
    </font>
    <font>
      <sz val="9"/>
      <color rgb="FF00B050"/>
      <name val="Century Gothic"/>
      <family val="2"/>
    </font>
    <font>
      <sz val="9"/>
      <color rgb="FFC00000"/>
      <name val="Century Gothic"/>
      <family val="2"/>
    </font>
    <font>
      <b/>
      <sz val="10"/>
      <color theme="1" tint="0.34998626667073579"/>
      <name val="Century Gothic"/>
      <family val="2"/>
    </font>
    <font>
      <b/>
      <sz val="10"/>
      <color theme="8"/>
      <name val="Century Gothic"/>
      <family val="2"/>
    </font>
    <font>
      <b/>
      <sz val="10"/>
      <color theme="5"/>
      <name val="Century Gothic"/>
      <family val="2"/>
    </font>
    <font>
      <sz val="8"/>
      <color theme="6" tint="0.39997558519241921"/>
      <name val="Arial Unicode MS"/>
      <family val="2"/>
    </font>
    <font>
      <sz val="9"/>
      <name val="Century Gothic"/>
      <family val="2"/>
    </font>
    <font>
      <b/>
      <sz val="10"/>
      <color theme="0" tint="-0.14999847407452621"/>
      <name val="Century Gothic"/>
      <family val="2"/>
    </font>
    <font>
      <b/>
      <i/>
      <sz val="10"/>
      <color theme="0" tint="-0.14999847407452621"/>
      <name val="Century Gothic"/>
      <family val="2"/>
    </font>
    <font>
      <sz val="8"/>
      <color theme="0" tint="-0.14999847407452621"/>
      <name val="Century Gothic"/>
      <family val="2"/>
    </font>
    <font>
      <b/>
      <sz val="11"/>
      <color theme="1" tint="0.34998626667073579"/>
      <name val="Century Gothic"/>
      <family val="2"/>
    </font>
    <font>
      <b/>
      <sz val="11"/>
      <color theme="0" tint="-0.14999847407452621"/>
      <name val="Century Gothic"/>
      <family val="2"/>
    </font>
    <font>
      <b/>
      <sz val="26"/>
      <color theme="1" tint="0.34998626667073579"/>
      <name val="Century Gothic"/>
      <family val="2"/>
    </font>
    <font>
      <i/>
      <sz val="10"/>
      <color theme="1" tint="0.34998626667073579"/>
      <name val="Calibri"/>
      <family val="2"/>
      <scheme val="minor"/>
    </font>
    <font>
      <b/>
      <sz val="14"/>
      <color theme="1" tint="0.499984740745262"/>
      <name val="Century Gothic"/>
      <family val="2"/>
    </font>
    <font>
      <b/>
      <sz val="12"/>
      <color theme="1" tint="0.499984740745262"/>
      <name val="Century Gothic"/>
      <family val="2"/>
    </font>
    <font>
      <i/>
      <sz val="12"/>
      <color theme="1" tint="0.34998626667073579"/>
      <name val="Calibri"/>
      <family val="2"/>
      <scheme val="minor"/>
    </font>
    <font>
      <b/>
      <sz val="18"/>
      <color rgb="FFFF0000"/>
      <name val="Century Gothic"/>
      <family val="2"/>
    </font>
    <font>
      <sz val="11"/>
      <color theme="0" tint="-4.9989318521683403E-2"/>
      <name val="Century Gothic"/>
      <family val="2"/>
    </font>
    <font>
      <b/>
      <sz val="14"/>
      <color theme="1" tint="0.34998626667073579"/>
      <name val="Century Gothic"/>
      <family val="2"/>
    </font>
    <font>
      <i/>
      <sz val="11"/>
      <color theme="1"/>
      <name val="Century Gothic"/>
      <family val="2"/>
    </font>
    <font>
      <b/>
      <sz val="12"/>
      <color theme="1" tint="0.34998626667073579"/>
      <name val="Century Gothic"/>
      <family val="2"/>
    </font>
    <font>
      <i/>
      <sz val="10"/>
      <color rgb="FFFF0000"/>
      <name val="Century Gothic"/>
      <family val="2"/>
    </font>
    <font>
      <sz val="11"/>
      <color theme="0" tint="-0.249977111117893"/>
      <name val="Century Gothic"/>
      <family val="2"/>
    </font>
    <font>
      <sz val="8"/>
      <color theme="0" tint="-0.249977111117893"/>
      <name val="Century Gothic"/>
      <family val="2"/>
    </font>
    <font>
      <u/>
      <sz val="11"/>
      <color theme="10"/>
      <name val="Calibri"/>
      <family val="2"/>
      <scheme val="minor"/>
    </font>
    <font>
      <sz val="10"/>
      <color theme="1" tint="0.14999847407452621"/>
      <name val="Arial"/>
      <family val="2"/>
    </font>
    <font>
      <b/>
      <sz val="8"/>
      <color theme="1" tint="0.14999847407452621"/>
      <name val="Century Gothic"/>
      <family val="2"/>
    </font>
    <font>
      <b/>
      <i/>
      <sz val="11"/>
      <color theme="1" tint="0.249977111117893"/>
      <name val="Century Gothic"/>
      <family val="2"/>
    </font>
    <font>
      <b/>
      <i/>
      <sz val="10"/>
      <color theme="5"/>
      <name val="Century Gothic"/>
      <family val="2"/>
    </font>
    <font>
      <b/>
      <i/>
      <sz val="11"/>
      <color theme="5"/>
      <name val="Calibri"/>
      <family val="2"/>
      <scheme val="minor"/>
    </font>
    <font>
      <b/>
      <i/>
      <sz val="20"/>
      <color theme="0" tint="-0.499984740745262"/>
      <name val="Calibri"/>
      <family val="2"/>
      <scheme val="minor"/>
    </font>
    <font>
      <sz val="9"/>
      <color theme="1" tint="0.499984740745262"/>
      <name val="Calibri"/>
      <family val="2"/>
    </font>
    <font>
      <sz val="9"/>
      <color theme="1" tint="0.249977111117893"/>
      <name val="Calibri"/>
      <family val="2"/>
    </font>
    <font>
      <b/>
      <sz val="9"/>
      <color theme="0" tint="-0.249977111117893"/>
      <name val="Calibri"/>
      <family val="2"/>
    </font>
    <font>
      <b/>
      <sz val="12"/>
      <color theme="0" tint="-4.9989318521683403E-2"/>
      <name val="Century Gothic"/>
      <family val="2"/>
    </font>
    <font>
      <sz val="10"/>
      <color theme="2" tint="-0.749992370372631"/>
      <name val="Century Gothic"/>
      <family val="2"/>
    </font>
    <font>
      <sz val="10"/>
      <color theme="2" tint="-0.749992370372631"/>
      <name val="Arial"/>
      <family val="2"/>
    </font>
    <font>
      <sz val="11"/>
      <color theme="1" tint="0.34998626667073579"/>
      <name val="Calibri"/>
      <family val="2"/>
    </font>
    <font>
      <sz val="11"/>
      <color theme="1"/>
      <name val="Calibri"/>
      <family val="2"/>
    </font>
    <font>
      <b/>
      <sz val="8"/>
      <color theme="0" tint="-0.499984740745262"/>
      <name val="Calibri"/>
      <family val="2"/>
    </font>
    <font>
      <b/>
      <sz val="9"/>
      <color theme="0" tint="-0.499984740745262"/>
      <name val="Calibri"/>
      <family val="2"/>
    </font>
    <font>
      <sz val="8"/>
      <color theme="1" tint="0.34998626667073579"/>
      <name val="Calibri"/>
      <family val="2"/>
    </font>
    <font>
      <b/>
      <sz val="10"/>
      <color theme="1" tint="0.499984740745262"/>
      <name val="Calibri"/>
      <family val="2"/>
    </font>
    <font>
      <i/>
      <sz val="10"/>
      <color theme="1" tint="0.499984740745262"/>
      <name val="Calibri"/>
      <family val="2"/>
    </font>
    <font>
      <b/>
      <i/>
      <sz val="10"/>
      <color theme="1"/>
      <name val="Century Gothic"/>
      <family val="2"/>
    </font>
    <font>
      <sz val="11"/>
      <color rgb="FFFF0000"/>
      <name val="Calibri"/>
      <family val="2"/>
      <scheme val="minor"/>
    </font>
    <font>
      <sz val="10"/>
      <color theme="1" tint="0.499984740745262"/>
      <name val="Arial"/>
      <family val="2"/>
    </font>
    <font>
      <sz val="8"/>
      <color theme="1" tint="0.34998626667073579"/>
      <name val="Arial"/>
      <family val="2"/>
    </font>
    <font>
      <sz val="9"/>
      <color theme="1" tint="0.249977111117893"/>
      <name val="Arial"/>
      <family val="2"/>
    </font>
    <font>
      <sz val="9"/>
      <color theme="1" tint="0.499984740745262"/>
      <name val="Arial"/>
      <family val="2"/>
    </font>
    <font>
      <sz val="11"/>
      <color theme="1"/>
      <name val="Arial"/>
      <family val="2"/>
    </font>
    <font>
      <sz val="10"/>
      <color theme="1" tint="0.34998626667073579"/>
      <name val="Arial"/>
      <family val="2"/>
    </font>
    <font>
      <b/>
      <sz val="10"/>
      <color rgb="FFFA3E3E"/>
      <name val="Arial"/>
      <family val="2"/>
    </font>
    <font>
      <b/>
      <sz val="10"/>
      <color theme="1" tint="0.249977111117893"/>
      <name val="Arial"/>
      <family val="2"/>
    </font>
    <font>
      <b/>
      <sz val="10"/>
      <color theme="0" tint="-0.14999847407452621"/>
      <name val="Arial"/>
      <family val="2"/>
    </font>
    <font>
      <sz val="8"/>
      <color theme="0" tint="-0.249977111117893"/>
      <name val="Arial"/>
      <family val="2"/>
    </font>
    <font>
      <b/>
      <sz val="9"/>
      <color theme="1" tint="0.34998626667073579"/>
      <name val="Arial"/>
      <family val="2"/>
    </font>
    <font>
      <sz val="8"/>
      <color theme="1" tint="0.499984740745262"/>
      <name val="Arial"/>
      <family val="2"/>
    </font>
    <font>
      <b/>
      <sz val="10"/>
      <color theme="1" tint="0.499984740745262"/>
      <name val="Arial"/>
      <family val="2"/>
    </font>
    <font>
      <b/>
      <sz val="8"/>
      <color rgb="FFFA3E3E"/>
      <name val="Arial"/>
      <family val="2"/>
    </font>
    <font>
      <sz val="9"/>
      <color theme="0" tint="-0.499984740745262"/>
      <name val="Arial"/>
      <family val="2"/>
    </font>
    <font>
      <b/>
      <sz val="9"/>
      <color theme="0" tint="-0.499984740745262"/>
      <name val="Arial"/>
      <family val="2"/>
    </font>
    <font>
      <sz val="9"/>
      <color theme="0" tint="-0.34998626667073579"/>
      <name val="Arial"/>
      <family val="2"/>
    </font>
    <font>
      <b/>
      <sz val="12"/>
      <color theme="0" tint="-0.14999847407452621"/>
      <name val="Arial"/>
      <family val="2"/>
    </font>
    <font>
      <b/>
      <sz val="8"/>
      <color theme="0" tint="-0.499984740745262"/>
      <name val="Arial"/>
      <family val="2"/>
    </font>
    <font>
      <sz val="9"/>
      <color theme="1" tint="0.14999847407452621"/>
      <name val="Arial"/>
      <family val="2"/>
    </font>
    <font>
      <sz val="9"/>
      <color theme="0" tint="-0.249977111117893"/>
      <name val="Arial"/>
      <family val="2"/>
    </font>
    <font>
      <sz val="11"/>
      <color theme="0"/>
      <name val="Arial"/>
      <family val="2"/>
    </font>
    <font>
      <i/>
      <sz val="8"/>
      <color theme="1" tint="0.499984740745262"/>
      <name val="Arial"/>
      <family val="2"/>
    </font>
    <font>
      <sz val="8"/>
      <color theme="0" tint="-0.34998626667073579"/>
      <name val="Arial"/>
      <family val="2"/>
    </font>
    <font>
      <b/>
      <sz val="10"/>
      <color theme="8" tint="-0.249977111117893"/>
      <name val="Arial"/>
      <family val="2"/>
    </font>
    <font>
      <b/>
      <sz val="10"/>
      <color theme="0" tint="-0.249977111117893"/>
      <name val="Arial"/>
      <family val="2"/>
    </font>
    <font>
      <b/>
      <sz val="8"/>
      <color rgb="FFC83232"/>
      <name val="Arial"/>
      <family val="2"/>
    </font>
    <font>
      <sz val="8"/>
      <color rgb="FFC83232"/>
      <name val="Arial"/>
      <family val="2"/>
    </font>
    <font>
      <b/>
      <sz val="9"/>
      <color rgb="FFC83232"/>
      <name val="Arial"/>
      <family val="2"/>
    </font>
    <font>
      <b/>
      <i/>
      <sz val="9"/>
      <color rgb="FF217346"/>
      <name val="Arial Narrow"/>
      <family val="2"/>
    </font>
    <font>
      <b/>
      <sz val="8"/>
      <color rgb="FF217346"/>
      <name val="Arial"/>
      <family val="2"/>
    </font>
    <font>
      <b/>
      <sz val="10"/>
      <color rgb="FFE1E1E1"/>
      <name val="Century Gothic"/>
      <family val="2"/>
    </font>
    <font>
      <b/>
      <sz val="9"/>
      <color rgb="FFE1E1E1"/>
      <name val="Arial"/>
      <family val="2"/>
    </font>
    <font>
      <sz val="9"/>
      <color rgb="FF808080"/>
      <name val="Arial"/>
      <family val="2"/>
    </font>
    <font>
      <sz val="8"/>
      <color rgb="FF217346"/>
      <name val="Arial"/>
      <family val="2"/>
    </font>
    <font>
      <b/>
      <sz val="11"/>
      <color rgb="FFE1E1E1"/>
      <name val="Century Gothic"/>
      <family val="2"/>
    </font>
    <font>
      <b/>
      <sz val="9"/>
      <color rgb="FF808080"/>
      <name val="Arial"/>
      <family val="2"/>
    </font>
    <font>
      <b/>
      <i/>
      <sz val="10"/>
      <color theme="0" tint="-0.14999847407452621"/>
      <name val="Arial"/>
      <family val="2"/>
    </font>
    <font>
      <b/>
      <sz val="8"/>
      <color theme="1" tint="0.499984740745262"/>
      <name val="Arial"/>
      <family val="2"/>
    </font>
    <font>
      <sz val="10"/>
      <color theme="0" tint="-0.14999847407452621"/>
      <name val="Arial"/>
      <family val="2"/>
    </font>
    <font>
      <b/>
      <sz val="9"/>
      <color theme="0" tint="-0.249977111117893"/>
      <name val="Arial"/>
      <family val="2"/>
    </font>
    <font>
      <b/>
      <sz val="8"/>
      <color rgb="FF808080"/>
      <name val="Arial"/>
      <family val="2"/>
    </font>
    <font>
      <sz val="8"/>
      <name val="Calibri"/>
      <family val="2"/>
      <scheme val="minor"/>
    </font>
    <font>
      <sz val="8"/>
      <color rgb="FF288C55"/>
      <name val="Arial"/>
      <family val="2"/>
    </font>
    <font>
      <sz val="9"/>
      <color rgb="FFE1E1E1"/>
      <name val="Arial"/>
      <family val="2"/>
    </font>
    <font>
      <b/>
      <sz val="9"/>
      <color rgb="FF32AC69"/>
      <name val="Arial"/>
      <family val="2"/>
    </font>
    <font>
      <sz val="11"/>
      <color theme="0" tint="-0.249977111117893"/>
      <name val="Calibri"/>
      <family val="2"/>
      <scheme val="minor"/>
    </font>
    <font>
      <sz val="11"/>
      <color theme="1" tint="4.9989318521683403E-2"/>
      <name val="Calibri"/>
      <family val="2"/>
      <scheme val="minor"/>
    </font>
    <font>
      <sz val="8"/>
      <color theme="1" tint="4.9989318521683403E-2"/>
      <name val="Century Gothic"/>
      <family val="2"/>
    </font>
    <font>
      <sz val="10"/>
      <color theme="1" tint="4.9989318521683403E-2"/>
      <name val="Century Gothic"/>
      <family val="2"/>
    </font>
    <font>
      <sz val="9"/>
      <color theme="1" tint="0.14999847407452621"/>
      <name val="Arial Narrow"/>
      <family val="2"/>
    </font>
    <font>
      <sz val="9"/>
      <color theme="0" tint="-0.14999847407452621"/>
      <name val="Arial"/>
      <family val="2"/>
    </font>
    <font>
      <i/>
      <sz val="10"/>
      <color theme="1" tint="0.34998626667073579"/>
      <name val="Arial"/>
      <family val="2"/>
    </font>
    <font>
      <sz val="9"/>
      <color rgb="FFFF0000"/>
      <name val="Arial"/>
      <family val="2"/>
    </font>
    <font>
      <sz val="8"/>
      <color theme="0" tint="-0.499984740745262"/>
      <name val="Arial Narrow"/>
      <family val="2"/>
    </font>
    <font>
      <sz val="8"/>
      <color theme="1" tint="4.9989318521683403E-2"/>
      <name val="Arial"/>
      <family val="2"/>
    </font>
    <font>
      <sz val="9"/>
      <color theme="1" tint="4.9989318521683403E-2"/>
      <name val="Arial"/>
      <family val="2"/>
    </font>
    <font>
      <sz val="8"/>
      <color theme="1" tint="4.9989318521683403E-2"/>
      <name val="Arial Narrow"/>
      <family val="2"/>
    </font>
    <font>
      <sz val="10"/>
      <color theme="1" tint="0.14999847407452621"/>
      <name val="Century Gothic"/>
      <family val="2"/>
    </font>
    <font>
      <b/>
      <i/>
      <sz val="10"/>
      <color theme="1" tint="0.14999847407452621"/>
      <name val="Century Gothic"/>
      <family val="2"/>
    </font>
    <font>
      <sz val="8"/>
      <color theme="1" tint="0.14999847407452621"/>
      <name val="Century Gothic"/>
      <family val="2"/>
    </font>
    <font>
      <sz val="11"/>
      <color theme="1" tint="0.14999847407452621"/>
      <name val="Calibri"/>
      <family val="2"/>
      <scheme val="minor"/>
    </font>
    <font>
      <b/>
      <sz val="11"/>
      <color theme="1" tint="4.9989318521683403E-2"/>
      <name val="Century Gothic"/>
      <family val="2"/>
    </font>
    <font>
      <sz val="11"/>
      <color theme="2" tint="-0.89999084444715716"/>
      <name val="Calibri"/>
      <family val="2"/>
      <scheme val="minor"/>
    </font>
    <font>
      <b/>
      <sz val="11"/>
      <color theme="0" tint="-0.249977111117893"/>
      <name val="Arial"/>
      <family val="2"/>
    </font>
    <font>
      <b/>
      <sz val="9"/>
      <color theme="1" tint="4.9989318521683403E-2"/>
      <name val="Arial"/>
      <family val="2"/>
    </font>
    <font>
      <sz val="10"/>
      <color rgb="FFFF0000"/>
      <name val="Century Gothic"/>
      <family val="2"/>
    </font>
    <font>
      <b/>
      <sz val="10"/>
      <color theme="1" tint="4.9989318521683403E-2"/>
      <name val="Century Gothic"/>
      <family val="2"/>
    </font>
    <font>
      <b/>
      <sz val="11"/>
      <color theme="0" tint="-4.9989318521683403E-2"/>
      <name val="Century Gothic"/>
      <family val="2"/>
    </font>
    <font>
      <b/>
      <sz val="10"/>
      <color theme="2" tint="-0.89999084444715716"/>
      <name val="Century Gothic"/>
      <family val="2"/>
    </font>
    <font>
      <sz val="9"/>
      <color theme="1"/>
      <name val="Calibri"/>
      <family val="2"/>
      <scheme val="minor"/>
    </font>
    <font>
      <b/>
      <sz val="9"/>
      <color theme="0" tint="-4.9989318521683403E-2"/>
      <name val="Arial"/>
      <family val="2"/>
    </font>
    <font>
      <b/>
      <sz val="10"/>
      <color rgb="FFC83232"/>
      <name val="Brush Script Std"/>
      <family val="4"/>
    </font>
    <font>
      <i/>
      <sz val="8"/>
      <color theme="0" tint="-0.499984740745262"/>
      <name val="Arial"/>
      <family val="2"/>
    </font>
    <font>
      <b/>
      <sz val="9"/>
      <color rgb="FFEC3838"/>
      <name val="Arial"/>
      <family val="2"/>
    </font>
    <font>
      <b/>
      <sz val="10"/>
      <color rgb="FF1B8CBF"/>
      <name val="Arial"/>
      <family val="2"/>
    </font>
    <font>
      <b/>
      <sz val="12"/>
      <color theme="0" tint="-0.249977111117893"/>
      <name val="Arial"/>
      <family val="2"/>
    </font>
    <font>
      <b/>
      <sz val="10"/>
      <color rgb="FF1983B3"/>
      <name val="Arial"/>
      <family val="2"/>
    </font>
    <font>
      <b/>
      <sz val="9"/>
      <color rgb="FF1983B3"/>
      <name val="Arial"/>
      <family val="2"/>
    </font>
    <font>
      <sz val="9"/>
      <color rgb="FF1983B3"/>
      <name val="Arial"/>
      <family val="2"/>
    </font>
    <font>
      <sz val="12"/>
      <color theme="1"/>
      <name val="Calibri"/>
      <family val="2"/>
      <scheme val="minor"/>
    </font>
    <font>
      <sz val="9"/>
      <color rgb="FF16719A"/>
      <name val="Arial"/>
      <family val="2"/>
    </font>
    <font>
      <i/>
      <sz val="8"/>
      <color theme="1" tint="0.34998626667073579"/>
      <name val="Arial"/>
      <family val="2"/>
    </font>
    <font>
      <b/>
      <sz val="9"/>
      <color theme="1" tint="0.14999847407452621"/>
      <name val="Arial"/>
      <family val="2"/>
    </font>
    <font>
      <sz val="8"/>
      <color theme="1" tint="0.14999847407452621"/>
      <name val="Arial"/>
      <family val="2"/>
    </font>
    <font>
      <sz val="8"/>
      <color theme="1" tint="0.499984740745262"/>
      <name val="Arial Narrow"/>
      <family val="2"/>
    </font>
    <font>
      <i/>
      <sz val="9"/>
      <color theme="2" tint="-0.499984740745262"/>
      <name val="Century Gothic"/>
      <family val="2"/>
    </font>
    <font>
      <i/>
      <sz val="10"/>
      <color theme="1"/>
      <name val="Century Gothic"/>
      <family val="2"/>
    </font>
    <font>
      <sz val="10"/>
      <color theme="1"/>
      <name val="Century Gothic"/>
      <family val="2"/>
    </font>
    <font>
      <b/>
      <sz val="10"/>
      <color theme="1"/>
      <name val="Century Gothic"/>
      <family val="2"/>
    </font>
    <font>
      <sz val="9"/>
      <color theme="1"/>
      <name val="Century Gothic"/>
      <family val="2"/>
    </font>
    <font>
      <sz val="11"/>
      <color rgb="FFC83232"/>
      <name val="Century Gothic"/>
      <family val="2"/>
    </font>
    <font>
      <b/>
      <i/>
      <sz val="10"/>
      <color rgb="FFEC3838"/>
      <name val="Century Gothic"/>
      <family val="2"/>
    </font>
    <font>
      <b/>
      <sz val="8"/>
      <color theme="1" tint="4.9989318521683403E-2"/>
      <name val="Arial"/>
      <family val="2"/>
    </font>
    <font>
      <sz val="11"/>
      <color rgb="FFC83232"/>
      <name val="Calibri"/>
      <family val="2"/>
      <scheme val="minor"/>
    </font>
    <font>
      <sz val="8"/>
      <color theme="0" tint="-0.14999847407452621"/>
      <name val="Arial"/>
      <family val="2"/>
    </font>
    <font>
      <i/>
      <sz val="9"/>
      <color theme="1" tint="0.34998626667073579"/>
      <name val="Arial"/>
      <family val="2"/>
    </font>
    <font>
      <sz val="9"/>
      <color theme="1" tint="0.34998626667073579"/>
      <name val="Arial"/>
      <family val="2"/>
    </font>
    <font>
      <b/>
      <sz val="10"/>
      <color theme="0" tint="-0.34998626667073579"/>
      <name val="Century Gothic"/>
      <family val="2"/>
    </font>
    <font>
      <sz val="10"/>
      <color theme="0" tint="-0.34998626667073579"/>
      <name val="Century Gothic"/>
      <family val="2"/>
    </font>
    <font>
      <b/>
      <sz val="8"/>
      <color theme="0" tint="-0.34998626667073579"/>
      <name val="Century Gothic"/>
      <family val="2"/>
    </font>
    <font>
      <sz val="9"/>
      <color theme="0"/>
      <name val="Arial"/>
      <family val="2"/>
    </font>
    <font>
      <sz val="9"/>
      <color theme="2" tint="-0.89999084444715716"/>
      <name val="Arial"/>
      <family val="2"/>
    </font>
    <font>
      <sz val="11"/>
      <color theme="1" tint="0.499984740745262"/>
      <name val="Calibri"/>
      <family val="2"/>
      <scheme val="minor"/>
    </font>
    <font>
      <i/>
      <sz val="9"/>
      <color rgb="FFC83232"/>
      <name val="Arial"/>
      <family val="2"/>
    </font>
    <font>
      <sz val="8"/>
      <color theme="1" tint="0.34998626667073579"/>
      <name val="Arial Narrow"/>
      <family val="2"/>
    </font>
    <font>
      <sz val="12"/>
      <color theme="1" tint="0.34998626667073579"/>
      <name val="Calibri"/>
      <family val="2"/>
      <scheme val="minor"/>
    </font>
    <font>
      <sz val="9"/>
      <color theme="1" tint="4.9989318521683403E-2"/>
      <name val="Century Gothic"/>
      <family val="2"/>
    </font>
    <font>
      <sz val="9"/>
      <color theme="1" tint="4.9989318521683403E-2"/>
      <name val="Calibri"/>
      <family val="2"/>
      <scheme val="minor"/>
    </font>
    <font>
      <b/>
      <sz val="11"/>
      <color theme="0" tint="-0.249977111117893"/>
      <name val="Calibri"/>
      <family val="2"/>
      <scheme val="minor"/>
    </font>
    <font>
      <sz val="11"/>
      <color theme="5"/>
      <name val="Calibri"/>
      <family val="2"/>
      <scheme val="minor"/>
    </font>
    <font>
      <sz val="12"/>
      <color theme="0" tint="-4.9989318521683403E-2"/>
      <name val="Calibri"/>
      <family val="2"/>
      <scheme val="minor"/>
    </font>
    <font>
      <b/>
      <sz val="8"/>
      <color theme="5"/>
      <name val="Century Gothic"/>
      <family val="2"/>
    </font>
    <font>
      <b/>
      <sz val="10"/>
      <color theme="4"/>
      <name val="Arial"/>
      <family val="2"/>
    </font>
    <font>
      <b/>
      <sz val="9"/>
      <color theme="4"/>
      <name val="Arial"/>
      <family val="2"/>
    </font>
    <font>
      <b/>
      <sz val="12"/>
      <color theme="2" tint="-0.499984740745262"/>
      <name val="Century Gothic"/>
      <family val="2"/>
    </font>
    <font>
      <b/>
      <sz val="10"/>
      <color theme="5"/>
      <name val="Arial"/>
      <family val="2"/>
    </font>
    <font>
      <b/>
      <sz val="9"/>
      <color theme="5"/>
      <name val="Arial"/>
      <family val="2"/>
    </font>
    <font>
      <sz val="10"/>
      <color theme="5"/>
      <name val="Arial"/>
      <family val="2"/>
    </font>
    <font>
      <b/>
      <sz val="8"/>
      <color theme="5"/>
      <name val="Arial"/>
      <family val="2"/>
    </font>
    <font>
      <sz val="8"/>
      <color theme="3"/>
      <name val="Arial"/>
      <family val="2"/>
    </font>
    <font>
      <sz val="8"/>
      <color theme="3"/>
      <name val="Calibri"/>
      <family val="2"/>
      <scheme val="minor"/>
    </font>
    <font>
      <b/>
      <sz val="12"/>
      <color theme="2"/>
      <name val="Arial"/>
      <family val="2"/>
    </font>
    <font>
      <b/>
      <sz val="9"/>
      <color theme="2"/>
      <name val="Arial Narrow"/>
      <family val="2"/>
    </font>
    <font>
      <sz val="8"/>
      <color theme="0" tint="-0.249977111117893"/>
      <name val="Helvetica"/>
    </font>
    <font>
      <sz val="9"/>
      <color theme="2"/>
      <name val="Arial"/>
      <family val="2"/>
    </font>
    <font>
      <sz val="8"/>
      <color theme="2"/>
      <name val="Helvetica"/>
    </font>
    <font>
      <b/>
      <sz val="8"/>
      <color theme="2"/>
      <name val="Helvetica"/>
    </font>
    <font>
      <b/>
      <sz val="10"/>
      <color theme="2"/>
      <name val="Arial"/>
      <family val="2"/>
    </font>
    <font>
      <i/>
      <sz val="8"/>
      <color theme="2"/>
      <name val="Arial"/>
      <family val="2"/>
    </font>
    <font>
      <sz val="9"/>
      <color theme="4"/>
      <name val="Arial"/>
      <family val="2"/>
    </font>
    <font>
      <sz val="10"/>
      <color theme="3"/>
      <name val="Bahnschrift SemiCondensed"/>
      <family val="2"/>
    </font>
    <font>
      <sz val="10"/>
      <color theme="4"/>
      <name val="Arial"/>
      <family val="2"/>
    </font>
    <font>
      <i/>
      <sz val="9"/>
      <color theme="4"/>
      <name val="Arial"/>
      <family val="2"/>
    </font>
    <font>
      <sz val="11"/>
      <color theme="2"/>
      <name val="Calibri"/>
      <family val="2"/>
      <scheme val="minor"/>
    </font>
    <font>
      <sz val="10"/>
      <color rgb="FFF84960"/>
      <name val="Century Gothic"/>
      <family val="2"/>
    </font>
    <font>
      <sz val="11"/>
      <color rgb="FFF84960"/>
      <name val="Calibri"/>
      <family val="2"/>
      <scheme val="minor"/>
    </font>
    <font>
      <sz val="8"/>
      <name val="Helvetica"/>
    </font>
    <font>
      <sz val="11"/>
      <color theme="8"/>
      <name val="Calibri"/>
      <family val="2"/>
      <scheme val="minor"/>
    </font>
    <font>
      <b/>
      <sz val="20"/>
      <color theme="0"/>
      <name val="Calibri"/>
      <family val="2"/>
      <scheme val="minor"/>
    </font>
    <font>
      <b/>
      <sz val="18"/>
      <color theme="1"/>
      <name val="Calibri"/>
      <family val="2"/>
      <scheme val="minor"/>
    </font>
    <font>
      <sz val="11"/>
      <color rgb="FF0F1013"/>
      <name val="Calibri"/>
      <family val="2"/>
      <scheme val="minor"/>
    </font>
    <font>
      <b/>
      <sz val="12"/>
      <color theme="5"/>
      <name val="Arial"/>
      <family val="2"/>
    </font>
    <font>
      <sz val="11"/>
      <color theme="3"/>
      <name val="Calibri"/>
      <family val="2"/>
      <scheme val="minor"/>
    </font>
    <font>
      <b/>
      <sz val="10"/>
      <color rgb="FF0A0D2C"/>
      <name val="Century Gothic"/>
      <family val="2"/>
    </font>
    <font>
      <sz val="10"/>
      <color rgb="FF0A0D2C"/>
      <name val="Century Gothic"/>
      <family val="2"/>
    </font>
    <font>
      <b/>
      <sz val="9"/>
      <color theme="9"/>
      <name val="Arial Narrow"/>
      <family val="2"/>
    </font>
    <font>
      <sz val="8"/>
      <color theme="9"/>
      <name val="Arial"/>
      <family val="2"/>
    </font>
    <font>
      <b/>
      <sz val="10"/>
      <color theme="0" tint="-4.9989318521683403E-2"/>
      <name val="Arial"/>
      <family val="2"/>
    </font>
    <font>
      <sz val="9"/>
      <color theme="3" tint="-0.249977111117893"/>
      <name val="Arial Narrow"/>
      <family val="2"/>
    </font>
    <font>
      <i/>
      <sz val="9"/>
      <color theme="5"/>
      <name val="Arial"/>
      <family val="2"/>
    </font>
    <font>
      <sz val="11"/>
      <color theme="5"/>
      <name val="Century Gothic"/>
      <family val="2"/>
    </font>
    <font>
      <b/>
      <sz val="26"/>
      <color theme="5"/>
      <name val="Century Gothic"/>
      <family val="2"/>
    </font>
    <font>
      <b/>
      <sz val="14"/>
      <color theme="5"/>
      <name val="Century Gothic"/>
      <family val="2"/>
    </font>
    <font>
      <i/>
      <sz val="8"/>
      <color theme="1" tint="0.249977111117893"/>
      <name val="Arial"/>
      <family val="2"/>
    </font>
    <font>
      <sz val="8"/>
      <color theme="3"/>
      <name val="Century Gothic"/>
      <family val="2"/>
    </font>
    <font>
      <sz val="9"/>
      <color theme="1" tint="0.499984740745262"/>
      <name val="Bahnschrift SemiLight SemiConde"/>
      <family val="2"/>
    </font>
    <font>
      <b/>
      <sz val="11"/>
      <color theme="4"/>
      <name val="Calibri"/>
      <family val="2"/>
      <scheme val="minor"/>
    </font>
    <font>
      <sz val="12"/>
      <color rgb="FFFF0000"/>
      <name val="Calibri"/>
      <family val="2"/>
      <scheme val="minor"/>
    </font>
    <font>
      <b/>
      <sz val="8"/>
      <color theme="3"/>
      <name val="Arial"/>
      <family val="2"/>
    </font>
    <font>
      <b/>
      <sz val="12"/>
      <color theme="4"/>
      <name val="Arial"/>
      <family val="2"/>
    </font>
    <font>
      <b/>
      <sz val="9"/>
      <color theme="3"/>
      <name val="Arial"/>
      <family val="2"/>
    </font>
    <font>
      <sz val="11"/>
      <color theme="9"/>
      <name val="Calibri"/>
      <family val="2"/>
      <scheme val="minor"/>
    </font>
    <font>
      <sz val="10"/>
      <color theme="3" tint="0.39997558519241921"/>
      <name val="Bahnschrift SemiCondensed"/>
      <family val="2"/>
    </font>
    <font>
      <i/>
      <sz val="9"/>
      <color theme="3" tint="-0.249977111117893"/>
      <name val="Calibri"/>
      <family val="2"/>
    </font>
    <font>
      <b/>
      <sz val="12"/>
      <color theme="2"/>
      <name val="Calibri"/>
      <family val="2"/>
      <scheme val="minor"/>
    </font>
    <font>
      <sz val="10"/>
      <color theme="1"/>
      <name val="Calibri"/>
      <family val="2"/>
      <scheme val="minor"/>
    </font>
    <font>
      <sz val="10"/>
      <color theme="2"/>
      <name val="Calibri"/>
      <family val="2"/>
      <scheme val="minor"/>
    </font>
    <font>
      <sz val="9"/>
      <color theme="3"/>
      <name val="Bahnschrift SemiCondensed"/>
      <family val="2"/>
    </font>
    <font>
      <b/>
      <sz val="10"/>
      <color theme="2"/>
      <name val="Bahnschrift SemiCondensed"/>
      <family val="2"/>
    </font>
    <font>
      <sz val="9"/>
      <color theme="3" tint="0.39997558519241921"/>
      <name val="Bahnschrift SemiCondensed"/>
      <family val="2"/>
    </font>
    <font>
      <i/>
      <sz val="9"/>
      <color theme="3"/>
      <name val="Bahnschrift SemiCondensed"/>
      <family val="2"/>
    </font>
    <font>
      <sz val="10"/>
      <color theme="2"/>
      <name val="Bahnschrift SemiCondensed"/>
      <family val="2"/>
    </font>
    <font>
      <b/>
      <sz val="9"/>
      <color theme="0" tint="-4.9989318521683403E-2"/>
      <name val="Helvetica"/>
    </font>
    <font>
      <b/>
      <sz val="9"/>
      <color theme="4"/>
      <name val="Helvetica"/>
    </font>
    <font>
      <b/>
      <sz val="9"/>
      <color theme="0" tint="-0.14999847407452621"/>
      <name val="Helvetica"/>
    </font>
    <font>
      <sz val="9"/>
      <color theme="4"/>
      <name val="Helvetica"/>
    </font>
    <font>
      <sz val="9"/>
      <color theme="1" tint="4.9989318521683403E-2"/>
      <name val="Helvetica"/>
    </font>
    <font>
      <b/>
      <sz val="9"/>
      <color theme="1" tint="4.9989318521683403E-2"/>
      <name val="Helvetica"/>
    </font>
    <font>
      <sz val="9"/>
      <color theme="0" tint="-0.14999847407452621"/>
      <name val="Helvetica"/>
    </font>
    <font>
      <b/>
      <sz val="9"/>
      <color theme="5"/>
      <name val="Helvetica"/>
    </font>
    <font>
      <sz val="9"/>
      <color theme="5"/>
      <name val="Helvetica"/>
    </font>
    <font>
      <b/>
      <sz val="9"/>
      <color theme="0" tint="-0.34998626667073579"/>
      <name val="Helvetica"/>
    </font>
    <font>
      <sz val="11"/>
      <color theme="1"/>
      <name val="Helvetica"/>
    </font>
    <font>
      <b/>
      <sz val="9"/>
      <color theme="2"/>
      <name val="Helvetica"/>
    </font>
    <font>
      <sz val="9"/>
      <color theme="1"/>
      <name val="Helvetica"/>
    </font>
    <font>
      <sz val="10"/>
      <color theme="1" tint="0.14999847407452621"/>
      <name val="Helvetica"/>
    </font>
    <font>
      <b/>
      <sz val="16"/>
      <color theme="2"/>
      <name val="Helvetica"/>
    </font>
    <font>
      <sz val="11"/>
      <color theme="2"/>
      <name val="Helvetica"/>
    </font>
    <font>
      <b/>
      <sz val="12"/>
      <color theme="4"/>
      <name val="Helvetica"/>
    </font>
    <font>
      <b/>
      <sz val="11"/>
      <color theme="2"/>
      <name val="Helvetica"/>
    </font>
    <font>
      <b/>
      <sz val="12"/>
      <color theme="0"/>
      <name val="Helvetica"/>
    </font>
    <font>
      <b/>
      <sz val="14"/>
      <color theme="2"/>
      <name val="Helvetica"/>
    </font>
    <font>
      <i/>
      <sz val="11"/>
      <color theme="2"/>
      <name val="Helvetica"/>
    </font>
    <font>
      <b/>
      <sz val="12"/>
      <color theme="0" tint="-0.14999847407452621"/>
      <name val="Helvetica"/>
    </font>
    <font>
      <b/>
      <i/>
      <sz val="10"/>
      <color theme="1" tint="0.499984740745262"/>
      <name val="Calibri"/>
      <family val="2"/>
    </font>
    <font>
      <i/>
      <sz val="10"/>
      <color theme="3"/>
      <name val="Bahnschrift SemiCondensed"/>
      <family val="2"/>
    </font>
    <font>
      <i/>
      <sz val="9"/>
      <color theme="0"/>
      <name val="Arial"/>
      <family val="2"/>
    </font>
    <font>
      <sz val="9"/>
      <color theme="3"/>
      <name val="Helvetica"/>
    </font>
    <font>
      <sz val="9"/>
      <color theme="0" tint="-0.249977111117893"/>
      <name val="Calibri"/>
      <family val="2"/>
      <scheme val="minor"/>
    </font>
    <font>
      <b/>
      <sz val="9"/>
      <color theme="0"/>
      <name val="Calibri"/>
      <family val="2"/>
      <scheme val="minor"/>
    </font>
    <font>
      <sz val="9"/>
      <color theme="0" tint="-0.14999847407452621"/>
      <name val="Bahnschrift SemiCondensed"/>
      <family val="2"/>
    </font>
    <font>
      <sz val="9"/>
      <color rgb="FFE1E1E1"/>
      <name val="Bahnschrift SemiCondensed"/>
      <family val="2"/>
    </font>
    <font>
      <sz val="9"/>
      <color theme="0"/>
      <name val="Calibri"/>
      <family val="2"/>
      <scheme val="minor"/>
    </font>
    <font>
      <sz val="9"/>
      <color theme="2"/>
      <name val="Calibri"/>
      <family val="2"/>
      <scheme val="minor"/>
    </font>
    <font>
      <sz val="9"/>
      <color theme="0" tint="-0.14999847407452621"/>
      <name val="Calibri"/>
      <family val="2"/>
      <scheme val="minor"/>
    </font>
    <font>
      <sz val="10"/>
      <color theme="1" tint="0.499984740745262"/>
      <name val="Bahnschrift SemiLight SemiConde"/>
      <family val="2"/>
    </font>
    <font>
      <sz val="10"/>
      <color theme="1" tint="0.499984740745262"/>
      <name val="Bahnschrift SemiBold SemiConden"/>
      <family val="2"/>
    </font>
    <font>
      <sz val="9"/>
      <color theme="2"/>
      <name val="Bahnschrift SemiBold SemiConden"/>
      <family val="2"/>
    </font>
    <font>
      <sz val="9"/>
      <color theme="3"/>
      <name val="Bahnschrift SemiBold SemiConden"/>
      <family val="2"/>
    </font>
    <font>
      <sz val="10"/>
      <color theme="3"/>
      <name val="Bahnschrift SemiBold SemiConden"/>
      <family val="2"/>
    </font>
    <font>
      <sz val="9"/>
      <color theme="3"/>
      <name val="Bahnschrift SemiLight SemiConde"/>
      <family val="2"/>
    </font>
    <font>
      <b/>
      <sz val="9"/>
      <color theme="1" tint="0.499984740745262"/>
      <name val="Calibri"/>
      <family val="2"/>
      <scheme val="minor"/>
    </font>
    <font>
      <i/>
      <sz val="8"/>
      <color theme="3" tint="0.39997558519241921"/>
      <name val="Bahnschrift SemiCondensed"/>
      <family val="2"/>
    </font>
    <font>
      <i/>
      <sz val="8"/>
      <color theme="3" tint="0.39997558519241921"/>
      <name val="Arial"/>
      <family val="2"/>
    </font>
    <font>
      <i/>
      <sz val="9"/>
      <color theme="3" tint="0.39997558519241921"/>
      <name val="Bahnschrift SemiCondensed"/>
      <family val="2"/>
    </font>
    <font>
      <sz val="8"/>
      <color theme="9"/>
      <name val="Century Gothic"/>
      <family val="2"/>
    </font>
    <font>
      <b/>
      <sz val="9"/>
      <color theme="2" tint="0.39997558519241921"/>
      <name val="Helvetica"/>
    </font>
    <font>
      <b/>
      <sz val="9"/>
      <color theme="3" tint="0.59999389629810485"/>
      <name val="Helvetica"/>
    </font>
    <font>
      <sz val="11"/>
      <color theme="3" tint="0.59999389629810485"/>
      <name val="Helvetica"/>
    </font>
    <font>
      <sz val="9"/>
      <color theme="3" tint="0.59999389629810485"/>
      <name val="Helvetica"/>
    </font>
    <font>
      <b/>
      <sz val="8"/>
      <color theme="2" tint="0.39997558519241921"/>
      <name val="Helvetica"/>
    </font>
    <font>
      <sz val="11"/>
      <color theme="2" tint="0.39997558519241921"/>
      <name val="Helvetica"/>
    </font>
    <font>
      <b/>
      <sz val="11"/>
      <color theme="8"/>
      <name val="Century Gothic"/>
      <family val="2"/>
    </font>
    <font>
      <sz val="8"/>
      <color theme="4"/>
      <name val="Helvetica"/>
    </font>
    <font>
      <i/>
      <sz val="10"/>
      <color theme="5"/>
      <name val="Calibri"/>
      <family val="2"/>
      <scheme val="minor"/>
    </font>
    <font>
      <b/>
      <sz val="11"/>
      <color theme="1"/>
      <name val="Calibri"/>
      <family val="2"/>
      <scheme val="minor"/>
    </font>
    <font>
      <b/>
      <sz val="11"/>
      <color theme="5"/>
      <name val="Century Gothic"/>
      <family val="2"/>
    </font>
    <font>
      <b/>
      <sz val="11"/>
      <color theme="5"/>
      <name val="Calibri"/>
      <family val="2"/>
      <scheme val="minor"/>
    </font>
    <font>
      <b/>
      <i/>
      <sz val="12"/>
      <color theme="5"/>
      <name val="Century Gothic"/>
      <family val="2"/>
    </font>
    <font>
      <b/>
      <sz val="36"/>
      <color theme="3"/>
      <name val="Arial"/>
      <family val="2"/>
    </font>
    <font>
      <sz val="8"/>
      <color theme="2"/>
      <name val="Arial Narrow"/>
      <family val="2"/>
    </font>
    <font>
      <i/>
      <sz val="10"/>
      <color theme="3"/>
      <name val="Calibri"/>
      <family val="2"/>
    </font>
    <font>
      <b/>
      <sz val="12"/>
      <color rgb="FF000000"/>
      <name val="Roboto"/>
    </font>
    <font>
      <sz val="12"/>
      <color rgb="FF000000"/>
      <name val="Roboto"/>
    </font>
    <font>
      <b/>
      <sz val="12"/>
      <color theme="5"/>
      <name val="Century Gothic"/>
      <family val="2"/>
    </font>
    <font>
      <b/>
      <sz val="13"/>
      <color rgb="FF000000"/>
      <name val="Roboto"/>
    </font>
  </fonts>
  <fills count="2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83232"/>
        <bgColor indexed="64"/>
      </patternFill>
    </fill>
    <fill>
      <patternFill patternType="solid">
        <fgColor rgb="FF232323"/>
        <bgColor indexed="64"/>
      </patternFill>
    </fill>
    <fill>
      <patternFill patternType="solid">
        <fgColor theme="1" tint="4.9989318521683403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8"/>
        <bgColor indexed="64"/>
      </patternFill>
    </fill>
    <fill>
      <patternFill patternType="solid">
        <fgColor rgb="FF07091F"/>
        <bgColor indexed="64"/>
      </patternFill>
    </fill>
    <fill>
      <patternFill patternType="solid">
        <fgColor theme="7"/>
        <bgColor indexed="64"/>
      </patternFill>
    </fill>
    <fill>
      <patternFill patternType="solid">
        <fgColor theme="9"/>
        <bgColor indexed="64"/>
      </patternFill>
    </fill>
    <fill>
      <patternFill patternType="solid">
        <fgColor theme="1" tint="0.749992370372631"/>
        <bgColor indexed="64"/>
      </patternFill>
    </fill>
    <fill>
      <patternFill patternType="solid">
        <fgColor rgb="FF0F1013"/>
        <bgColor indexed="64"/>
      </patternFill>
    </fill>
    <fill>
      <patternFill patternType="solid">
        <fgColor theme="4"/>
        <bgColor indexed="64"/>
      </patternFill>
    </fill>
    <fill>
      <patternFill patternType="solid">
        <fgColor rgb="FF0A0D2C"/>
        <bgColor indexed="64"/>
      </patternFill>
    </fill>
    <fill>
      <patternFill patternType="solid">
        <fgColor theme="6"/>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9.9978637043366805E-2"/>
        <bgColor indexed="64"/>
      </patternFill>
    </fill>
    <fill>
      <patternFill patternType="solid">
        <fgColor rgb="FFFFC000"/>
        <bgColor indexed="64"/>
      </patternFill>
    </fill>
    <fill>
      <patternFill patternType="solid">
        <fgColor theme="7"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top/>
      <bottom style="thin">
        <color rgb="FF373737"/>
      </bottom>
      <diagonal/>
    </border>
    <border>
      <left style="thin">
        <color rgb="FF1E1E1E"/>
      </left>
      <right style="thin">
        <color rgb="FF1E1E1E"/>
      </right>
      <top/>
      <bottom/>
      <diagonal/>
    </border>
    <border>
      <left style="thin">
        <color rgb="FF2D2D2D"/>
      </left>
      <right/>
      <top style="thin">
        <color theme="1" tint="0.14996795556505021"/>
      </top>
      <bottom style="thin">
        <color theme="1" tint="0.14996795556505021"/>
      </bottom>
      <diagonal/>
    </border>
    <border>
      <left style="thin">
        <color rgb="FF2D2D2D"/>
      </left>
      <right/>
      <top style="thin">
        <color theme="0" tint="-0.34998626667073579"/>
      </top>
      <bottom style="thin">
        <color theme="0" tint="-0.34998626667073579"/>
      </bottom>
      <diagonal/>
    </border>
    <border>
      <left/>
      <right style="thin">
        <color theme="0" tint="-0.14996795556505021"/>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34998626667073579"/>
      </top>
      <bottom style="thin">
        <color theme="0" tint="-0.34998626667073579"/>
      </bottom>
      <diagonal/>
    </border>
    <border>
      <left style="thin">
        <color theme="0" tint="-0.14996795556505021"/>
      </left>
      <right style="thin">
        <color theme="0" tint="-0.24994659260841701"/>
      </right>
      <top style="thin">
        <color theme="0" tint="-0.34998626667073579"/>
      </top>
      <bottom style="thin">
        <color theme="0" tint="-0.34998626667073579"/>
      </bottom>
      <diagonal/>
    </border>
    <border>
      <left/>
      <right/>
      <top style="thin">
        <color theme="2" tint="-0.89996032593768116"/>
      </top>
      <bottom/>
      <diagonal/>
    </border>
    <border>
      <left style="thin">
        <color rgb="FF1E1E1E"/>
      </left>
      <right/>
      <top/>
      <bottom/>
      <diagonal/>
    </border>
    <border>
      <left/>
      <right style="thin">
        <color theme="3" tint="-0.24994659260841701"/>
      </right>
      <top style="thin">
        <color theme="8"/>
      </top>
      <bottom style="thin">
        <color theme="8"/>
      </bottom>
      <diagonal/>
    </border>
    <border>
      <left style="thin">
        <color theme="3" tint="-0.24994659260841701"/>
      </left>
      <right style="thin">
        <color theme="3" tint="-0.24994659260841701"/>
      </right>
      <top style="thin">
        <color theme="8"/>
      </top>
      <bottom style="thin">
        <color theme="8"/>
      </bottom>
      <diagonal/>
    </border>
    <border>
      <left style="thin">
        <color theme="3" tint="-0.24994659260841701"/>
      </left>
      <right style="thin">
        <color theme="3" tint="-0.24994659260841701"/>
      </right>
      <top style="thin">
        <color theme="8"/>
      </top>
      <bottom style="thin">
        <color rgb="FF232323"/>
      </bottom>
      <diagonal/>
    </border>
    <border>
      <left style="thin">
        <color theme="3" tint="-0.24994659260841701"/>
      </left>
      <right style="thin">
        <color rgb="FF464646"/>
      </right>
      <top style="thin">
        <color theme="8"/>
      </top>
      <bottom style="thin">
        <color rgb="FF232323"/>
      </bottom>
      <diagonal/>
    </border>
    <border>
      <left style="thin">
        <color theme="8"/>
      </left>
      <right style="thin">
        <color theme="8"/>
      </right>
      <top/>
      <bottom style="thin">
        <color theme="9"/>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tint="-0.24994659260841701"/>
      </left>
      <right style="thin">
        <color theme="0" tint="-0.24994659260841701"/>
      </right>
      <top style="thin">
        <color theme="0" tint="-0.499984740745262"/>
      </top>
      <bottom/>
      <diagonal/>
    </border>
    <border>
      <left style="thin">
        <color theme="9"/>
      </left>
      <right style="thin">
        <color theme="6"/>
      </right>
      <top style="thin">
        <color theme="9"/>
      </top>
      <bottom style="thin">
        <color theme="9"/>
      </bottom>
      <diagonal/>
    </border>
    <border>
      <left style="thin">
        <color theme="6"/>
      </left>
      <right style="thin">
        <color theme="6"/>
      </right>
      <top style="thin">
        <color theme="9"/>
      </top>
      <bottom style="thin">
        <color theme="9"/>
      </bottom>
      <diagonal/>
    </border>
    <border>
      <left style="thin">
        <color theme="0" tint="-0.24994659260841701"/>
      </left>
      <right/>
      <top style="thin">
        <color theme="0" tint="-0.499984740745262"/>
      </top>
      <bottom/>
      <diagonal/>
    </border>
    <border>
      <left style="thin">
        <color theme="6"/>
      </left>
      <right/>
      <top style="thin">
        <color theme="9"/>
      </top>
      <bottom style="thin">
        <color theme="9"/>
      </bottom>
      <diagonal/>
    </border>
    <border>
      <left style="thin">
        <color theme="9"/>
      </left>
      <right style="thin">
        <color theme="3" tint="-0.24994659260841701"/>
      </right>
      <top style="thin">
        <color rgb="FF373737"/>
      </top>
      <bottom style="thin">
        <color theme="9"/>
      </bottom>
      <diagonal/>
    </border>
    <border>
      <left style="thin">
        <color theme="3" tint="-0.24994659260841701"/>
      </left>
      <right style="thin">
        <color theme="3" tint="-0.24994659260841701"/>
      </right>
      <top style="thin">
        <color rgb="FF373737"/>
      </top>
      <bottom style="thin">
        <color theme="9"/>
      </bottom>
      <diagonal/>
    </border>
    <border>
      <left style="thin">
        <color theme="3" tint="-0.24994659260841701"/>
      </left>
      <right style="thin">
        <color theme="9"/>
      </right>
      <top style="thin">
        <color rgb="FF373737"/>
      </top>
      <bottom style="thin">
        <color theme="9"/>
      </bottom>
      <diagonal/>
    </border>
    <border>
      <left style="thin">
        <color theme="9"/>
      </left>
      <right style="thin">
        <color theme="3" tint="-0.24994659260841701"/>
      </right>
      <top style="thin">
        <color theme="9"/>
      </top>
      <bottom style="thin">
        <color theme="9"/>
      </bottom>
      <diagonal/>
    </border>
    <border>
      <left style="thin">
        <color theme="3" tint="-0.24994659260841701"/>
      </left>
      <right style="thin">
        <color theme="3" tint="-0.24994659260841701"/>
      </right>
      <top style="thin">
        <color theme="9"/>
      </top>
      <bottom style="thin">
        <color theme="9"/>
      </bottom>
      <diagonal/>
    </border>
    <border>
      <left style="thin">
        <color theme="3" tint="-0.24994659260841701"/>
      </left>
      <right style="thin">
        <color theme="9"/>
      </right>
      <top style="thin">
        <color theme="9"/>
      </top>
      <bottom style="thin">
        <color theme="9"/>
      </bottom>
      <diagonal/>
    </border>
    <border>
      <left/>
      <right/>
      <top style="thin">
        <color indexed="64"/>
      </top>
      <bottom style="thin">
        <color indexed="64"/>
      </bottom>
      <diagonal/>
    </border>
    <border>
      <left/>
      <right/>
      <top/>
      <bottom style="medium">
        <color theme="6"/>
      </bottom>
      <diagonal/>
    </border>
    <border>
      <left/>
      <right/>
      <top style="thin">
        <color theme="8"/>
      </top>
      <bottom style="thin">
        <color theme="8"/>
      </bottom>
      <diagonal/>
    </border>
    <border>
      <left style="thin">
        <color theme="3" tint="-0.24994659260841701"/>
      </left>
      <right/>
      <top style="thin">
        <color theme="8"/>
      </top>
      <bottom style="thin">
        <color theme="8"/>
      </bottom>
      <diagonal/>
    </border>
    <border>
      <left/>
      <right style="thin">
        <color theme="3" tint="-0.24994659260841701"/>
      </right>
      <top/>
      <bottom style="thin">
        <color theme="8"/>
      </bottom>
      <diagonal/>
    </border>
    <border>
      <left style="thin">
        <color theme="3" tint="-0.24994659260841701"/>
      </left>
      <right/>
      <top/>
      <bottom style="thin">
        <color theme="8"/>
      </bottom>
      <diagonal/>
    </border>
    <border>
      <left/>
      <right style="thin">
        <color theme="3" tint="-0.24994659260841701"/>
      </right>
      <top style="thin">
        <color theme="8"/>
      </top>
      <bottom style="thin">
        <color theme="1" tint="0.14996795556505021"/>
      </bottom>
      <diagonal/>
    </border>
    <border>
      <left style="thin">
        <color theme="3" tint="-0.24994659260841701"/>
      </left>
      <right/>
      <top style="thin">
        <color theme="8"/>
      </top>
      <bottom style="thin">
        <color theme="1" tint="0.14996795556505021"/>
      </bottom>
      <diagonal/>
    </border>
    <border>
      <left style="thick">
        <color theme="9"/>
      </left>
      <right style="thin">
        <color theme="3" tint="-0.24994659260841701"/>
      </right>
      <top/>
      <bottom style="thin">
        <color theme="8"/>
      </bottom>
      <diagonal/>
    </border>
    <border>
      <left style="thick">
        <color theme="9"/>
      </left>
      <right style="thin">
        <color theme="3" tint="-0.24994659260841701"/>
      </right>
      <top style="thin">
        <color theme="8"/>
      </top>
      <bottom style="thin">
        <color theme="8"/>
      </bottom>
      <diagonal/>
    </border>
    <border>
      <left style="thick">
        <color theme="9"/>
      </left>
      <right style="thin">
        <color theme="3" tint="-0.24994659260841701"/>
      </right>
      <top style="thin">
        <color theme="8"/>
      </top>
      <bottom style="thin">
        <color theme="1" tint="0.14996795556505021"/>
      </bottom>
      <diagonal/>
    </border>
    <border>
      <left style="medium">
        <color theme="9"/>
      </left>
      <right style="medium">
        <color theme="9"/>
      </right>
      <top style="medium">
        <color theme="9"/>
      </top>
      <bottom style="medium">
        <color theme="9"/>
      </bottom>
      <diagonal/>
    </border>
    <border>
      <left style="medium">
        <color theme="8"/>
      </left>
      <right style="medium">
        <color theme="8"/>
      </right>
      <top style="medium">
        <color theme="8"/>
      </top>
      <bottom style="medium">
        <color theme="8"/>
      </bottom>
      <diagonal/>
    </border>
    <border>
      <left style="thick">
        <color theme="4"/>
      </left>
      <right style="thick">
        <color theme="4"/>
      </right>
      <top style="thick">
        <color theme="4"/>
      </top>
      <bottom style="thick">
        <color theme="4"/>
      </bottom>
      <diagonal/>
    </border>
    <border>
      <left style="thin">
        <color indexed="64"/>
      </left>
      <right style="thin">
        <color indexed="64"/>
      </right>
      <top style="thin">
        <color indexed="64"/>
      </top>
      <bottom/>
      <diagonal/>
    </border>
    <border>
      <left style="thin">
        <color theme="6"/>
      </left>
      <right style="thin">
        <color theme="9"/>
      </right>
      <top style="thin">
        <color theme="9"/>
      </top>
      <bottom style="thin">
        <color theme="9"/>
      </bottom>
      <diagonal/>
    </border>
    <border>
      <left/>
      <right/>
      <top/>
      <bottom style="thin">
        <color theme="9"/>
      </bottom>
      <diagonal/>
    </border>
    <border>
      <left/>
      <right/>
      <top style="thin">
        <color theme="9"/>
      </top>
      <bottom style="thin">
        <color theme="9"/>
      </bottom>
      <diagonal/>
    </border>
    <border>
      <left/>
      <right/>
      <top style="thin">
        <color theme="9"/>
      </top>
      <bottom/>
      <diagonal/>
    </border>
    <border>
      <left/>
      <right/>
      <top style="thin">
        <color theme="2" tint="-0.89992980742820516"/>
      </top>
      <bottom/>
      <diagonal/>
    </border>
    <border>
      <left/>
      <right style="thin">
        <color rgb="FF1E1E1E"/>
      </right>
      <top/>
      <bottom/>
      <diagonal/>
    </border>
    <border>
      <left style="thin">
        <color theme="2" tint="-0.89996032593768116"/>
      </left>
      <right style="thin">
        <color rgb="FF1E1E1E"/>
      </right>
      <top/>
      <bottom/>
      <diagonal/>
    </border>
    <border>
      <left style="thin">
        <color theme="8"/>
      </left>
      <right style="thin">
        <color theme="2" tint="-0.89996032593768116"/>
      </right>
      <top/>
      <bottom style="thin">
        <color theme="9"/>
      </bottom>
      <diagonal/>
    </border>
    <border>
      <left style="thin">
        <color indexed="64"/>
      </left>
      <right/>
      <top style="thin">
        <color indexed="64"/>
      </top>
      <bottom/>
      <diagonal/>
    </border>
    <border>
      <left/>
      <right style="thin">
        <color indexed="64"/>
      </right>
      <top style="thin">
        <color indexed="64"/>
      </top>
      <bottom/>
      <diagonal/>
    </border>
    <border>
      <left style="thick">
        <color theme="9"/>
      </left>
      <right style="thick">
        <color theme="9"/>
      </right>
      <top style="thick">
        <color theme="9"/>
      </top>
      <bottom/>
      <diagonal/>
    </border>
    <border>
      <left style="thick">
        <color theme="9"/>
      </left>
      <right style="thick">
        <color theme="9"/>
      </right>
      <top/>
      <bottom/>
      <diagonal/>
    </border>
    <border>
      <left style="thick">
        <color theme="9"/>
      </left>
      <right style="thick">
        <color theme="9"/>
      </right>
      <top/>
      <bottom style="thick">
        <color theme="9"/>
      </bottom>
      <diagonal/>
    </border>
    <border>
      <left/>
      <right/>
      <top style="medium">
        <color theme="6"/>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13">
    <xf numFmtId="0" fontId="0" fillId="0" borderId="0"/>
    <xf numFmtId="43" fontId="1" fillId="0" borderId="0" applyFont="0" applyFill="0" applyBorder="0" applyAlignment="0" applyProtection="0"/>
    <xf numFmtId="0" fontId="4" fillId="0" borderId="0"/>
    <xf numFmtId="43" fontId="6" fillId="0" borderId="0"/>
    <xf numFmtId="0" fontId="9" fillId="0" borderId="0" applyNumberFormat="0" applyFill="0" applyBorder="0" applyAlignment="0" applyProtection="0"/>
    <xf numFmtId="0" fontId="6" fillId="0" borderId="0"/>
    <xf numFmtId="0" fontId="6" fillId="0" borderId="0"/>
    <xf numFmtId="43" fontId="4" fillId="0" borderId="0"/>
    <xf numFmtId="0" fontId="4" fillId="0" borderId="0"/>
    <xf numFmtId="0" fontId="4" fillId="0" borderId="0"/>
    <xf numFmtId="9" fontId="1" fillId="0" borderId="0" applyFont="0" applyFill="0" applyBorder="0" applyAlignment="0" applyProtection="0"/>
    <xf numFmtId="0" fontId="47" fillId="0" borderId="0" applyNumberFormat="0" applyFill="0" applyBorder="0" applyAlignment="0" applyProtection="0"/>
    <xf numFmtId="44" fontId="1" fillId="0" borderId="0" applyFont="0" applyFill="0" applyBorder="0" applyAlignment="0" applyProtection="0"/>
  </cellStyleXfs>
  <cellXfs count="815">
    <xf numFmtId="0" fontId="0" fillId="0" borderId="0" xfId="0"/>
    <xf numFmtId="0" fontId="3" fillId="0" borderId="0" xfId="0" applyFont="1"/>
    <xf numFmtId="0" fontId="34" fillId="3" borderId="0" xfId="0" applyFont="1" applyFill="1" applyAlignment="1">
      <alignment vertical="center"/>
    </xf>
    <xf numFmtId="0" fontId="36" fillId="3" borderId="0" xfId="0" applyFont="1" applyFill="1" applyAlignment="1">
      <alignment vertical="center"/>
    </xf>
    <xf numFmtId="43" fontId="37" fillId="3" borderId="0" xfId="1" applyFont="1" applyFill="1" applyAlignment="1">
      <alignment vertical="center"/>
    </xf>
    <xf numFmtId="14" fontId="39" fillId="3" borderId="0" xfId="0" applyNumberFormat="1" applyFont="1" applyFill="1" applyAlignment="1">
      <alignment vertical="top"/>
    </xf>
    <xf numFmtId="0" fontId="38" fillId="3" borderId="0" xfId="0" applyFont="1" applyFill="1" applyAlignment="1" applyProtection="1">
      <alignment horizontal="right"/>
      <protection hidden="1"/>
    </xf>
    <xf numFmtId="0" fontId="40" fillId="0" borderId="0" xfId="0" applyFont="1" applyProtection="1">
      <protection hidden="1"/>
    </xf>
    <xf numFmtId="0" fontId="41" fillId="0" borderId="0" xfId="0" applyFont="1"/>
    <xf numFmtId="0" fontId="3" fillId="0" borderId="0" xfId="0" applyFont="1" applyAlignment="1">
      <alignment horizontal="center"/>
    </xf>
    <xf numFmtId="0" fontId="32" fillId="0" borderId="0" xfId="0" applyFont="1"/>
    <xf numFmtId="0" fontId="42" fillId="0" borderId="0" xfId="0" applyFont="1"/>
    <xf numFmtId="0" fontId="44" fillId="0" borderId="0" xfId="0" applyFont="1"/>
    <xf numFmtId="0" fontId="3" fillId="0" borderId="0" xfId="0" applyFont="1" applyProtection="1">
      <protection hidden="1"/>
    </xf>
    <xf numFmtId="14" fontId="0" fillId="0" borderId="0" xfId="0" applyNumberFormat="1"/>
    <xf numFmtId="0" fontId="0" fillId="0" borderId="0" xfId="0" applyAlignment="1">
      <alignment horizontal="center"/>
    </xf>
    <xf numFmtId="43" fontId="0" fillId="0" borderId="0" xfId="1" applyFont="1"/>
    <xf numFmtId="43" fontId="0" fillId="0" borderId="0" xfId="0" applyNumberFormat="1"/>
    <xf numFmtId="0" fontId="0" fillId="0" borderId="0" xfId="0" applyAlignment="1">
      <alignment horizontal="right"/>
    </xf>
    <xf numFmtId="0" fontId="0" fillId="9" borderId="0" xfId="0" applyFill="1"/>
    <xf numFmtId="10" fontId="0" fillId="0" borderId="0" xfId="10" applyNumberFormat="1" applyFont="1"/>
    <xf numFmtId="9" fontId="0" fillId="0" borderId="0" xfId="10" applyFont="1"/>
    <xf numFmtId="0" fontId="0" fillId="9" borderId="1" xfId="0" applyFill="1" applyBorder="1"/>
    <xf numFmtId="44" fontId="0" fillId="0" borderId="0" xfId="0" applyNumberFormat="1"/>
    <xf numFmtId="9" fontId="0" fillId="0" borderId="0" xfId="10" applyFont="1" applyAlignment="1">
      <alignment horizontal="center"/>
    </xf>
    <xf numFmtId="43" fontId="0" fillId="0" borderId="0" xfId="1" applyFont="1" applyAlignment="1">
      <alignment horizontal="center"/>
    </xf>
    <xf numFmtId="185" fontId="0" fillId="0" borderId="0" xfId="1" applyNumberFormat="1" applyFont="1" applyAlignment="1">
      <alignment horizontal="center"/>
    </xf>
    <xf numFmtId="185" fontId="0" fillId="0" borderId="0" xfId="0" applyNumberFormat="1"/>
    <xf numFmtId="168" fontId="0" fillId="0" borderId="0" xfId="0" applyNumberFormat="1"/>
    <xf numFmtId="10" fontId="68" fillId="0" borderId="0" xfId="10" applyNumberFormat="1" applyFont="1"/>
    <xf numFmtId="0" fontId="124" fillId="8" borderId="0" xfId="0" applyFont="1" applyFill="1" applyAlignment="1">
      <alignment horizontal="center" vertical="center"/>
    </xf>
    <xf numFmtId="10" fontId="8" fillId="8" borderId="0" xfId="5" applyNumberFormat="1" applyFont="1" applyFill="1" applyProtection="1">
      <protection hidden="1"/>
    </xf>
    <xf numFmtId="0" fontId="0" fillId="0" borderId="1" xfId="0" applyBorder="1"/>
    <xf numFmtId="0" fontId="0" fillId="6" borderId="0" xfId="0" applyFill="1"/>
    <xf numFmtId="0" fontId="132" fillId="0" borderId="0" xfId="0" applyFont="1"/>
    <xf numFmtId="14" fontId="0" fillId="0" borderId="1" xfId="0" applyNumberFormat="1" applyBorder="1"/>
    <xf numFmtId="169" fontId="0" fillId="0" borderId="1" xfId="10" applyNumberFormat="1" applyFont="1" applyBorder="1"/>
    <xf numFmtId="10" fontId="0" fillId="0" borderId="1" xfId="10" applyNumberFormat="1" applyFont="1" applyBorder="1"/>
    <xf numFmtId="172" fontId="0" fillId="0" borderId="1" xfId="1" applyNumberFormat="1" applyFont="1" applyBorder="1"/>
    <xf numFmtId="169" fontId="0" fillId="0" borderId="1" xfId="0" applyNumberFormat="1" applyBorder="1"/>
    <xf numFmtId="0" fontId="0" fillId="0" borderId="0" xfId="0" applyAlignment="1">
      <alignment horizontal="left"/>
    </xf>
    <xf numFmtId="0" fontId="125" fillId="8" borderId="0" xfId="2" applyFont="1" applyFill="1" applyAlignment="1" applyProtection="1">
      <alignment vertical="center"/>
      <protection hidden="1"/>
    </xf>
    <xf numFmtId="1" fontId="0" fillId="9" borderId="0" xfId="0" applyNumberFormat="1" applyFill="1"/>
    <xf numFmtId="0" fontId="125" fillId="8" borderId="6" xfId="2" applyFont="1" applyFill="1" applyBorder="1" applyAlignment="1" applyProtection="1">
      <alignment vertical="center"/>
      <protection hidden="1"/>
    </xf>
    <xf numFmtId="44" fontId="0" fillId="0" borderId="1" xfId="0" applyNumberFormat="1" applyBorder="1"/>
    <xf numFmtId="172" fontId="0" fillId="0" borderId="0" xfId="0" applyNumberFormat="1"/>
    <xf numFmtId="43" fontId="152" fillId="4" borderId="2" xfId="1" applyFont="1" applyFill="1" applyBorder="1" applyAlignment="1" applyProtection="1">
      <alignment horizontal="left" vertical="center"/>
      <protection hidden="1"/>
    </xf>
    <xf numFmtId="10" fontId="8" fillId="10" borderId="0" xfId="5" applyNumberFormat="1" applyFont="1" applyFill="1" applyProtection="1">
      <protection hidden="1"/>
    </xf>
    <xf numFmtId="10" fontId="71" fillId="4" borderId="4" xfId="5" applyNumberFormat="1" applyFont="1" applyFill="1" applyBorder="1" applyAlignment="1" applyProtection="1">
      <alignment horizontal="center" vertical="center"/>
      <protection hidden="1"/>
    </xf>
    <xf numFmtId="0" fontId="125" fillId="10" borderId="0" xfId="2" applyFont="1" applyFill="1" applyAlignment="1" applyProtection="1">
      <alignment vertical="center"/>
      <protection hidden="1"/>
    </xf>
    <xf numFmtId="176" fontId="71" fillId="4" borderId="9" xfId="0" applyNumberFormat="1" applyFont="1" applyFill="1" applyBorder="1" applyAlignment="1">
      <alignment horizontal="center" vertical="center"/>
    </xf>
    <xf numFmtId="0" fontId="147" fillId="4" borderId="10" xfId="9" applyFont="1" applyFill="1" applyBorder="1" applyAlignment="1">
      <alignment horizontal="center" vertical="center"/>
    </xf>
    <xf numFmtId="43" fontId="88" fillId="4" borderId="10" xfId="1" applyFont="1" applyFill="1" applyBorder="1" applyAlignment="1" applyProtection="1">
      <alignment vertical="center"/>
    </xf>
    <xf numFmtId="0" fontId="88" fillId="4" borderId="10" xfId="0" applyFont="1" applyFill="1" applyBorder="1" applyAlignment="1">
      <alignment horizontal="center" vertical="center"/>
    </xf>
    <xf numFmtId="175" fontId="88" fillId="4" borderId="10" xfId="0" applyNumberFormat="1" applyFont="1" applyFill="1" applyBorder="1" applyAlignment="1">
      <alignment vertical="center"/>
    </xf>
    <xf numFmtId="176" fontId="88" fillId="4" borderId="10" xfId="0" applyNumberFormat="1" applyFont="1" applyFill="1" applyBorder="1" applyAlignment="1">
      <alignment horizontal="center" vertical="center"/>
    </xf>
    <xf numFmtId="2" fontId="88" fillId="4" borderId="10" xfId="0" applyNumberFormat="1" applyFont="1" applyFill="1" applyBorder="1" applyAlignment="1">
      <alignment vertical="center"/>
    </xf>
    <xf numFmtId="179" fontId="88" fillId="4" borderId="11" xfId="0" applyNumberFormat="1" applyFont="1" applyFill="1" applyBorder="1" applyAlignment="1">
      <alignment vertical="center"/>
    </xf>
    <xf numFmtId="43" fontId="89" fillId="4" borderId="3" xfId="1" applyFont="1" applyFill="1" applyBorder="1" applyAlignment="1" applyProtection="1">
      <alignment horizontal="center" vertical="center"/>
    </xf>
    <xf numFmtId="0" fontId="153" fillId="5" borderId="8" xfId="0" applyFont="1" applyFill="1" applyBorder="1" applyAlignment="1">
      <alignment horizontal="center" vertical="center"/>
    </xf>
    <xf numFmtId="0" fontId="34" fillId="3" borderId="0" xfId="1" applyNumberFormat="1" applyFont="1" applyFill="1" applyAlignment="1">
      <alignment vertical="center"/>
    </xf>
    <xf numFmtId="14" fontId="53" fillId="0" borderId="0" xfId="0" applyNumberFormat="1" applyFont="1" applyAlignment="1" applyProtection="1">
      <alignment horizontal="center" vertical="center"/>
      <protection hidden="1"/>
    </xf>
    <xf numFmtId="0" fontId="50" fillId="0" borderId="0" xfId="0" applyFont="1"/>
    <xf numFmtId="0" fontId="52" fillId="0" borderId="0" xfId="11" applyFont="1" applyAlignment="1"/>
    <xf numFmtId="0" fontId="5" fillId="0" borderId="0" xfId="0" applyFont="1"/>
    <xf numFmtId="43" fontId="37" fillId="3" borderId="0" xfId="1" applyFont="1" applyFill="1" applyAlignment="1">
      <alignment horizontal="center" vertical="center"/>
    </xf>
    <xf numFmtId="0" fontId="34" fillId="0" borderId="0" xfId="0" applyFont="1" applyAlignment="1">
      <alignment vertical="center"/>
    </xf>
    <xf numFmtId="0" fontId="35" fillId="3" borderId="0" xfId="0" applyFont="1" applyFill="1" applyAlignment="1">
      <alignment horizontal="right" vertical="center"/>
    </xf>
    <xf numFmtId="14" fontId="53" fillId="0" borderId="0" xfId="0" applyNumberFormat="1" applyFont="1" applyAlignment="1" applyProtection="1">
      <alignment vertical="center"/>
      <protection hidden="1"/>
    </xf>
    <xf numFmtId="0" fontId="129" fillId="0" borderId="0" xfId="0" applyFont="1" applyAlignment="1">
      <alignment horizontal="left"/>
    </xf>
    <xf numFmtId="0" fontId="155" fillId="0" borderId="0" xfId="0" applyFont="1" applyAlignment="1">
      <alignment vertical="center"/>
    </xf>
    <xf numFmtId="0" fontId="51" fillId="0" borderId="0" xfId="0" applyFont="1"/>
    <xf numFmtId="0" fontId="43" fillId="0" borderId="0" xfId="0" applyFont="1"/>
    <xf numFmtId="0" fontId="156" fillId="0" borderId="0" xfId="0" applyFont="1"/>
    <xf numFmtId="0" fontId="157" fillId="0" borderId="0" xfId="0" applyFont="1"/>
    <xf numFmtId="0" fontId="159" fillId="0" borderId="0" xfId="0" applyFont="1"/>
    <xf numFmtId="0" fontId="160" fillId="0" borderId="0" xfId="0" applyFont="1"/>
    <xf numFmtId="0" fontId="161" fillId="0" borderId="0" xfId="0" applyFont="1"/>
    <xf numFmtId="0" fontId="158" fillId="0" borderId="0" xfId="0" applyFont="1"/>
    <xf numFmtId="0" fontId="0" fillId="0" borderId="0" xfId="0" applyAlignment="1">
      <alignment horizontal="center" vertical="center"/>
    </xf>
    <xf numFmtId="43" fontId="150" fillId="4" borderId="3" xfId="1" applyFont="1" applyFill="1" applyBorder="1" applyAlignment="1" applyProtection="1">
      <alignment horizontal="right" vertical="center"/>
      <protection hidden="1"/>
    </xf>
    <xf numFmtId="43" fontId="148" fillId="4" borderId="3" xfId="1" applyFont="1" applyFill="1" applyBorder="1" applyAlignment="1" applyProtection="1">
      <alignment horizontal="right" vertical="center"/>
      <protection hidden="1"/>
    </xf>
    <xf numFmtId="43" fontId="125" fillId="10" borderId="0" xfId="1" applyFont="1" applyFill="1" applyBorder="1" applyAlignment="1" applyProtection="1">
      <alignment vertical="center"/>
      <protection hidden="1"/>
    </xf>
    <xf numFmtId="0" fontId="0" fillId="0" borderId="1" xfId="0" applyBorder="1" applyAlignment="1">
      <alignment horizontal="right"/>
    </xf>
    <xf numFmtId="10" fontId="0" fillId="0" borderId="1" xfId="0" applyNumberFormat="1" applyBorder="1"/>
    <xf numFmtId="0" fontId="132" fillId="0" borderId="0" xfId="0" applyFont="1" applyAlignment="1">
      <alignment vertical="center"/>
    </xf>
    <xf numFmtId="43" fontId="125" fillId="8" borderId="13" xfId="1" applyFont="1" applyFill="1" applyBorder="1" applyAlignment="1" applyProtection="1">
      <alignment vertical="center"/>
      <protection hidden="1"/>
    </xf>
    <xf numFmtId="9" fontId="0" fillId="0" borderId="0" xfId="10" applyFont="1" applyFill="1" applyAlignment="1">
      <alignment horizontal="left"/>
    </xf>
    <xf numFmtId="43" fontId="0" fillId="0" borderId="0" xfId="1" applyFont="1" applyFill="1" applyAlignment="1">
      <alignment horizontal="left"/>
    </xf>
    <xf numFmtId="9" fontId="0" fillId="0" borderId="0" xfId="10" applyFont="1" applyFill="1" applyAlignment="1">
      <alignment horizontal="center"/>
    </xf>
    <xf numFmtId="9" fontId="68" fillId="0" borderId="0" xfId="10" applyFont="1" applyFill="1" applyAlignment="1">
      <alignment horizontal="center"/>
    </xf>
    <xf numFmtId="169" fontId="0" fillId="0" borderId="0" xfId="0" applyNumberFormat="1"/>
    <xf numFmtId="9" fontId="0" fillId="9" borderId="0" xfId="0" applyNumberFormat="1" applyFill="1"/>
    <xf numFmtId="169" fontId="0" fillId="0" borderId="0" xfId="10" applyNumberFormat="1" applyFont="1"/>
    <xf numFmtId="0" fontId="92" fillId="10" borderId="0" xfId="0" applyFont="1" applyFill="1" applyAlignment="1">
      <alignment horizontal="center" vertical="center"/>
    </xf>
    <xf numFmtId="0" fontId="89" fillId="4" borderId="3" xfId="10" applyNumberFormat="1" applyFont="1" applyFill="1" applyBorder="1" applyAlignment="1" applyProtection="1">
      <alignment horizontal="right" vertical="center"/>
    </xf>
    <xf numFmtId="179" fontId="0" fillId="0" borderId="0" xfId="1" applyNumberFormat="1" applyFont="1" applyAlignment="1">
      <alignment horizontal="center"/>
    </xf>
    <xf numFmtId="179" fontId="0" fillId="0" borderId="0" xfId="1" applyNumberFormat="1" applyFont="1"/>
    <xf numFmtId="179" fontId="0" fillId="0" borderId="0" xfId="0" applyNumberFormat="1"/>
    <xf numFmtId="9" fontId="68" fillId="0" borderId="0" xfId="10" applyFont="1" applyAlignment="1">
      <alignment horizontal="center"/>
    </xf>
    <xf numFmtId="0" fontId="2" fillId="0" borderId="0" xfId="0" applyFont="1"/>
    <xf numFmtId="9" fontId="0" fillId="0" borderId="1" xfId="10" applyFont="1" applyBorder="1"/>
    <xf numFmtId="9" fontId="0" fillId="0" borderId="1" xfId="0" applyNumberFormat="1" applyBorder="1"/>
    <xf numFmtId="43" fontId="0" fillId="9" borderId="1" xfId="1" applyFont="1" applyFill="1" applyBorder="1"/>
    <xf numFmtId="10" fontId="0" fillId="9" borderId="1" xfId="10" applyNumberFormat="1" applyFont="1" applyFill="1" applyBorder="1"/>
    <xf numFmtId="4" fontId="0" fillId="9" borderId="1" xfId="0" applyNumberFormat="1" applyFill="1" applyBorder="1"/>
    <xf numFmtId="0" fontId="61" fillId="11" borderId="0" xfId="0" applyFont="1" applyFill="1"/>
    <xf numFmtId="10" fontId="64" fillId="11" borderId="0" xfId="0" applyNumberFormat="1" applyFont="1" applyFill="1" applyAlignment="1">
      <alignment horizontal="left"/>
    </xf>
    <xf numFmtId="0" fontId="63" fillId="11" borderId="0" xfId="0" applyFont="1" applyFill="1" applyAlignment="1">
      <alignment vertical="center"/>
    </xf>
    <xf numFmtId="0" fontId="62" fillId="11" borderId="0" xfId="0" applyFont="1" applyFill="1" applyAlignment="1">
      <alignment vertical="center"/>
    </xf>
    <xf numFmtId="22" fontId="15" fillId="11" borderId="0" xfId="0" applyNumberFormat="1" applyFont="1" applyFill="1"/>
    <xf numFmtId="10" fontId="64" fillId="11" borderId="0" xfId="0" applyNumberFormat="1" applyFont="1" applyFill="1" applyAlignment="1">
      <alignment horizontal="right"/>
    </xf>
    <xf numFmtId="44" fontId="65" fillId="11" borderId="0" xfId="12" applyFont="1" applyFill="1" applyBorder="1" applyAlignment="1" applyProtection="1">
      <alignment horizontal="center"/>
      <protection hidden="1"/>
    </xf>
    <xf numFmtId="0" fontId="0" fillId="11" borderId="0" xfId="0" applyFill="1"/>
    <xf numFmtId="0" fontId="110" fillId="11" borderId="0" xfId="0" applyFont="1" applyFill="1"/>
    <xf numFmtId="43" fontId="80" fillId="11" borderId="0" xfId="1" applyFont="1" applyFill="1" applyBorder="1" applyAlignment="1">
      <alignment horizontal="center" vertical="center"/>
    </xf>
    <xf numFmtId="43" fontId="72" fillId="11" borderId="0" xfId="1" applyFont="1" applyFill="1" applyBorder="1" applyAlignment="1">
      <alignment horizontal="left" vertical="center"/>
    </xf>
    <xf numFmtId="189" fontId="109" fillId="11" borderId="0" xfId="1" applyNumberFormat="1" applyFont="1" applyFill="1" applyBorder="1" applyAlignment="1" applyProtection="1">
      <alignment horizontal="center"/>
      <protection hidden="1"/>
    </xf>
    <xf numFmtId="169" fontId="170" fillId="11" borderId="0" xfId="10" applyNumberFormat="1" applyFont="1" applyFill="1" applyBorder="1" applyAlignment="1">
      <alignment horizontal="center"/>
    </xf>
    <xf numFmtId="10" fontId="61" fillId="11" borderId="0" xfId="10" applyNumberFormat="1" applyFont="1" applyFill="1" applyBorder="1"/>
    <xf numFmtId="191" fontId="143" fillId="11" borderId="0" xfId="1" applyNumberFormat="1" applyFont="1" applyFill="1" applyBorder="1" applyAlignment="1" applyProtection="1">
      <alignment horizontal="right" vertical="center"/>
      <protection hidden="1"/>
    </xf>
    <xf numFmtId="0" fontId="80" fillId="11" borderId="0" xfId="0" applyFont="1" applyFill="1" applyProtection="1">
      <protection hidden="1"/>
    </xf>
    <xf numFmtId="22" fontId="61" fillId="11" borderId="0" xfId="0" applyNumberFormat="1" applyFont="1" applyFill="1"/>
    <xf numFmtId="0" fontId="60" fillId="11" borderId="0" xfId="0" applyFont="1" applyFill="1"/>
    <xf numFmtId="0" fontId="0" fillId="12" borderId="0" xfId="0" applyFill="1"/>
    <xf numFmtId="0" fontId="87" fillId="11" borderId="0" xfId="0" applyFont="1" applyFill="1" applyAlignment="1">
      <alignment vertical="center"/>
    </xf>
    <xf numFmtId="0" fontId="61" fillId="11" borderId="0" xfId="0" applyFont="1" applyFill="1" applyAlignment="1">
      <alignment vertical="center"/>
    </xf>
    <xf numFmtId="22" fontId="54" fillId="11" borderId="0" xfId="0" applyNumberFormat="1" applyFont="1" applyFill="1" applyAlignment="1">
      <alignment horizontal="right"/>
    </xf>
    <xf numFmtId="0" fontId="151" fillId="11" borderId="0" xfId="11" applyFont="1" applyFill="1" applyBorder="1" applyAlignment="1">
      <alignment horizontal="right" vertical="center"/>
    </xf>
    <xf numFmtId="0" fontId="73" fillId="11" borderId="0" xfId="0" applyFont="1" applyFill="1"/>
    <xf numFmtId="10" fontId="61" fillId="11" borderId="0" xfId="10" applyNumberFormat="1" applyFont="1" applyFill="1" applyBorder="1" applyAlignment="1">
      <alignment horizontal="center"/>
    </xf>
    <xf numFmtId="22" fontId="15" fillId="11" borderId="0" xfId="0" applyNumberFormat="1" applyFont="1" applyFill="1" applyAlignment="1">
      <alignment horizontal="right"/>
    </xf>
    <xf numFmtId="0" fontId="91" fillId="11" borderId="0" xfId="0" applyFont="1" applyFill="1" applyAlignment="1">
      <alignment horizontal="center"/>
    </xf>
    <xf numFmtId="10" fontId="65" fillId="11" borderId="0" xfId="10" applyNumberFormat="1" applyFont="1" applyFill="1" applyBorder="1" applyAlignment="1" applyProtection="1">
      <alignment horizontal="center"/>
      <protection hidden="1"/>
    </xf>
    <xf numFmtId="0" fontId="63" fillId="11" borderId="0" xfId="0" applyFont="1" applyFill="1"/>
    <xf numFmtId="0" fontId="115" fillId="11" borderId="0" xfId="0" applyFont="1" applyFill="1"/>
    <xf numFmtId="22" fontId="74" fillId="11" borderId="0" xfId="0" applyNumberFormat="1" applyFont="1" applyFill="1" applyAlignment="1">
      <alignment horizontal="right" vertical="center"/>
    </xf>
    <xf numFmtId="0" fontId="0" fillId="11" borderId="0" xfId="0" applyFill="1" applyAlignment="1">
      <alignment vertical="center"/>
    </xf>
    <xf numFmtId="10" fontId="144" fillId="11" borderId="0" xfId="0" applyNumberFormat="1" applyFont="1" applyFill="1"/>
    <xf numFmtId="0" fontId="171" fillId="11" borderId="0" xfId="0" applyFont="1" applyFill="1" applyAlignment="1">
      <alignment horizontal="right"/>
    </xf>
    <xf numFmtId="44" fontId="171" fillId="11" borderId="0" xfId="0" applyNumberFormat="1" applyFont="1" applyFill="1"/>
    <xf numFmtId="192" fontId="109" fillId="11" borderId="0" xfId="0" applyNumberFormat="1" applyFont="1" applyFill="1" applyAlignment="1" applyProtection="1">
      <alignment horizontal="right"/>
      <protection hidden="1"/>
    </xf>
    <xf numFmtId="10" fontId="84" fillId="11" borderId="0" xfId="0" applyNumberFormat="1" applyFont="1" applyFill="1"/>
    <xf numFmtId="191" fontId="183" fillId="11" borderId="0" xfId="1" applyNumberFormat="1" applyFont="1" applyFill="1" applyBorder="1" applyAlignment="1" applyProtection="1">
      <alignment horizontal="right"/>
      <protection hidden="1"/>
    </xf>
    <xf numFmtId="10" fontId="185" fillId="11" borderId="0" xfId="10" applyNumberFormat="1" applyFont="1" applyFill="1" applyBorder="1" applyAlignment="1" applyProtection="1">
      <alignment vertical="center"/>
      <protection hidden="1"/>
    </xf>
    <xf numFmtId="9" fontId="190" fillId="11" borderId="0" xfId="10" applyFont="1" applyFill="1" applyBorder="1" applyAlignment="1">
      <alignment horizontal="center"/>
    </xf>
    <xf numFmtId="2" fontId="189" fillId="11" borderId="0" xfId="0" applyNumberFormat="1" applyFont="1" applyFill="1" applyProtection="1">
      <protection hidden="1"/>
    </xf>
    <xf numFmtId="2" fontId="138" fillId="11" borderId="0" xfId="0" quotePrefix="1" applyNumberFormat="1" applyFont="1" applyFill="1" applyAlignment="1" applyProtection="1">
      <alignment vertical="center"/>
      <protection hidden="1"/>
    </xf>
    <xf numFmtId="0" fontId="125" fillId="11" borderId="0" xfId="0" applyFont="1" applyFill="1" applyAlignment="1" applyProtection="1">
      <alignment horizontal="right" vertical="center"/>
      <protection hidden="1"/>
    </xf>
    <xf numFmtId="175" fontId="116" fillId="11" borderId="0" xfId="0" applyNumberFormat="1" applyFont="1" applyFill="1"/>
    <xf numFmtId="175" fontId="177" fillId="11" borderId="0" xfId="0" applyNumberFormat="1" applyFont="1" applyFill="1"/>
    <xf numFmtId="175" fontId="139" fillId="11" borderId="0" xfId="0" applyNumberFormat="1" applyFont="1" applyFill="1"/>
    <xf numFmtId="177" fontId="97" fillId="11" borderId="0" xfId="12" applyNumberFormat="1" applyFont="1" applyFill="1" applyBorder="1" applyAlignment="1" applyProtection="1">
      <alignment horizontal="centerContinuous"/>
      <protection hidden="1"/>
    </xf>
    <xf numFmtId="0" fontId="83" fillId="11" borderId="0" xfId="0" applyFont="1" applyFill="1" applyAlignment="1" applyProtection="1">
      <alignment horizontal="right"/>
      <protection hidden="1"/>
    </xf>
    <xf numFmtId="165" fontId="82" fillId="12" borderId="0" xfId="0" applyNumberFormat="1" applyFont="1" applyFill="1" applyAlignment="1" applyProtection="1">
      <alignment horizontal="center" vertical="center"/>
      <protection hidden="1"/>
    </xf>
    <xf numFmtId="43" fontId="90" fillId="12" borderId="0" xfId="1" applyFont="1" applyFill="1"/>
    <xf numFmtId="201" fontId="0" fillId="0" borderId="0" xfId="0" applyNumberFormat="1"/>
    <xf numFmtId="202" fontId="0" fillId="0" borderId="0" xfId="1" applyNumberFormat="1" applyFont="1"/>
    <xf numFmtId="0" fontId="154" fillId="11" borderId="7" xfId="0" applyFont="1" applyFill="1" applyBorder="1" applyAlignment="1">
      <alignment horizontal="center" vertical="center"/>
    </xf>
    <xf numFmtId="0" fontId="167" fillId="14" borderId="0" xfId="2" applyFont="1" applyFill="1" applyAlignment="1" applyProtection="1">
      <alignment horizontal="left" vertical="center"/>
      <protection hidden="1"/>
    </xf>
    <xf numFmtId="0" fontId="141" fillId="14" borderId="0" xfId="2" applyFont="1" applyFill="1" applyAlignment="1" applyProtection="1">
      <alignment horizontal="left" vertical="center"/>
      <protection hidden="1"/>
    </xf>
    <xf numFmtId="0" fontId="0" fillId="14" borderId="0" xfId="0" applyFill="1"/>
    <xf numFmtId="0" fontId="55" fillId="14" borderId="0" xfId="0" applyFont="1" applyFill="1" applyAlignment="1" applyProtection="1">
      <alignment horizontal="right"/>
      <protection hidden="1"/>
    </xf>
    <xf numFmtId="43" fontId="135" fillId="14" borderId="0" xfId="7" applyFont="1" applyFill="1"/>
    <xf numFmtId="14" fontId="119" fillId="14" borderId="0" xfId="0" applyNumberFormat="1" applyFont="1" applyFill="1" applyAlignment="1">
      <alignment horizontal="left" vertical="center"/>
    </xf>
    <xf numFmtId="14" fontId="117" fillId="14" borderId="0" xfId="7" applyNumberFormat="1" applyFont="1" applyFill="1"/>
    <xf numFmtId="175" fontId="176" fillId="14" borderId="0" xfId="7" applyNumberFormat="1" applyFont="1" applyFill="1"/>
    <xf numFmtId="43" fontId="135" fillId="14" borderId="0" xfId="1" applyFont="1" applyFill="1"/>
    <xf numFmtId="164" fontId="118" fillId="14" borderId="0" xfId="7" applyNumberFormat="1" applyFont="1" applyFill="1"/>
    <xf numFmtId="43" fontId="90" fillId="14" borderId="0" xfId="1" applyFont="1" applyFill="1" applyAlignment="1">
      <alignment horizontal="left"/>
    </xf>
    <xf numFmtId="43" fontId="90" fillId="14" borderId="0" xfId="1" applyFont="1" applyFill="1"/>
    <xf numFmtId="0" fontId="89" fillId="14" borderId="0" xfId="0" applyFont="1" applyFill="1" applyProtection="1">
      <protection hidden="1"/>
    </xf>
    <xf numFmtId="0" fontId="101" fillId="14" borderId="0" xfId="7" applyNumberFormat="1" applyFont="1" applyFill="1" applyProtection="1">
      <protection hidden="1"/>
    </xf>
    <xf numFmtId="165" fontId="82" fillId="14" borderId="0" xfId="0" applyNumberFormat="1" applyFont="1" applyFill="1" applyAlignment="1" applyProtection="1">
      <alignment horizontal="left" vertical="center"/>
      <protection hidden="1"/>
    </xf>
    <xf numFmtId="165" fontId="82" fillId="14" borderId="0" xfId="0" applyNumberFormat="1" applyFont="1" applyFill="1" applyAlignment="1" applyProtection="1">
      <alignment horizontal="center" vertical="center"/>
      <protection hidden="1"/>
    </xf>
    <xf numFmtId="175" fontId="166" fillId="14" borderId="0" xfId="7" applyNumberFormat="1" applyFont="1" applyFill="1" applyProtection="1">
      <protection hidden="1"/>
    </xf>
    <xf numFmtId="175" fontId="79" fillId="14" borderId="0" xfId="7" applyNumberFormat="1" applyFont="1" applyFill="1" applyProtection="1">
      <protection hidden="1"/>
    </xf>
    <xf numFmtId="14" fontId="79" fillId="14" borderId="0" xfId="7" applyNumberFormat="1" applyFont="1" applyFill="1" applyProtection="1">
      <protection hidden="1"/>
    </xf>
    <xf numFmtId="165" fontId="79" fillId="14" borderId="0" xfId="7" applyNumberFormat="1" applyFont="1" applyFill="1" applyProtection="1">
      <protection hidden="1"/>
    </xf>
    <xf numFmtId="0" fontId="79" fillId="14" borderId="0" xfId="10" applyNumberFormat="1" applyFont="1" applyFill="1" applyAlignment="1" applyProtection="1">
      <alignment horizontal="right"/>
      <protection hidden="1"/>
    </xf>
    <xf numFmtId="43" fontId="79" fillId="14" borderId="0" xfId="1" applyFont="1" applyFill="1" applyAlignment="1" applyProtection="1">
      <alignment horizontal="center"/>
      <protection hidden="1"/>
    </xf>
    <xf numFmtId="0" fontId="79" fillId="14" borderId="0" xfId="7" applyNumberFormat="1" applyFont="1" applyFill="1" applyProtection="1">
      <protection hidden="1"/>
    </xf>
    <xf numFmtId="0" fontId="14" fillId="14" borderId="0" xfId="7" applyNumberFormat="1" applyFont="1" applyFill="1" applyProtection="1">
      <protection hidden="1"/>
    </xf>
    <xf numFmtId="0" fontId="79" fillId="14" borderId="0" xfId="7" applyNumberFormat="1" applyFont="1" applyFill="1" applyAlignment="1" applyProtection="1">
      <alignment horizontal="left"/>
      <protection hidden="1"/>
    </xf>
    <xf numFmtId="0" fontId="61" fillId="14" borderId="0" xfId="0" applyFont="1" applyFill="1"/>
    <xf numFmtId="10" fontId="61" fillId="14" borderId="0" xfId="0" applyNumberFormat="1" applyFont="1" applyFill="1"/>
    <xf numFmtId="43" fontId="194" fillId="11" borderId="0" xfId="1" applyFont="1" applyFill="1" applyBorder="1" applyAlignment="1">
      <alignment horizontal="left" vertical="center"/>
    </xf>
    <xf numFmtId="198" fontId="197" fillId="11" borderId="0" xfId="10" applyNumberFormat="1" applyFont="1" applyFill="1" applyBorder="1" applyAlignment="1" applyProtection="1">
      <alignment vertical="center"/>
      <protection hidden="1"/>
    </xf>
    <xf numFmtId="0" fontId="168" fillId="14" borderId="0" xfId="2" applyFont="1" applyFill="1" applyAlignment="1" applyProtection="1">
      <alignment horizontal="center"/>
      <protection hidden="1"/>
    </xf>
    <xf numFmtId="0" fontId="12" fillId="14" borderId="0" xfId="2" applyFont="1" applyFill="1" applyProtection="1">
      <protection hidden="1"/>
    </xf>
    <xf numFmtId="0" fontId="127" fillId="14" borderId="0" xfId="2" applyFont="1" applyFill="1" applyProtection="1">
      <protection hidden="1"/>
    </xf>
    <xf numFmtId="203" fontId="0" fillId="0" borderId="0" xfId="10" applyNumberFormat="1" applyFont="1"/>
    <xf numFmtId="0" fontId="0" fillId="0" borderId="1" xfId="0" applyBorder="1" applyAlignment="1">
      <alignment horizontal="center"/>
    </xf>
    <xf numFmtId="200" fontId="0" fillId="0" borderId="1" xfId="0" applyNumberFormat="1" applyBorder="1"/>
    <xf numFmtId="0" fontId="68" fillId="0" borderId="0" xfId="0" applyFont="1"/>
    <xf numFmtId="0" fontId="167" fillId="11" borderId="0" xfId="2" applyFont="1" applyFill="1" applyAlignment="1" applyProtection="1">
      <alignment horizontal="left" vertical="center"/>
      <protection hidden="1"/>
    </xf>
    <xf numFmtId="10" fontId="3" fillId="11" borderId="0" xfId="10" applyNumberFormat="1" applyFont="1" applyFill="1" applyBorder="1" applyAlignment="1">
      <alignment horizontal="center"/>
    </xf>
    <xf numFmtId="0" fontId="45" fillId="11" borderId="0" xfId="0" applyFont="1" applyFill="1" applyProtection="1">
      <protection hidden="1"/>
    </xf>
    <xf numFmtId="0" fontId="3" fillId="11" borderId="0" xfId="0" applyFont="1" applyFill="1"/>
    <xf numFmtId="0" fontId="3" fillId="11" borderId="0" xfId="0" applyFont="1" applyFill="1" applyAlignment="1">
      <alignment horizontal="center"/>
    </xf>
    <xf numFmtId="0" fontId="0" fillId="11" borderId="0" xfId="0" applyFill="1" applyAlignment="1">
      <alignment horizontal="center"/>
    </xf>
    <xf numFmtId="0" fontId="11" fillId="11" borderId="0" xfId="0" applyFont="1" applyFill="1" applyAlignment="1" applyProtection="1">
      <alignment horizontal="center" vertical="center" wrapText="1"/>
      <protection hidden="1"/>
    </xf>
    <xf numFmtId="0" fontId="46" fillId="11" borderId="0" xfId="0" applyFont="1" applyFill="1" applyAlignment="1" applyProtection="1">
      <alignment horizontal="center" wrapText="1"/>
      <protection hidden="1"/>
    </xf>
    <xf numFmtId="0" fontId="46" fillId="11" borderId="0" xfId="0" applyFont="1" applyFill="1" applyAlignment="1" applyProtection="1">
      <alignment wrapText="1"/>
      <protection hidden="1"/>
    </xf>
    <xf numFmtId="0" fontId="31" fillId="11" borderId="0" xfId="0" applyFont="1" applyFill="1" applyAlignment="1" applyProtection="1">
      <alignment wrapText="1"/>
      <protection hidden="1"/>
    </xf>
    <xf numFmtId="0" fontId="46" fillId="11" borderId="0" xfId="0" applyFont="1" applyFill="1" applyAlignment="1">
      <alignment wrapText="1"/>
    </xf>
    <xf numFmtId="177" fontId="145" fillId="11" borderId="0" xfId="12" applyNumberFormat="1" applyFont="1" applyFill="1" applyBorder="1" applyAlignment="1" applyProtection="1">
      <alignment vertical="center"/>
      <protection hidden="1"/>
    </xf>
    <xf numFmtId="0" fontId="180" fillId="11" borderId="0" xfId="0" applyFont="1" applyFill="1" applyAlignment="1">
      <alignment horizontal="centerContinuous" vertical="top"/>
    </xf>
    <xf numFmtId="177" fontId="86" fillId="11" borderId="0" xfId="12" applyNumberFormat="1" applyFont="1" applyFill="1" applyBorder="1" applyAlignment="1" applyProtection="1">
      <alignment vertical="center"/>
      <protection hidden="1"/>
    </xf>
    <xf numFmtId="0" fontId="3" fillId="11" borderId="0" xfId="0" applyFont="1" applyFill="1" applyAlignment="1">
      <alignment vertical="center"/>
    </xf>
    <xf numFmtId="0" fontId="92" fillId="11" borderId="0" xfId="0" applyFont="1" applyFill="1" applyAlignment="1" applyProtection="1">
      <alignment vertical="center" wrapText="1"/>
      <protection hidden="1"/>
    </xf>
    <xf numFmtId="0" fontId="92" fillId="11" borderId="0" xfId="0" applyFont="1" applyFill="1" applyAlignment="1" applyProtection="1">
      <alignment vertical="center"/>
      <protection hidden="1"/>
    </xf>
    <xf numFmtId="4" fontId="61" fillId="11" borderId="0" xfId="0" applyNumberFormat="1" applyFont="1" applyFill="1"/>
    <xf numFmtId="10" fontId="61" fillId="11" borderId="0" xfId="10" applyNumberFormat="1" applyFont="1" applyFill="1" applyAlignment="1">
      <alignment horizontal="center"/>
    </xf>
    <xf numFmtId="0" fontId="61" fillId="11" borderId="0" xfId="0" applyFont="1" applyFill="1" applyAlignment="1">
      <alignment vertical="top"/>
    </xf>
    <xf numFmtId="0" fontId="16" fillId="11" borderId="0" xfId="2" applyFont="1" applyFill="1" applyAlignment="1">
      <alignment horizontal="center"/>
    </xf>
    <xf numFmtId="43" fontId="17" fillId="11" borderId="0" xfId="3" applyFont="1" applyFill="1"/>
    <xf numFmtId="0" fontId="16" fillId="11" borderId="0" xfId="2" applyFont="1" applyFill="1"/>
    <xf numFmtId="43" fontId="17" fillId="11" borderId="0" xfId="3" applyFont="1" applyFill="1" applyAlignment="1">
      <alignment horizontal="center"/>
    </xf>
    <xf numFmtId="0" fontId="18" fillId="11" borderId="0" xfId="2" applyFont="1" applyFill="1" applyAlignment="1">
      <alignment vertical="center" textRotation="90"/>
    </xf>
    <xf numFmtId="14" fontId="16" fillId="11" borderId="0" xfId="2" applyNumberFormat="1" applyFont="1" applyFill="1" applyAlignment="1">
      <alignment horizontal="center"/>
    </xf>
    <xf numFmtId="43" fontId="19" fillId="11" borderId="0" xfId="3" applyFont="1" applyFill="1" applyAlignment="1">
      <alignment wrapText="1"/>
    </xf>
    <xf numFmtId="0" fontId="100" fillId="11" borderId="0" xfId="2" applyFont="1" applyFill="1" applyAlignment="1">
      <alignment horizontal="left"/>
    </xf>
    <xf numFmtId="14" fontId="20" fillId="11" borderId="0" xfId="2" applyNumberFormat="1" applyFont="1" applyFill="1" applyAlignment="1">
      <alignment horizontal="center" vertical="center"/>
    </xf>
    <xf numFmtId="0" fontId="20" fillId="11" borderId="0" xfId="2" applyFont="1" applyFill="1" applyAlignment="1">
      <alignment horizontal="center"/>
    </xf>
    <xf numFmtId="14" fontId="20" fillId="11" borderId="0" xfId="2" applyNumberFormat="1" applyFont="1" applyFill="1" applyAlignment="1">
      <alignment horizontal="center" vertical="top"/>
    </xf>
    <xf numFmtId="0" fontId="7" fillId="11" borderId="0" xfId="2" applyFont="1" applyFill="1"/>
    <xf numFmtId="0" fontId="93" fillId="11" borderId="0" xfId="2" applyFont="1" applyFill="1" applyAlignment="1" applyProtection="1">
      <alignment horizontal="right"/>
      <protection hidden="1"/>
    </xf>
    <xf numFmtId="0" fontId="101" fillId="11" borderId="0" xfId="2" applyFont="1" applyFill="1" applyAlignment="1" applyProtection="1">
      <alignment horizontal="center" vertical="center"/>
      <protection hidden="1"/>
    </xf>
    <xf numFmtId="0" fontId="7" fillId="11" borderId="0" xfId="2" applyFont="1" applyFill="1" applyAlignment="1">
      <alignment horizontal="center"/>
    </xf>
    <xf numFmtId="14" fontId="20" fillId="11" borderId="0" xfId="2" applyNumberFormat="1" applyFont="1" applyFill="1" applyAlignment="1">
      <alignment horizontal="center"/>
    </xf>
    <xf numFmtId="0" fontId="102" fillId="11" borderId="0" xfId="2" applyFont="1" applyFill="1" applyAlignment="1" applyProtection="1">
      <alignment horizontal="right"/>
      <protection hidden="1"/>
    </xf>
    <xf numFmtId="171" fontId="91" fillId="11" borderId="0" xfId="2" applyNumberFormat="1" applyFont="1" applyFill="1" applyAlignment="1" applyProtection="1">
      <alignment horizontal="center" vertical="center"/>
      <protection hidden="1"/>
    </xf>
    <xf numFmtId="2" fontId="20" fillId="11" borderId="0" xfId="2" applyNumberFormat="1" applyFont="1" applyFill="1" applyAlignment="1">
      <alignment horizontal="center"/>
    </xf>
    <xf numFmtId="4" fontId="112" fillId="11" borderId="0" xfId="2" applyNumberFormat="1" applyFont="1" applyFill="1" applyAlignment="1" applyProtection="1">
      <alignment horizontal="center"/>
      <protection hidden="1"/>
    </xf>
    <xf numFmtId="17" fontId="102" fillId="11" borderId="0" xfId="2" applyNumberFormat="1" applyFont="1" applyFill="1" applyAlignment="1" applyProtection="1">
      <alignment horizontal="right"/>
      <protection hidden="1"/>
    </xf>
    <xf numFmtId="4" fontId="96" fillId="11" borderId="0" xfId="2" applyNumberFormat="1" applyFont="1" applyFill="1" applyAlignment="1" applyProtection="1">
      <alignment horizontal="center"/>
      <protection hidden="1"/>
    </xf>
    <xf numFmtId="4" fontId="99" fillId="11" borderId="0" xfId="2" applyNumberFormat="1" applyFont="1" applyFill="1" applyAlignment="1" applyProtection="1">
      <alignment horizontal="center" vertical="center"/>
      <protection hidden="1"/>
    </xf>
    <xf numFmtId="17" fontId="105" fillId="11" borderId="0" xfId="2" applyNumberFormat="1" applyFont="1" applyFill="1" applyAlignment="1" applyProtection="1">
      <alignment horizontal="right"/>
      <protection hidden="1"/>
    </xf>
    <xf numFmtId="10" fontId="26" fillId="11" borderId="0" xfId="2" applyNumberFormat="1" applyFont="1" applyFill="1" applyAlignment="1" applyProtection="1">
      <alignment vertical="center" wrapText="1"/>
      <protection hidden="1"/>
    </xf>
    <xf numFmtId="14" fontId="27" fillId="11" borderId="0" xfId="2" applyNumberFormat="1" applyFont="1" applyFill="1" applyAlignment="1" applyProtection="1">
      <alignment horizontal="left"/>
      <protection hidden="1"/>
    </xf>
    <xf numFmtId="166" fontId="20" fillId="11" borderId="0" xfId="2" applyNumberFormat="1" applyFont="1" applyFill="1"/>
    <xf numFmtId="4" fontId="103" fillId="11" borderId="0" xfId="2" applyNumberFormat="1" applyFont="1" applyFill="1" applyAlignment="1" applyProtection="1">
      <alignment horizontal="center"/>
      <protection hidden="1"/>
    </xf>
    <xf numFmtId="0" fontId="20" fillId="11" borderId="0" xfId="2" applyFont="1" applyFill="1"/>
    <xf numFmtId="0" fontId="7" fillId="11" borderId="0" xfId="2" applyFont="1" applyFill="1" applyAlignment="1">
      <alignment horizontal="left"/>
    </xf>
    <xf numFmtId="10" fontId="26" fillId="11" borderId="0" xfId="2" applyNumberFormat="1" applyFont="1" applyFill="1" applyAlignment="1" applyProtection="1">
      <alignment horizontal="center" vertical="center" wrapText="1"/>
      <protection hidden="1"/>
    </xf>
    <xf numFmtId="12" fontId="25" fillId="11" borderId="0" xfId="2" applyNumberFormat="1" applyFont="1" applyFill="1" applyAlignment="1">
      <alignment horizontal="center" vertical="top"/>
    </xf>
    <xf numFmtId="0" fontId="2" fillId="11" borderId="0" xfId="0" applyFont="1" applyFill="1"/>
    <xf numFmtId="0" fontId="33" fillId="11" borderId="0" xfId="2" applyFont="1" applyFill="1" applyAlignment="1">
      <alignment vertical="center"/>
    </xf>
    <xf numFmtId="43" fontId="104" fillId="11" borderId="0" xfId="1" applyFont="1" applyFill="1" applyAlignment="1">
      <alignment vertical="center"/>
    </xf>
    <xf numFmtId="43" fontId="77" fillId="11" borderId="0" xfId="1" applyFont="1" applyFill="1" applyBorder="1" applyAlignment="1">
      <alignment vertical="center"/>
    </xf>
    <xf numFmtId="0" fontId="131" fillId="11" borderId="0" xfId="2" applyFont="1" applyFill="1" applyAlignment="1">
      <alignment vertical="center"/>
    </xf>
    <xf numFmtId="43" fontId="33" fillId="11" borderId="0" xfId="1" applyFont="1" applyFill="1" applyBorder="1" applyAlignment="1">
      <alignment vertical="center"/>
    </xf>
    <xf numFmtId="43" fontId="17" fillId="14" borderId="0" xfId="3" applyFont="1" applyFill="1"/>
    <xf numFmtId="0" fontId="20" fillId="14" borderId="0" xfId="2" applyFont="1" applyFill="1" applyAlignment="1">
      <alignment horizontal="center"/>
    </xf>
    <xf numFmtId="0" fontId="21" fillId="14" borderId="0" xfId="2" applyFont="1" applyFill="1" applyAlignment="1" applyProtection="1">
      <alignment horizontal="right"/>
      <protection hidden="1"/>
    </xf>
    <xf numFmtId="0" fontId="22" fillId="14" borderId="0" xfId="2" applyFont="1" applyFill="1" applyAlignment="1" applyProtection="1">
      <alignment horizontal="right"/>
      <protection hidden="1"/>
    </xf>
    <xf numFmtId="17" fontId="23" fillId="14" borderId="0" xfId="2" applyNumberFormat="1" applyFont="1" applyFill="1" applyAlignment="1" applyProtection="1">
      <alignment horizontal="right"/>
      <protection hidden="1"/>
    </xf>
    <xf numFmtId="17" fontId="24" fillId="14" borderId="0" xfId="2" applyNumberFormat="1" applyFont="1" applyFill="1" applyAlignment="1" applyProtection="1">
      <alignment horizontal="right"/>
      <protection hidden="1"/>
    </xf>
    <xf numFmtId="10" fontId="26" fillId="14" borderId="0" xfId="2" applyNumberFormat="1" applyFont="1" applyFill="1" applyAlignment="1" applyProtection="1">
      <alignment vertical="center" wrapText="1"/>
      <protection hidden="1"/>
    </xf>
    <xf numFmtId="43" fontId="131" fillId="14" borderId="0" xfId="1" applyFont="1" applyFill="1" applyBorder="1" applyAlignment="1">
      <alignment vertical="center"/>
    </xf>
    <xf numFmtId="0" fontId="126" fillId="14" borderId="0" xfId="2" applyFont="1" applyFill="1" applyAlignment="1">
      <alignment horizontal="center" vertical="center" wrapText="1"/>
    </xf>
    <xf numFmtId="168" fontId="124" fillId="14" borderId="0" xfId="3" applyNumberFormat="1" applyFont="1" applyFill="1" applyAlignment="1" applyProtection="1">
      <alignment horizontal="center" vertical="center"/>
      <protection hidden="1"/>
    </xf>
    <xf numFmtId="168" fontId="124" fillId="14" borderId="0" xfId="3" applyNumberFormat="1" applyFont="1" applyFill="1" applyAlignment="1" applyProtection="1">
      <alignment horizontal="center"/>
      <protection hidden="1"/>
    </xf>
    <xf numFmtId="0" fontId="87" fillId="11" borderId="0" xfId="0" applyFont="1" applyFill="1"/>
    <xf numFmtId="0" fontId="62" fillId="11" borderId="0" xfId="0" applyFont="1" applyFill="1"/>
    <xf numFmtId="0" fontId="142" fillId="11" borderId="0" xfId="0" applyFont="1" applyFill="1"/>
    <xf numFmtId="0" fontId="198" fillId="11" borderId="0" xfId="0" applyFont="1" applyFill="1" applyAlignment="1">
      <alignment horizontal="right"/>
    </xf>
    <xf numFmtId="43" fontId="200" fillId="11" borderId="0" xfId="1" applyFont="1" applyFill="1" applyBorder="1" applyAlignment="1">
      <alignment vertical="center"/>
    </xf>
    <xf numFmtId="43" fontId="200" fillId="11" borderId="0" xfId="1" applyFont="1" applyFill="1" applyBorder="1" applyAlignment="1">
      <alignment horizontal="left" vertical="center"/>
    </xf>
    <xf numFmtId="190" fontId="183" fillId="11" borderId="0" xfId="10" applyNumberFormat="1" applyFont="1" applyFill="1" applyBorder="1" applyAlignment="1">
      <alignment vertical="center"/>
    </xf>
    <xf numFmtId="190" fontId="186" fillId="11" borderId="0" xfId="10" applyNumberFormat="1" applyFont="1" applyFill="1" applyBorder="1" applyAlignment="1">
      <alignment vertical="center"/>
    </xf>
    <xf numFmtId="177" fontId="185" fillId="11" borderId="0" xfId="12" applyNumberFormat="1" applyFont="1" applyFill="1" applyBorder="1" applyAlignment="1" applyProtection="1">
      <alignment horizontal="centerContinuous" vertical="center"/>
      <protection hidden="1"/>
    </xf>
    <xf numFmtId="177" fontId="182" fillId="11" borderId="0" xfId="12" applyNumberFormat="1" applyFont="1" applyFill="1" applyBorder="1" applyAlignment="1" applyProtection="1">
      <alignment horizontal="centerContinuous" vertical="center"/>
      <protection hidden="1"/>
    </xf>
    <xf numFmtId="22" fontId="187" fillId="11" borderId="0" xfId="0" applyNumberFormat="1" applyFont="1" applyFill="1" applyAlignment="1">
      <alignment horizontal="left" vertical="center"/>
    </xf>
    <xf numFmtId="0" fontId="79" fillId="11" borderId="0" xfId="10" applyNumberFormat="1" applyFont="1" applyFill="1" applyBorder="1" applyAlignment="1">
      <alignment horizontal="right" vertical="center"/>
    </xf>
    <xf numFmtId="0" fontId="74" fillId="11" borderId="0" xfId="10" applyNumberFormat="1" applyFont="1" applyFill="1" applyBorder="1" applyAlignment="1" applyProtection="1">
      <alignment horizontal="left" vertical="center"/>
      <protection hidden="1"/>
    </xf>
    <xf numFmtId="22" fontId="174" fillId="11" borderId="0" xfId="0" applyNumberFormat="1" applyFont="1" applyFill="1" applyAlignment="1" applyProtection="1">
      <alignment horizontal="center" vertical="center"/>
      <protection hidden="1"/>
    </xf>
    <xf numFmtId="194" fontId="197" fillId="11" borderId="0" xfId="0" applyNumberFormat="1" applyFont="1" applyFill="1" applyAlignment="1" applyProtection="1">
      <alignment horizontal="center" vertical="center"/>
      <protection hidden="1"/>
    </xf>
    <xf numFmtId="169" fontId="197" fillId="11" borderId="0" xfId="10" applyNumberFormat="1" applyFont="1" applyFill="1" applyBorder="1" applyAlignment="1" applyProtection="1">
      <alignment horizontal="center" vertical="center"/>
      <protection hidden="1"/>
    </xf>
    <xf numFmtId="0" fontId="98" fillId="11" borderId="0" xfId="11" applyFont="1" applyFill="1" applyBorder="1" applyAlignment="1">
      <alignment horizontal="right" vertical="center"/>
    </xf>
    <xf numFmtId="0" fontId="48" fillId="14" borderId="0" xfId="2" applyFont="1" applyFill="1" applyProtection="1">
      <protection hidden="1"/>
    </xf>
    <xf numFmtId="0" fontId="67" fillId="14" borderId="0" xfId="2" applyFont="1" applyFill="1" applyProtection="1">
      <protection hidden="1"/>
    </xf>
    <xf numFmtId="0" fontId="30" fillId="14" borderId="0" xfId="2" applyFont="1" applyFill="1" applyProtection="1">
      <protection hidden="1"/>
    </xf>
    <xf numFmtId="0" fontId="130" fillId="14" borderId="0" xfId="0" applyFont="1" applyFill="1"/>
    <xf numFmtId="0" fontId="48" fillId="14" borderId="0" xfId="2" applyFont="1" applyFill="1" applyAlignment="1" applyProtection="1">
      <alignment horizontal="centerContinuous"/>
      <protection hidden="1"/>
    </xf>
    <xf numFmtId="0" fontId="125" fillId="14" borderId="0" xfId="2" applyFont="1" applyFill="1" applyAlignment="1" applyProtection="1">
      <alignment vertical="center"/>
      <protection hidden="1"/>
    </xf>
    <xf numFmtId="0" fontId="56" fillId="14" borderId="0" xfId="2" applyFont="1" applyFill="1" applyAlignment="1" applyProtection="1">
      <alignment horizontal="center" vertical="center"/>
      <protection hidden="1"/>
    </xf>
    <xf numFmtId="43" fontId="134" fillId="14" borderId="0" xfId="1" applyFont="1" applyFill="1" applyBorder="1" applyAlignment="1" applyProtection="1">
      <alignment vertical="center"/>
      <protection hidden="1"/>
    </xf>
    <xf numFmtId="10" fontId="8" fillId="14" borderId="0" xfId="5" applyNumberFormat="1" applyFont="1" applyFill="1" applyProtection="1">
      <protection hidden="1"/>
    </xf>
    <xf numFmtId="0" fontId="128" fillId="14" borderId="0" xfId="2" applyFont="1" applyFill="1" applyProtection="1">
      <protection hidden="1"/>
    </xf>
    <xf numFmtId="10" fontId="13" fillId="14" borderId="0" xfId="2" applyNumberFormat="1" applyFont="1" applyFill="1" applyAlignment="1" applyProtection="1">
      <alignment vertical="center" wrapText="1"/>
      <protection hidden="1"/>
    </xf>
    <xf numFmtId="10" fontId="107" fillId="14" borderId="0" xfId="2" applyNumberFormat="1" applyFont="1" applyFill="1" applyAlignment="1" applyProtection="1">
      <alignment vertical="center" wrapText="1"/>
      <protection hidden="1"/>
    </xf>
    <xf numFmtId="182" fontId="81" fillId="14" borderId="0" xfId="10" applyNumberFormat="1" applyFont="1" applyFill="1" applyBorder="1" applyAlignment="1" applyProtection="1">
      <alignment vertical="center"/>
      <protection hidden="1"/>
    </xf>
    <xf numFmtId="0" fontId="73" fillId="14" borderId="0" xfId="0" applyFont="1" applyFill="1"/>
    <xf numFmtId="0" fontId="164" fillId="14" borderId="0" xfId="2" applyFont="1" applyFill="1" applyAlignment="1" applyProtection="1">
      <alignment horizontal="center" vertical="center"/>
      <protection hidden="1"/>
    </xf>
    <xf numFmtId="14" fontId="49" fillId="14" borderId="0" xfId="0" applyNumberFormat="1" applyFont="1" applyFill="1" applyAlignment="1">
      <alignment horizontal="center" vertical="center" wrapText="1"/>
    </xf>
    <xf numFmtId="22" fontId="201" fillId="11" borderId="0" xfId="0" applyNumberFormat="1" applyFont="1" applyFill="1" applyAlignment="1">
      <alignment horizontal="left" vertical="center"/>
    </xf>
    <xf numFmtId="10" fontId="182" fillId="11" borderId="0" xfId="10" applyNumberFormat="1" applyFont="1" applyFill="1" applyBorder="1" applyAlignment="1" applyProtection="1">
      <alignment vertical="center"/>
      <protection hidden="1"/>
    </xf>
    <xf numFmtId="0" fontId="203" fillId="14" borderId="0" xfId="0" applyFont="1" applyFill="1"/>
    <xf numFmtId="10" fontId="189" fillId="11" borderId="0" xfId="0" applyNumberFormat="1" applyFont="1" applyFill="1" applyAlignment="1">
      <alignment horizontal="right" vertical="center"/>
    </xf>
    <xf numFmtId="187" fontId="197" fillId="11" borderId="0" xfId="10" applyNumberFormat="1" applyFont="1" applyFill="1" applyBorder="1" applyAlignment="1" applyProtection="1">
      <alignment horizontal="center"/>
      <protection hidden="1"/>
    </xf>
    <xf numFmtId="0" fontId="0" fillId="0" borderId="19" xfId="0" applyBorder="1"/>
    <xf numFmtId="0" fontId="0" fillId="0" borderId="20" xfId="0" applyBorder="1"/>
    <xf numFmtId="0" fontId="0" fillId="15" borderId="1" xfId="0" applyFill="1" applyBorder="1"/>
    <xf numFmtId="43" fontId="204" fillId="16" borderId="0" xfId="1" applyFont="1" applyFill="1" applyBorder="1" applyAlignment="1" applyProtection="1">
      <alignment vertical="center"/>
      <protection hidden="1"/>
    </xf>
    <xf numFmtId="4" fontId="0" fillId="0" borderId="0" xfId="0" applyNumberFormat="1"/>
    <xf numFmtId="43" fontId="0" fillId="15" borderId="1" xfId="0" applyNumberFormat="1" applyFill="1" applyBorder="1"/>
    <xf numFmtId="0" fontId="73" fillId="0" borderId="0" xfId="0" applyFont="1"/>
    <xf numFmtId="176" fontId="0" fillId="0" borderId="0" xfId="0" applyNumberFormat="1"/>
    <xf numFmtId="169" fontId="80" fillId="11" borderId="0" xfId="0" applyNumberFormat="1" applyFont="1" applyFill="1" applyProtection="1">
      <protection hidden="1"/>
    </xf>
    <xf numFmtId="14" fontId="189" fillId="13" borderId="0" xfId="0" applyNumberFormat="1" applyFont="1" applyFill="1" applyAlignment="1">
      <alignment horizontal="center" vertical="center"/>
    </xf>
    <xf numFmtId="0" fontId="0" fillId="17" borderId="0" xfId="0" applyFill="1"/>
    <xf numFmtId="205" fontId="114" fillId="11" borderId="0" xfId="10" applyNumberFormat="1" applyFont="1" applyFill="1" applyBorder="1" applyAlignment="1" applyProtection="1">
      <alignment horizontal="center" vertical="center"/>
      <protection hidden="1"/>
    </xf>
    <xf numFmtId="0" fontId="207" fillId="14" borderId="0" xfId="0" applyFont="1" applyFill="1"/>
    <xf numFmtId="175" fontId="118" fillId="12" borderId="0" xfId="7" applyNumberFormat="1" applyFont="1" applyFill="1"/>
    <xf numFmtId="175" fontId="166" fillId="12" borderId="0" xfId="7" applyNumberFormat="1" applyFont="1" applyFill="1" applyProtection="1">
      <protection hidden="1"/>
    </xf>
    <xf numFmtId="0" fontId="203" fillId="11" borderId="0" xfId="0" applyFont="1" applyFill="1"/>
    <xf numFmtId="0" fontId="0" fillId="18" borderId="0" xfId="0" applyFill="1"/>
    <xf numFmtId="0" fontId="0" fillId="0" borderId="21" xfId="0" applyBorder="1"/>
    <xf numFmtId="175" fontId="101" fillId="18" borderId="0" xfId="7" applyNumberFormat="1" applyFont="1" applyFill="1" applyProtection="1">
      <protection hidden="1"/>
    </xf>
    <xf numFmtId="0" fontId="83" fillId="18" borderId="0" xfId="0" applyFont="1" applyFill="1" applyAlignment="1" applyProtection="1">
      <alignment horizontal="right"/>
      <protection hidden="1"/>
    </xf>
    <xf numFmtId="2" fontId="213" fillId="11" borderId="0" xfId="0" quotePrefix="1" applyNumberFormat="1" applyFont="1" applyFill="1" applyAlignment="1" applyProtection="1">
      <alignment vertical="center"/>
      <protection hidden="1"/>
    </xf>
    <xf numFmtId="0" fontId="214" fillId="11" borderId="0" xfId="0" applyFont="1" applyFill="1"/>
    <xf numFmtId="43" fontId="123" fillId="14" borderId="0" xfId="2" applyNumberFormat="1" applyFont="1" applyFill="1" applyAlignment="1">
      <alignment horizontal="center" vertical="center" wrapText="1"/>
    </xf>
    <xf numFmtId="0" fontId="12" fillId="11" borderId="0" xfId="2" applyFont="1" applyFill="1" applyAlignment="1" applyProtection="1">
      <alignment horizontal="center"/>
      <protection hidden="1"/>
    </xf>
    <xf numFmtId="0" fontId="74" fillId="11" borderId="0" xfId="2" applyFont="1" applyFill="1" applyAlignment="1" applyProtection="1">
      <alignment horizontal="center"/>
      <protection hidden="1"/>
    </xf>
    <xf numFmtId="0" fontId="12" fillId="11" borderId="0" xfId="2" applyFont="1" applyFill="1" applyProtection="1">
      <protection hidden="1"/>
    </xf>
    <xf numFmtId="0" fontId="88" fillId="11" borderId="0" xfId="2" applyFont="1" applyFill="1" applyProtection="1">
      <protection hidden="1"/>
    </xf>
    <xf numFmtId="0" fontId="5" fillId="11" borderId="0" xfId="2" applyFont="1" applyFill="1" applyAlignment="1" applyProtection="1">
      <alignment horizontal="left"/>
      <protection hidden="1"/>
    </xf>
    <xf numFmtId="0" fontId="127" fillId="11" borderId="0" xfId="2" applyFont="1" applyFill="1" applyProtection="1">
      <protection hidden="1"/>
    </xf>
    <xf numFmtId="0" fontId="74" fillId="11" borderId="0" xfId="2" applyFont="1" applyFill="1" applyProtection="1">
      <protection hidden="1"/>
    </xf>
    <xf numFmtId="0" fontId="30" fillId="11" borderId="0" xfId="2" applyFont="1" applyFill="1" applyProtection="1">
      <protection hidden="1"/>
    </xf>
    <xf numFmtId="0" fontId="106" fillId="11" borderId="0" xfId="2" applyFont="1" applyFill="1" applyProtection="1">
      <protection hidden="1"/>
    </xf>
    <xf numFmtId="0" fontId="67" fillId="11" borderId="0" xfId="2" applyFont="1" applyFill="1" applyProtection="1">
      <protection hidden="1"/>
    </xf>
    <xf numFmtId="0" fontId="48" fillId="11" borderId="0" xfId="2" applyFont="1" applyFill="1" applyProtection="1">
      <protection hidden="1"/>
    </xf>
    <xf numFmtId="0" fontId="10" fillId="11" borderId="0" xfId="2" applyFont="1" applyFill="1" applyProtection="1">
      <protection hidden="1"/>
    </xf>
    <xf numFmtId="0" fontId="108" fillId="11" borderId="0" xfId="2" applyFont="1" applyFill="1" applyProtection="1">
      <protection hidden="1"/>
    </xf>
    <xf numFmtId="0" fontId="139" fillId="11" borderId="0" xfId="0" applyFont="1" applyFill="1"/>
    <xf numFmtId="0" fontId="172" fillId="11" borderId="0" xfId="0" applyFont="1" applyFill="1" applyAlignment="1">
      <alignment vertical="top"/>
    </xf>
    <xf numFmtId="0" fontId="87" fillId="11" borderId="0" xfId="0" applyFont="1" applyFill="1" applyAlignment="1">
      <alignment horizontal="center"/>
    </xf>
    <xf numFmtId="0" fontId="0" fillId="11" borderId="0" xfId="0" applyFill="1" applyAlignment="1">
      <alignment vertical="top"/>
    </xf>
    <xf numFmtId="0" fontId="0" fillId="9" borderId="21" xfId="0" applyFill="1" applyBorder="1"/>
    <xf numFmtId="0" fontId="215" fillId="14" borderId="0" xfId="2" applyFont="1" applyFill="1" applyAlignment="1" applyProtection="1">
      <alignment horizontal="center" vertical="center"/>
      <protection hidden="1"/>
    </xf>
    <xf numFmtId="0" fontId="216" fillId="14" borderId="0" xfId="0" applyFont="1" applyFill="1" applyAlignment="1">
      <alignment horizontal="center" vertical="center"/>
    </xf>
    <xf numFmtId="176" fontId="195" fillId="19" borderId="14" xfId="0" applyNumberFormat="1" applyFont="1" applyFill="1" applyBorder="1" applyAlignment="1">
      <alignment horizontal="center" vertical="center"/>
    </xf>
    <xf numFmtId="0" fontId="196" fillId="19" borderId="15" xfId="9" applyFont="1" applyFill="1" applyBorder="1" applyAlignment="1">
      <alignment horizontal="center" vertical="center"/>
    </xf>
    <xf numFmtId="43" fontId="195" fillId="19" borderId="15" xfId="1" applyFont="1" applyFill="1" applyBorder="1" applyAlignment="1" applyProtection="1">
      <alignment vertical="center"/>
    </xf>
    <xf numFmtId="0" fontId="195" fillId="19" borderId="15" xfId="0" applyFont="1" applyFill="1" applyBorder="1" applyAlignment="1">
      <alignment horizontal="center" vertical="center"/>
    </xf>
    <xf numFmtId="175" fontId="195" fillId="19" borderId="15" xfId="0" applyNumberFormat="1" applyFont="1" applyFill="1" applyBorder="1" applyAlignment="1">
      <alignment vertical="center"/>
    </xf>
    <xf numFmtId="176" fontId="195" fillId="19" borderId="15" xfId="0" applyNumberFormat="1" applyFont="1" applyFill="1" applyBorder="1" applyAlignment="1">
      <alignment horizontal="center" vertical="center"/>
    </xf>
    <xf numFmtId="2" fontId="195" fillId="19" borderId="15" xfId="0" applyNumberFormat="1" applyFont="1" applyFill="1" applyBorder="1" applyAlignment="1">
      <alignment vertical="center"/>
    </xf>
    <xf numFmtId="179" fontId="195" fillId="19" borderId="15" xfId="0" applyNumberFormat="1" applyFont="1" applyFill="1" applyBorder="1" applyAlignment="1">
      <alignment vertical="center"/>
    </xf>
    <xf numFmtId="0" fontId="195" fillId="19" borderId="16" xfId="10" applyNumberFormat="1" applyFont="1" applyFill="1" applyBorder="1" applyAlignment="1" applyProtection="1">
      <alignment horizontal="right" vertical="center"/>
    </xf>
    <xf numFmtId="43" fontId="195" fillId="19" borderId="17" xfId="1" applyFont="1" applyFill="1" applyBorder="1" applyAlignment="1" applyProtection="1">
      <alignment horizontal="center" vertical="center"/>
    </xf>
    <xf numFmtId="0" fontId="78" fillId="11" borderId="0" xfId="0" applyFont="1" applyFill="1" applyAlignment="1">
      <alignment horizontal="left" vertical="center"/>
    </xf>
    <xf numFmtId="0" fontId="28" fillId="11" borderId="0" xfId="2" applyFont="1" applyFill="1" applyAlignment="1">
      <alignment horizontal="left" vertical="center" wrapText="1"/>
    </xf>
    <xf numFmtId="10" fontId="81" fillId="11" borderId="0" xfId="10" applyNumberFormat="1" applyFont="1" applyFill="1" applyAlignment="1">
      <alignment horizontal="center" vertical="center"/>
    </xf>
    <xf numFmtId="0" fontId="0" fillId="11" borderId="0" xfId="0" applyFill="1" applyAlignment="1">
      <alignment horizontal="right"/>
    </xf>
    <xf numFmtId="177" fontId="146" fillId="11" borderId="0" xfId="12" applyNumberFormat="1" applyFont="1" applyFill="1" applyBorder="1" applyAlignment="1" applyProtection="1">
      <alignment vertical="center"/>
      <protection hidden="1"/>
    </xf>
    <xf numFmtId="184" fontId="68" fillId="14" borderId="0" xfId="0" applyNumberFormat="1" applyFont="1" applyFill="1"/>
    <xf numFmtId="0" fontId="0" fillId="14" borderId="0" xfId="0" applyFill="1" applyAlignment="1">
      <alignment horizontal="right"/>
    </xf>
    <xf numFmtId="0" fontId="172" fillId="14" borderId="0" xfId="0" applyFont="1" applyFill="1"/>
    <xf numFmtId="0" fontId="70" fillId="14" borderId="0" xfId="0" applyFont="1" applyFill="1" applyAlignment="1">
      <alignment horizontal="center" vertical="center" wrapText="1"/>
    </xf>
    <xf numFmtId="0" fontId="78" fillId="14" borderId="0" xfId="0" applyFont="1" applyFill="1" applyAlignment="1">
      <alignment horizontal="left" vertical="center" wrapText="1"/>
    </xf>
    <xf numFmtId="0" fontId="78" fillId="14" borderId="0" xfId="0" applyFont="1" applyFill="1" applyAlignment="1">
      <alignment horizontal="center" vertical="center" wrapText="1"/>
    </xf>
    <xf numFmtId="0" fontId="113" fillId="14" borderId="0" xfId="0" applyFont="1" applyFill="1"/>
    <xf numFmtId="0" fontId="115" fillId="14" borderId="0" xfId="0" applyFont="1" applyFill="1"/>
    <xf numFmtId="0" fontId="178" fillId="14" borderId="0" xfId="0" applyFont="1" applyFill="1"/>
    <xf numFmtId="169" fontId="68" fillId="14" borderId="0" xfId="10" applyNumberFormat="1" applyFont="1" applyFill="1"/>
    <xf numFmtId="0" fontId="0" fillId="19" borderId="0" xfId="0" applyFill="1"/>
    <xf numFmtId="191" fontId="183" fillId="11" borderId="0" xfId="1" applyNumberFormat="1" applyFont="1" applyFill="1" applyBorder="1" applyAlignment="1" applyProtection="1">
      <alignment horizontal="right" vertical="center"/>
      <protection hidden="1"/>
    </xf>
    <xf numFmtId="9" fontId="190" fillId="14" borderId="0" xfId="10" applyFont="1" applyFill="1" applyBorder="1" applyAlignment="1">
      <alignment horizontal="center"/>
    </xf>
    <xf numFmtId="2" fontId="189" fillId="14" borderId="0" xfId="0" applyNumberFormat="1" applyFont="1" applyFill="1" applyProtection="1">
      <protection hidden="1"/>
    </xf>
    <xf numFmtId="0" fontId="76" fillId="14" borderId="0" xfId="10" applyNumberFormat="1" applyFont="1" applyFill="1" applyBorder="1" applyAlignment="1" applyProtection="1">
      <alignment horizontal="center" vertical="top"/>
      <protection hidden="1"/>
    </xf>
    <xf numFmtId="22" fontId="66" fillId="14" borderId="0" xfId="11" applyNumberFormat="1" applyFont="1" applyFill="1" applyBorder="1" applyAlignment="1">
      <alignment horizontal="right"/>
    </xf>
    <xf numFmtId="0" fontId="175" fillId="14" borderId="0" xfId="0" applyFont="1" applyFill="1" applyAlignment="1">
      <alignment vertical="center"/>
    </xf>
    <xf numFmtId="14" fontId="0" fillId="9" borderId="0" xfId="0" applyNumberFormat="1" applyFill="1"/>
    <xf numFmtId="0" fontId="121" fillId="11" borderId="0" xfId="0" applyFont="1" applyFill="1" applyAlignment="1">
      <alignment vertical="center"/>
    </xf>
    <xf numFmtId="3" fontId="115" fillId="11" borderId="0" xfId="1" applyNumberFormat="1" applyFont="1" applyFill="1" applyBorder="1" applyAlignment="1">
      <alignment horizontal="left" vertical="center"/>
    </xf>
    <xf numFmtId="2" fontId="118" fillId="11" borderId="0" xfId="0" quotePrefix="1" applyNumberFormat="1" applyFont="1" applyFill="1" applyAlignment="1" applyProtection="1">
      <alignment vertical="center"/>
      <protection hidden="1"/>
    </xf>
    <xf numFmtId="0" fontId="136" fillId="11" borderId="0" xfId="10" quotePrefix="1" applyNumberFormat="1" applyFont="1" applyFill="1" applyBorder="1" applyAlignment="1" applyProtection="1">
      <alignment horizontal="right" vertical="center"/>
      <protection hidden="1"/>
    </xf>
    <xf numFmtId="43" fontId="136" fillId="11" borderId="0" xfId="1" quotePrefix="1" applyFont="1" applyFill="1" applyBorder="1" applyAlignment="1" applyProtection="1">
      <alignment horizontal="center" vertical="center"/>
      <protection hidden="1"/>
    </xf>
    <xf numFmtId="0" fontId="136" fillId="11" borderId="0" xfId="4" applyNumberFormat="1" applyFont="1" applyFill="1" applyBorder="1" applyAlignment="1">
      <alignment vertical="center"/>
    </xf>
    <xf numFmtId="0" fontId="29" fillId="11" borderId="0" xfId="4" applyNumberFormat="1" applyFont="1" applyFill="1" applyBorder="1" applyAlignment="1">
      <alignment vertical="center"/>
    </xf>
    <xf numFmtId="0" fontId="134" fillId="11" borderId="0" xfId="10" applyNumberFormat="1" applyFont="1" applyFill="1" applyBorder="1" applyAlignment="1" applyProtection="1">
      <alignment horizontal="right"/>
      <protection hidden="1"/>
    </xf>
    <xf numFmtId="43" fontId="134" fillId="11" borderId="0" xfId="1" applyFont="1" applyFill="1" applyBorder="1" applyAlignment="1" applyProtection="1">
      <alignment horizontal="center"/>
      <protection hidden="1"/>
    </xf>
    <xf numFmtId="0" fontId="162" fillId="11" borderId="0" xfId="0" applyFont="1" applyFill="1" applyAlignment="1">
      <alignment horizontal="center" vertical="center" wrapText="1"/>
    </xf>
    <xf numFmtId="0" fontId="95" fillId="11" borderId="0" xfId="0" applyFont="1" applyFill="1" applyAlignment="1">
      <alignment horizontal="center" vertical="center" wrapText="1"/>
    </xf>
    <xf numFmtId="0" fontId="125" fillId="11" borderId="0" xfId="10" applyNumberFormat="1" applyFont="1" applyFill="1" applyBorder="1" applyAlignment="1" applyProtection="1">
      <alignment horizontal="right"/>
      <protection hidden="1"/>
    </xf>
    <xf numFmtId="43" fontId="125" fillId="11" borderId="0" xfId="1" applyFont="1" applyFill="1" applyBorder="1" applyAlignment="1" applyProtection="1">
      <alignment horizontal="center"/>
      <protection hidden="1"/>
    </xf>
    <xf numFmtId="0" fontId="125" fillId="11" borderId="0" xfId="0" applyFont="1" applyFill="1" applyProtection="1">
      <protection hidden="1"/>
    </xf>
    <xf numFmtId="172" fontId="122" fillId="11" borderId="0" xfId="0" applyNumberFormat="1" applyFont="1" applyFill="1" applyProtection="1">
      <protection hidden="1"/>
    </xf>
    <xf numFmtId="0" fontId="89" fillId="11" borderId="0" xfId="0" applyFont="1" applyFill="1" applyProtection="1">
      <protection hidden="1"/>
    </xf>
    <xf numFmtId="0" fontId="194" fillId="11" borderId="0" xfId="0" applyFont="1" applyFill="1" applyProtection="1">
      <protection hidden="1"/>
    </xf>
    <xf numFmtId="4" fontId="89" fillId="11" borderId="0" xfId="0" applyNumberFormat="1" applyFont="1" applyFill="1" applyProtection="1">
      <protection hidden="1"/>
    </xf>
    <xf numFmtId="43" fontId="83" fillId="11" borderId="0" xfId="1" applyFont="1" applyFill="1" applyAlignment="1" applyProtection="1">
      <alignment horizontal="right"/>
      <protection hidden="1"/>
    </xf>
    <xf numFmtId="43" fontId="122" fillId="11" borderId="0" xfId="0" applyNumberFormat="1" applyFont="1" applyFill="1" applyProtection="1">
      <protection hidden="1"/>
    </xf>
    <xf numFmtId="166" fontId="89" fillId="11" borderId="0" xfId="1" applyNumberFormat="1" applyFont="1" applyFill="1" applyBorder="1" applyAlignment="1" applyProtection="1">
      <protection hidden="1"/>
    </xf>
    <xf numFmtId="0" fontId="101" fillId="11" borderId="0" xfId="10" applyNumberFormat="1" applyFont="1" applyFill="1" applyBorder="1" applyAlignment="1" applyProtection="1">
      <alignment horizontal="right"/>
      <protection hidden="1"/>
    </xf>
    <xf numFmtId="43" fontId="101" fillId="11" borderId="0" xfId="1" applyFont="1" applyFill="1" applyBorder="1" applyAlignment="1" applyProtection="1">
      <alignment horizontal="center"/>
      <protection hidden="1"/>
    </xf>
    <xf numFmtId="172" fontId="89" fillId="11" borderId="0" xfId="1" applyNumberFormat="1" applyFont="1" applyFill="1" applyBorder="1" applyAlignment="1" applyProtection="1">
      <protection hidden="1"/>
    </xf>
    <xf numFmtId="0" fontId="83" fillId="11" borderId="0" xfId="10" applyNumberFormat="1" applyFont="1" applyFill="1" applyAlignment="1" applyProtection="1">
      <alignment horizontal="right"/>
      <protection hidden="1"/>
    </xf>
    <xf numFmtId="43" fontId="83" fillId="11" borderId="0" xfId="1" applyFont="1" applyFill="1" applyAlignment="1" applyProtection="1">
      <alignment horizontal="center"/>
      <protection hidden="1"/>
    </xf>
    <xf numFmtId="172" fontId="101" fillId="11" borderId="0" xfId="7" applyNumberFormat="1" applyFont="1" applyFill="1" applyProtection="1">
      <protection hidden="1"/>
    </xf>
    <xf numFmtId="43" fontId="101" fillId="11" borderId="0" xfId="7" applyFont="1" applyFill="1" applyProtection="1">
      <protection hidden="1"/>
    </xf>
    <xf numFmtId="0" fontId="101" fillId="11" borderId="0" xfId="7" applyNumberFormat="1" applyFont="1" applyFill="1" applyProtection="1">
      <protection hidden="1"/>
    </xf>
    <xf numFmtId="177" fontId="147" fillId="11" borderId="0" xfId="12" applyNumberFormat="1" applyFont="1" applyFill="1" applyBorder="1" applyAlignment="1"/>
    <xf numFmtId="188" fontId="147" fillId="11" borderId="0" xfId="10" applyNumberFormat="1" applyFont="1" applyFill="1" applyBorder="1" applyAlignment="1" applyProtection="1">
      <protection hidden="1"/>
    </xf>
    <xf numFmtId="43" fontId="100" fillId="11" borderId="0" xfId="7" applyFont="1" applyFill="1" applyAlignment="1" applyProtection="1">
      <alignment horizontal="left" vertical="center" wrapText="1"/>
      <protection hidden="1"/>
    </xf>
    <xf numFmtId="43" fontId="100" fillId="11" borderId="0" xfId="7" applyFont="1" applyFill="1" applyAlignment="1" applyProtection="1">
      <alignment vertical="center" wrapText="1"/>
      <protection hidden="1"/>
    </xf>
    <xf numFmtId="43" fontId="100" fillId="11" borderId="0" xfId="7" applyFont="1" applyFill="1" applyAlignment="1" applyProtection="1">
      <alignment horizontal="left" vertical="center"/>
      <protection hidden="1"/>
    </xf>
    <xf numFmtId="43" fontId="100" fillId="11" borderId="0" xfId="7" applyFont="1" applyFill="1" applyAlignment="1" applyProtection="1">
      <alignment vertical="center"/>
      <protection hidden="1"/>
    </xf>
    <xf numFmtId="43" fontId="90" fillId="11" borderId="0" xfId="1" applyFont="1" applyFill="1" applyAlignment="1">
      <alignment horizontal="left"/>
    </xf>
    <xf numFmtId="43" fontId="90" fillId="11" borderId="0" xfId="1" applyFont="1" applyFill="1"/>
    <xf numFmtId="178" fontId="148" fillId="2" borderId="22" xfId="0" applyNumberFormat="1" applyFont="1" applyFill="1" applyBorder="1" applyAlignment="1" applyProtection="1">
      <alignment vertical="center"/>
      <protection hidden="1"/>
    </xf>
    <xf numFmtId="4" fontId="148" fillId="2" borderId="22" xfId="0" applyNumberFormat="1" applyFont="1" applyFill="1" applyBorder="1" applyAlignment="1" applyProtection="1">
      <alignment vertical="center"/>
      <protection hidden="1"/>
    </xf>
    <xf numFmtId="10" fontId="148" fillId="2" borderId="22" xfId="10" applyNumberFormat="1" applyFont="1" applyFill="1" applyBorder="1" applyAlignment="1" applyProtection="1">
      <alignment horizontal="center" vertical="center"/>
      <protection hidden="1"/>
    </xf>
    <xf numFmtId="180" fontId="148" fillId="2" borderId="22" xfId="1" applyNumberFormat="1" applyFont="1" applyFill="1" applyBorder="1" applyAlignment="1" applyProtection="1">
      <alignment horizontal="right" vertical="center"/>
      <protection hidden="1"/>
    </xf>
    <xf numFmtId="193" fontId="193" fillId="13" borderId="24" xfId="1" applyNumberFormat="1" applyFont="1" applyFill="1" applyBorder="1" applyAlignment="1" applyProtection="1">
      <alignment horizontal="right" vertical="center"/>
      <protection hidden="1"/>
    </xf>
    <xf numFmtId="173" fontId="148" fillId="2" borderId="25" xfId="7" applyNumberFormat="1" applyFont="1" applyFill="1" applyBorder="1" applyAlignment="1" applyProtection="1">
      <alignment vertical="center"/>
      <protection hidden="1"/>
    </xf>
    <xf numFmtId="10" fontId="88" fillId="19" borderId="27" xfId="8" applyNumberFormat="1" applyFont="1" applyFill="1" applyBorder="1" applyAlignment="1">
      <alignment horizontal="left" vertical="center"/>
    </xf>
    <xf numFmtId="4" fontId="88" fillId="19" borderId="28" xfId="3" applyNumberFormat="1" applyFont="1" applyFill="1" applyBorder="1" applyAlignment="1">
      <alignment vertical="center"/>
    </xf>
    <xf numFmtId="3" fontId="88" fillId="19" borderId="28" xfId="7" applyNumberFormat="1" applyFont="1" applyFill="1" applyBorder="1" applyAlignment="1">
      <alignment vertical="center"/>
    </xf>
    <xf numFmtId="3" fontId="88" fillId="19" borderId="28" xfId="7" applyNumberFormat="1" applyFont="1" applyFill="1" applyBorder="1" applyAlignment="1">
      <alignment horizontal="center" vertical="center"/>
    </xf>
    <xf numFmtId="3" fontId="88" fillId="19" borderId="29" xfId="7" applyNumberFormat="1" applyFont="1" applyFill="1" applyBorder="1" applyAlignment="1">
      <alignment horizontal="center" vertical="center"/>
    </xf>
    <xf numFmtId="0" fontId="192" fillId="11" borderId="0" xfId="0" applyFont="1" applyFill="1" applyAlignment="1" applyProtection="1">
      <alignment horizontal="left" vertical="center" wrapText="1"/>
      <protection hidden="1"/>
    </xf>
    <xf numFmtId="0" fontId="57" fillId="11" borderId="0" xfId="0" applyFont="1" applyFill="1" applyAlignment="1" applyProtection="1">
      <alignment vertical="center" wrapText="1"/>
      <protection hidden="1"/>
    </xf>
    <xf numFmtId="0" fontId="92" fillId="11" borderId="0" xfId="0" applyFont="1" applyFill="1" applyAlignment="1" applyProtection="1">
      <alignment horizontal="right"/>
      <protection hidden="1"/>
    </xf>
    <xf numFmtId="0" fontId="137" fillId="11" borderId="0" xfId="0" applyFont="1" applyFill="1" applyAlignment="1" applyProtection="1">
      <alignment vertical="center"/>
      <protection hidden="1"/>
    </xf>
    <xf numFmtId="0" fontId="181" fillId="11" borderId="0" xfId="0" applyFont="1" applyFill="1" applyAlignment="1">
      <alignment vertical="top"/>
    </xf>
    <xf numFmtId="0" fontId="181" fillId="11" borderId="0" xfId="0" applyFont="1" applyFill="1" applyAlignment="1">
      <alignment vertical="center"/>
    </xf>
    <xf numFmtId="0" fontId="179" fillId="11" borderId="0" xfId="0" applyFont="1" applyFill="1"/>
    <xf numFmtId="43" fontId="165" fillId="11" borderId="0" xfId="1" applyFont="1" applyFill="1" applyAlignment="1">
      <alignment vertical="center"/>
    </xf>
    <xf numFmtId="43" fontId="165" fillId="11" borderId="0" xfId="1" applyFont="1" applyFill="1"/>
    <xf numFmtId="0" fontId="220" fillId="0" borderId="0" xfId="0" applyFont="1"/>
    <xf numFmtId="0" fontId="221" fillId="0" borderId="0" xfId="0" applyFont="1" applyAlignment="1">
      <alignment vertical="center"/>
    </xf>
    <xf numFmtId="0" fontId="221" fillId="0" borderId="0" xfId="1" applyNumberFormat="1" applyFont="1" applyFill="1" applyAlignment="1">
      <alignment vertical="center"/>
    </xf>
    <xf numFmtId="0" fontId="221" fillId="3" borderId="0" xfId="1" applyNumberFormat="1" applyFont="1" applyFill="1" applyAlignment="1">
      <alignment horizontal="center" vertical="center"/>
    </xf>
    <xf numFmtId="0" fontId="221" fillId="3" borderId="0" xfId="1" applyNumberFormat="1" applyFont="1" applyFill="1" applyAlignment="1">
      <alignment vertical="center"/>
    </xf>
    <xf numFmtId="0" fontId="222" fillId="0" borderId="0" xfId="0" applyFont="1"/>
    <xf numFmtId="0" fontId="223" fillId="11" borderId="0" xfId="0" applyFont="1" applyFill="1" applyAlignment="1">
      <alignment horizontal="right" vertical="top"/>
    </xf>
    <xf numFmtId="0" fontId="224" fillId="11" borderId="0" xfId="0" applyFont="1" applyFill="1" applyAlignment="1">
      <alignment vertical="top"/>
    </xf>
    <xf numFmtId="205" fontId="183" fillId="11" borderId="0" xfId="10" applyNumberFormat="1" applyFont="1" applyFill="1" applyBorder="1" applyAlignment="1" applyProtection="1">
      <alignment horizontal="center"/>
      <protection hidden="1"/>
    </xf>
    <xf numFmtId="205" fontId="186" fillId="11" borderId="0" xfId="10" applyNumberFormat="1" applyFont="1" applyFill="1" applyBorder="1" applyAlignment="1" applyProtection="1">
      <alignment horizontal="center"/>
      <protection hidden="1"/>
    </xf>
    <xf numFmtId="0" fontId="48" fillId="14" borderId="0" xfId="2" applyFont="1" applyFill="1" applyAlignment="1" applyProtection="1">
      <alignment vertical="center"/>
      <protection hidden="1"/>
    </xf>
    <xf numFmtId="0" fontId="164" fillId="11" borderId="34" xfId="2" applyFont="1" applyFill="1" applyBorder="1" applyAlignment="1" applyProtection="1">
      <alignment horizontal="center" vertical="center"/>
      <protection hidden="1"/>
    </xf>
    <xf numFmtId="0" fontId="78" fillId="11" borderId="34" xfId="2" applyFont="1" applyFill="1" applyBorder="1" applyAlignment="1" applyProtection="1">
      <alignment horizontal="center" vertical="center"/>
      <protection hidden="1"/>
    </xf>
    <xf numFmtId="0" fontId="164" fillId="11" borderId="34" xfId="2" applyFont="1" applyFill="1" applyBorder="1" applyAlignment="1" applyProtection="1">
      <alignment horizontal="center"/>
      <protection hidden="1"/>
    </xf>
    <xf numFmtId="0" fontId="164" fillId="11" borderId="34" xfId="2" applyFont="1" applyFill="1" applyBorder="1" applyAlignment="1" applyProtection="1">
      <alignment horizontal="centerContinuous"/>
      <protection hidden="1"/>
    </xf>
    <xf numFmtId="0" fontId="225" fillId="14" borderId="0" xfId="2" applyFont="1" applyFill="1" applyAlignment="1" applyProtection="1">
      <alignment vertical="center"/>
      <protection hidden="1"/>
    </xf>
    <xf numFmtId="0" fontId="225" fillId="11" borderId="0" xfId="2" applyFont="1" applyFill="1" applyAlignment="1" applyProtection="1">
      <alignment horizontal="center" vertical="center"/>
      <protection hidden="1"/>
    </xf>
    <xf numFmtId="0" fontId="225" fillId="14" borderId="0" xfId="2" applyFont="1" applyFill="1" applyProtection="1">
      <protection hidden="1"/>
    </xf>
    <xf numFmtId="0" fontId="80" fillId="11" borderId="0" xfId="0" applyFont="1" applyFill="1" applyAlignment="1">
      <alignment horizontal="left" vertical="center"/>
    </xf>
    <xf numFmtId="0" fontId="113" fillId="11" borderId="0" xfId="0" applyFont="1" applyFill="1"/>
    <xf numFmtId="0" fontId="166" fillId="11" borderId="0" xfId="0" applyFont="1" applyFill="1" applyAlignment="1">
      <alignment horizontal="left" vertical="center"/>
    </xf>
    <xf numFmtId="43" fontId="219" fillId="11" borderId="0" xfId="1" applyFont="1" applyFill="1" applyBorder="1" applyAlignment="1"/>
    <xf numFmtId="0" fontId="70" fillId="11" borderId="0" xfId="0" applyFont="1" applyFill="1" applyAlignment="1">
      <alignment horizontal="left"/>
    </xf>
    <xf numFmtId="9" fontId="132" fillId="11" borderId="0" xfId="10" applyFont="1" applyFill="1" applyBorder="1" applyAlignment="1">
      <alignment horizontal="center" vertical="center"/>
    </xf>
    <xf numFmtId="0" fontId="71" fillId="11" borderId="0" xfId="0" applyFont="1" applyFill="1" applyAlignment="1">
      <alignment horizontal="left" vertical="center"/>
    </xf>
    <xf numFmtId="0" fontId="2" fillId="19" borderId="45" xfId="0" applyFont="1" applyFill="1" applyBorder="1" applyAlignment="1">
      <alignment horizontal="center" vertical="center"/>
    </xf>
    <xf numFmtId="9" fontId="2" fillId="19" borderId="45" xfId="0" applyNumberFormat="1" applyFont="1" applyFill="1" applyBorder="1" applyAlignment="1">
      <alignment horizontal="center" vertical="center"/>
    </xf>
    <xf numFmtId="0" fontId="69" fillId="11" borderId="0" xfId="0" applyFont="1" applyFill="1" applyAlignment="1">
      <alignment horizontal="left"/>
    </xf>
    <xf numFmtId="0" fontId="172" fillId="11" borderId="0" xfId="0" applyFont="1" applyFill="1"/>
    <xf numFmtId="0" fontId="219" fillId="11" borderId="0" xfId="0" applyFont="1" applyFill="1" applyAlignment="1">
      <alignment horizontal="left"/>
    </xf>
    <xf numFmtId="0" fontId="173" fillId="11" borderId="0" xfId="0" applyFont="1" applyFill="1" applyAlignment="1">
      <alignment horizontal="left"/>
    </xf>
    <xf numFmtId="3" fontId="2" fillId="19" borderId="44" xfId="1" applyNumberFormat="1" applyFont="1" applyFill="1" applyBorder="1" applyAlignment="1">
      <alignment horizontal="left" vertical="center"/>
    </xf>
    <xf numFmtId="197" fontId="2" fillId="19" borderId="44" xfId="0" applyNumberFormat="1" applyFont="1" applyFill="1" applyBorder="1" applyAlignment="1">
      <alignment horizontal="center" vertical="center"/>
    </xf>
    <xf numFmtId="3" fontId="115" fillId="19" borderId="44" xfId="1" applyNumberFormat="1" applyFont="1" applyFill="1" applyBorder="1" applyAlignment="1">
      <alignment horizontal="left" vertical="center"/>
    </xf>
    <xf numFmtId="0" fontId="226" fillId="14" borderId="0" xfId="0" applyFont="1" applyFill="1"/>
    <xf numFmtId="0" fontId="183" fillId="19" borderId="36" xfId="0" applyFont="1" applyFill="1" applyBorder="1" applyAlignment="1">
      <alignment horizontal="center" vertical="center"/>
    </xf>
    <xf numFmtId="0" fontId="183" fillId="19" borderId="38" xfId="0" applyFont="1" applyFill="1" applyBorder="1" applyAlignment="1">
      <alignment horizontal="center" vertical="center"/>
    </xf>
    <xf numFmtId="0" fontId="183" fillId="19" borderId="40" xfId="0" applyFont="1" applyFill="1" applyBorder="1" applyAlignment="1">
      <alignment horizontal="center" vertical="center"/>
    </xf>
    <xf numFmtId="10" fontId="2" fillId="19" borderId="45" xfId="0" applyNumberFormat="1" applyFont="1" applyFill="1" applyBorder="1" applyAlignment="1">
      <alignment horizontal="center" vertical="center"/>
    </xf>
    <xf numFmtId="196" fontId="2" fillId="19" borderId="45" xfId="0" applyNumberFormat="1" applyFont="1" applyFill="1" applyBorder="1" applyAlignment="1">
      <alignment horizontal="center" vertical="center"/>
    </xf>
    <xf numFmtId="204" fontId="217" fillId="19" borderId="45" xfId="1" applyNumberFormat="1" applyFont="1" applyFill="1" applyBorder="1" applyAlignment="1">
      <alignment horizontal="center" vertical="center"/>
    </xf>
    <xf numFmtId="197" fontId="2" fillId="19" borderId="45" xfId="0" applyNumberFormat="1" applyFont="1" applyFill="1" applyBorder="1" applyAlignment="1">
      <alignment horizontal="center" vertical="center"/>
    </xf>
    <xf numFmtId="43" fontId="0" fillId="0" borderId="1" xfId="1" applyFont="1" applyBorder="1"/>
    <xf numFmtId="200" fontId="0" fillId="0" borderId="0" xfId="0" applyNumberFormat="1"/>
    <xf numFmtId="10" fontId="0" fillId="0" borderId="1" xfId="10" applyNumberFormat="1" applyFont="1" applyBorder="1" applyAlignment="1">
      <alignment horizontal="right"/>
    </xf>
    <xf numFmtId="165" fontId="73" fillId="14" borderId="0" xfId="0" applyNumberFormat="1" applyFont="1" applyFill="1"/>
    <xf numFmtId="43" fontId="205" fillId="16" borderId="0" xfId="0" applyNumberFormat="1" applyFont="1" applyFill="1"/>
    <xf numFmtId="10" fontId="89" fillId="19" borderId="45" xfId="8" applyNumberFormat="1" applyFont="1" applyFill="1" applyBorder="1" applyAlignment="1">
      <alignment horizontal="left" vertical="center"/>
    </xf>
    <xf numFmtId="4" fontId="85" fillId="19" borderId="45" xfId="3" applyNumberFormat="1" applyFont="1" applyFill="1" applyBorder="1" applyAlignment="1">
      <alignment vertical="center"/>
    </xf>
    <xf numFmtId="0" fontId="0" fillId="13" borderId="0" xfId="0" applyFill="1"/>
    <xf numFmtId="0" fontId="208" fillId="13" borderId="0" xfId="0" applyFont="1" applyFill="1"/>
    <xf numFmtId="0" fontId="210" fillId="14" borderId="0" xfId="0" applyFont="1" applyFill="1"/>
    <xf numFmtId="0" fontId="209" fillId="2" borderId="46" xfId="0" applyFont="1" applyFill="1" applyBorder="1" applyAlignment="1">
      <alignment horizontal="left" vertical="top" wrapText="1"/>
    </xf>
    <xf numFmtId="0" fontId="203" fillId="13" borderId="0" xfId="0" applyFont="1" applyFill="1" applyAlignment="1">
      <alignment vertical="center"/>
    </xf>
    <xf numFmtId="10" fontId="0" fillId="9" borderId="1" xfId="0" applyNumberFormat="1" applyFill="1" applyBorder="1"/>
    <xf numFmtId="0" fontId="227" fillId="9" borderId="0" xfId="0" applyFont="1" applyFill="1"/>
    <xf numFmtId="0" fontId="0" fillId="20" borderId="0" xfId="0" applyFill="1"/>
    <xf numFmtId="0" fontId="0" fillId="21" borderId="0" xfId="0" applyFill="1"/>
    <xf numFmtId="0" fontId="0" fillId="22" borderId="0" xfId="0" applyFill="1"/>
    <xf numFmtId="187" fontId="228" fillId="11" borderId="0" xfId="10" applyNumberFormat="1" applyFont="1" applyFill="1" applyBorder="1" applyAlignment="1" applyProtection="1">
      <alignment horizontal="center" vertical="center"/>
      <protection hidden="1"/>
    </xf>
    <xf numFmtId="0" fontId="0" fillId="0" borderId="0" xfId="0" pivotButton="1"/>
    <xf numFmtId="190" fontId="230" fillId="11" borderId="0" xfId="10" applyNumberFormat="1" applyFont="1" applyFill="1" applyBorder="1" applyAlignment="1">
      <alignment vertical="center"/>
    </xf>
    <xf numFmtId="1" fontId="182" fillId="11" borderId="0" xfId="0" applyNumberFormat="1" applyFont="1" applyFill="1" applyAlignment="1">
      <alignment horizontal="center" vertical="center"/>
    </xf>
    <xf numFmtId="2" fontId="183" fillId="11" borderId="0" xfId="0" applyNumberFormat="1" applyFont="1" applyFill="1" applyAlignment="1" applyProtection="1">
      <alignment horizontal="center"/>
      <protection hidden="1"/>
    </xf>
    <xf numFmtId="43" fontId="125" fillId="14" borderId="0" xfId="1" applyFont="1" applyFill="1" applyBorder="1" applyAlignment="1" applyProtection="1">
      <alignment vertical="center"/>
      <protection hidden="1"/>
    </xf>
    <xf numFmtId="43" fontId="140" fillId="7" borderId="53" xfId="1" applyFont="1" applyFill="1" applyBorder="1" applyAlignment="1" applyProtection="1">
      <alignment horizontal="left" vertical="center"/>
      <protection hidden="1"/>
    </xf>
    <xf numFmtId="10" fontId="120" fillId="13" borderId="18" xfId="5" applyNumberFormat="1" applyFont="1" applyFill="1" applyBorder="1" applyAlignment="1" applyProtection="1">
      <alignment horizontal="center" vertical="center"/>
      <protection hidden="1"/>
    </xf>
    <xf numFmtId="43" fontId="148" fillId="7" borderId="6" xfId="1" applyFont="1" applyFill="1" applyBorder="1" applyAlignment="1" applyProtection="1">
      <alignment horizontal="right" vertical="center"/>
      <protection hidden="1"/>
    </xf>
    <xf numFmtId="43" fontId="148" fillId="13" borderId="18" xfId="1" applyFont="1" applyFill="1" applyBorder="1" applyAlignment="1" applyProtection="1">
      <alignment horizontal="center" vertical="center"/>
      <protection hidden="1"/>
    </xf>
    <xf numFmtId="43" fontId="148" fillId="13" borderId="18" xfId="1" applyFont="1" applyFill="1" applyBorder="1" applyAlignment="1" applyProtection="1">
      <alignment horizontal="right" vertical="center"/>
      <protection hidden="1"/>
    </xf>
    <xf numFmtId="43" fontId="199" fillId="13" borderId="18" xfId="1" applyFont="1" applyFill="1" applyBorder="1" applyAlignment="1" applyProtection="1">
      <alignment horizontal="right" vertical="center"/>
      <protection hidden="1"/>
    </xf>
    <xf numFmtId="188" fontId="183" fillId="11" borderId="0" xfId="10" applyNumberFormat="1" applyFont="1" applyFill="1" applyBorder="1" applyAlignment="1" applyProtection="1">
      <alignment horizontal="center"/>
      <protection hidden="1"/>
    </xf>
    <xf numFmtId="0" fontId="231" fillId="14" borderId="0" xfId="0" applyFont="1" applyFill="1"/>
    <xf numFmtId="0" fontId="0" fillId="9" borderId="56" xfId="0" applyFill="1" applyBorder="1"/>
    <xf numFmtId="43" fontId="0" fillId="9" borderId="47" xfId="1" applyFont="1" applyFill="1" applyBorder="1"/>
    <xf numFmtId="0" fontId="0" fillId="9" borderId="57" xfId="0" applyFill="1" applyBorder="1"/>
    <xf numFmtId="9" fontId="0" fillId="0" borderId="0" xfId="0" applyNumberFormat="1"/>
    <xf numFmtId="43" fontId="0" fillId="9" borderId="0" xfId="0" applyNumberFormat="1" applyFill="1"/>
    <xf numFmtId="10" fontId="232" fillId="11" borderId="0" xfId="0" applyNumberFormat="1" applyFont="1" applyFill="1" applyAlignment="1">
      <alignment horizontal="left"/>
    </xf>
    <xf numFmtId="22" fontId="233" fillId="11" borderId="0" xfId="0" applyNumberFormat="1" applyFont="1" applyFill="1" applyAlignment="1">
      <alignment horizontal="right"/>
    </xf>
    <xf numFmtId="172" fontId="0" fillId="0" borderId="0" xfId="1" applyNumberFormat="1" applyFont="1"/>
    <xf numFmtId="43" fontId="203" fillId="14" borderId="0" xfId="1" applyFont="1" applyFill="1"/>
    <xf numFmtId="0" fontId="0" fillId="14" borderId="0" xfId="0" applyFill="1" applyAlignment="1">
      <alignment vertical="top"/>
    </xf>
    <xf numFmtId="0" fontId="0" fillId="0" borderId="0" xfId="0" applyAlignment="1">
      <alignment vertical="top"/>
    </xf>
    <xf numFmtId="172" fontId="0" fillId="0" borderId="0" xfId="1" applyNumberFormat="1" applyFont="1" applyAlignment="1">
      <alignment vertical="top"/>
    </xf>
    <xf numFmtId="0" fontId="235" fillId="14" borderId="0" xfId="0" applyFont="1" applyFill="1"/>
    <xf numFmtId="0" fontId="235" fillId="0" borderId="0" xfId="0" applyFont="1"/>
    <xf numFmtId="43" fontId="236" fillId="14" borderId="0" xfId="1" applyFont="1" applyFill="1"/>
    <xf numFmtId="14" fontId="236" fillId="14" borderId="0" xfId="0" applyNumberFormat="1" applyFont="1" applyFill="1"/>
    <xf numFmtId="43" fontId="237" fillId="11" borderId="0" xfId="1" applyFont="1" applyFill="1" applyBorder="1" applyAlignment="1">
      <alignment horizontal="left"/>
    </xf>
    <xf numFmtId="43" fontId="238" fillId="11" borderId="0" xfId="1" applyFont="1" applyFill="1" applyBorder="1" applyAlignment="1">
      <alignment horizontal="left"/>
    </xf>
    <xf numFmtId="43" fontId="200" fillId="11" borderId="0" xfId="1" applyFont="1" applyFill="1" applyBorder="1" applyAlignment="1">
      <alignment horizontal="left"/>
    </xf>
    <xf numFmtId="43" fontId="232" fillId="11" borderId="0" xfId="1" applyFont="1" applyFill="1" applyBorder="1" applyAlignment="1">
      <alignment horizontal="left"/>
    </xf>
    <xf numFmtId="43" fontId="237" fillId="11" borderId="0" xfId="1" applyFont="1" applyFill="1" applyBorder="1" applyAlignment="1">
      <alignment horizontal="left" vertical="center"/>
    </xf>
    <xf numFmtId="0" fontId="237" fillId="11" borderId="0" xfId="1" applyNumberFormat="1" applyFont="1" applyFill="1" applyBorder="1" applyAlignment="1">
      <alignment horizontal="left" vertical="center"/>
    </xf>
    <xf numFmtId="43" fontId="239" fillId="11" borderId="0" xfId="1" applyFont="1" applyFill="1" applyBorder="1" applyAlignment="1" applyProtection="1">
      <alignment horizontal="left"/>
      <protection hidden="1"/>
    </xf>
    <xf numFmtId="4" fontId="237" fillId="11" borderId="0" xfId="0" applyNumberFormat="1" applyFont="1" applyFill="1" applyAlignment="1" applyProtection="1">
      <alignment horizontal="center" vertical="center"/>
      <protection hidden="1"/>
    </xf>
    <xf numFmtId="169" fontId="237" fillId="11" borderId="0" xfId="10" applyNumberFormat="1" applyFont="1" applyFill="1" applyBorder="1" applyAlignment="1" applyProtection="1">
      <alignment horizontal="center" vertical="center"/>
      <protection hidden="1"/>
    </xf>
    <xf numFmtId="43" fontId="237" fillId="11" borderId="0" xfId="1" applyFont="1" applyFill="1" applyBorder="1" applyAlignment="1" applyProtection="1">
      <alignment horizontal="left"/>
      <protection hidden="1"/>
    </xf>
    <xf numFmtId="0" fontId="241" fillId="11" borderId="0" xfId="0" applyFont="1" applyFill="1" applyAlignment="1">
      <alignment vertical="top"/>
    </xf>
    <xf numFmtId="0" fontId="241" fillId="11" borderId="0" xfId="0" applyFont="1" applyFill="1" applyAlignment="1">
      <alignment vertical="center"/>
    </xf>
    <xf numFmtId="43" fontId="242" fillId="11" borderId="12" xfId="1" applyFont="1" applyFill="1" applyBorder="1" applyAlignment="1" applyProtection="1">
      <alignment horizontal="left" vertical="center"/>
      <protection hidden="1"/>
    </xf>
    <xf numFmtId="10" fontId="244" fillId="11" borderId="12" xfId="5" applyNumberFormat="1" applyFont="1" applyFill="1" applyBorder="1" applyAlignment="1" applyProtection="1">
      <alignment horizontal="center" vertical="center"/>
      <protection hidden="1"/>
    </xf>
    <xf numFmtId="43" fontId="245" fillId="11" borderId="12" xfId="1" applyFont="1" applyFill="1" applyBorder="1" applyAlignment="1" applyProtection="1">
      <alignment horizontal="center" vertical="center"/>
      <protection hidden="1"/>
    </xf>
    <xf numFmtId="0" fontId="246" fillId="14" borderId="0" xfId="2" applyFont="1" applyFill="1" applyAlignment="1" applyProtection="1">
      <alignment vertical="center"/>
      <protection hidden="1"/>
    </xf>
    <xf numFmtId="43" fontId="243" fillId="11" borderId="52" xfId="1" applyFont="1" applyFill="1" applyBorder="1" applyAlignment="1" applyProtection="1">
      <alignment horizontal="right" vertical="center"/>
      <protection hidden="1"/>
    </xf>
    <xf numFmtId="0" fontId="247" fillId="14" borderId="0" xfId="2" applyFont="1" applyFill="1" applyAlignment="1" applyProtection="1">
      <alignment vertical="center"/>
      <protection hidden="1"/>
    </xf>
    <xf numFmtId="43" fontId="242" fillId="13" borderId="23" xfId="1" applyFont="1" applyFill="1" applyBorder="1" applyAlignment="1" applyProtection="1">
      <alignment horizontal="left" vertical="center"/>
      <protection hidden="1"/>
    </xf>
    <xf numFmtId="10" fontId="248" fillId="13" borderId="24" xfId="5" applyNumberFormat="1" applyFont="1" applyFill="1" applyBorder="1" applyAlignment="1" applyProtection="1">
      <alignment horizontal="center" vertical="center"/>
      <protection hidden="1"/>
    </xf>
    <xf numFmtId="43" fontId="245" fillId="13" borderId="24" xfId="1" applyFont="1" applyFill="1" applyBorder="1" applyAlignment="1" applyProtection="1">
      <alignment horizontal="right" vertical="center"/>
      <protection hidden="1"/>
    </xf>
    <xf numFmtId="43" fontId="245" fillId="13" borderId="24" xfId="1" applyFont="1" applyFill="1" applyBorder="1" applyAlignment="1" applyProtection="1">
      <alignment horizontal="center" vertical="center"/>
      <protection hidden="1"/>
    </xf>
    <xf numFmtId="0" fontId="246" fillId="14" borderId="49" xfId="2" applyFont="1" applyFill="1" applyBorder="1" applyAlignment="1" applyProtection="1">
      <alignment vertical="center"/>
      <protection hidden="1"/>
    </xf>
    <xf numFmtId="0" fontId="246" fillId="14" borderId="50" xfId="2" applyFont="1" applyFill="1" applyBorder="1" applyAlignment="1" applyProtection="1">
      <alignment vertical="center"/>
      <protection hidden="1"/>
    </xf>
    <xf numFmtId="0" fontId="246" fillId="14" borderId="51" xfId="2" applyFont="1" applyFill="1" applyBorder="1" applyAlignment="1" applyProtection="1">
      <alignment vertical="center"/>
      <protection hidden="1"/>
    </xf>
    <xf numFmtId="181" fontId="243" fillId="13" borderId="0" xfId="10" applyNumberFormat="1" applyFont="1" applyFill="1" applyBorder="1" applyAlignment="1" applyProtection="1">
      <alignment horizontal="center" vertical="center"/>
      <protection hidden="1"/>
    </xf>
    <xf numFmtId="43" fontId="247" fillId="14" borderId="0" xfId="3" applyFont="1" applyFill="1" applyAlignment="1" applyProtection="1">
      <alignment horizontal="center" vertical="center"/>
      <protection hidden="1"/>
    </xf>
    <xf numFmtId="169" fontId="249" fillId="13" borderId="0" xfId="10" applyNumberFormat="1" applyFont="1" applyFill="1" applyBorder="1" applyAlignment="1" applyProtection="1">
      <alignment horizontal="center" vertical="center"/>
      <protection hidden="1"/>
    </xf>
    <xf numFmtId="168" fontId="251" fillId="13" borderId="0" xfId="3" applyNumberFormat="1" applyFont="1" applyFill="1" applyAlignment="1" applyProtection="1">
      <alignment horizontal="center" vertical="center"/>
      <protection hidden="1"/>
    </xf>
    <xf numFmtId="173" fontId="243" fillId="13" borderId="0" xfId="1" applyNumberFormat="1" applyFont="1" applyFill="1" applyBorder="1" applyAlignment="1" applyProtection="1">
      <alignment horizontal="right" vertical="center"/>
      <protection hidden="1"/>
    </xf>
    <xf numFmtId="181" fontId="243" fillId="13" borderId="48" xfId="10" applyNumberFormat="1" applyFont="1" applyFill="1" applyBorder="1" applyAlignment="1" applyProtection="1">
      <alignment horizontal="center" vertical="center"/>
      <protection hidden="1"/>
    </xf>
    <xf numFmtId="43" fontId="246" fillId="14" borderId="0" xfId="3" applyFont="1" applyFill="1" applyAlignment="1" applyProtection="1">
      <alignment horizontal="center" vertical="center"/>
      <protection hidden="1"/>
    </xf>
    <xf numFmtId="169" fontId="250" fillId="13" borderId="24" xfId="10" applyNumberFormat="1" applyFont="1" applyFill="1" applyBorder="1" applyAlignment="1" applyProtection="1">
      <alignment horizontal="center" vertical="center"/>
      <protection hidden="1"/>
    </xf>
    <xf numFmtId="168" fontId="248" fillId="13" borderId="24" xfId="3" applyNumberFormat="1" applyFont="1" applyFill="1" applyBorder="1" applyAlignment="1" applyProtection="1">
      <alignment horizontal="center" vertical="center"/>
      <protection hidden="1"/>
    </xf>
    <xf numFmtId="173" fontId="245" fillId="13" borderId="48" xfId="1" applyNumberFormat="1" applyFont="1" applyFill="1" applyBorder="1" applyAlignment="1" applyProtection="1">
      <alignment horizontal="right" vertical="center"/>
      <protection hidden="1"/>
    </xf>
    <xf numFmtId="0" fontId="253" fillId="11" borderId="0" xfId="1" applyNumberFormat="1" applyFont="1" applyFill="1" applyBorder="1" applyAlignment="1">
      <alignment horizontal="center" vertical="top"/>
    </xf>
    <xf numFmtId="169" fontId="253" fillId="11" borderId="0" xfId="10" applyNumberFormat="1" applyFont="1" applyFill="1" applyBorder="1" applyAlignment="1">
      <alignment vertical="top"/>
    </xf>
    <xf numFmtId="174" fontId="243" fillId="11" borderId="0" xfId="0" applyNumberFormat="1" applyFont="1" applyFill="1" applyAlignment="1" applyProtection="1">
      <alignment horizontal="right" vertical="center"/>
      <protection hidden="1"/>
    </xf>
    <xf numFmtId="2" fontId="243" fillId="11" borderId="0" xfId="0" applyNumberFormat="1" applyFont="1" applyFill="1" applyAlignment="1" applyProtection="1">
      <alignment horizontal="right" vertical="center"/>
      <protection hidden="1"/>
    </xf>
    <xf numFmtId="43" fontId="257" fillId="14" borderId="61" xfId="1" applyFont="1" applyFill="1" applyBorder="1" applyAlignment="1">
      <alignment horizontal="center"/>
    </xf>
    <xf numFmtId="172" fontId="257" fillId="14" borderId="61" xfId="1" applyNumberFormat="1" applyFont="1" applyFill="1" applyBorder="1" applyAlignment="1">
      <alignment horizontal="center"/>
    </xf>
    <xf numFmtId="208" fontId="257" fillId="14" borderId="61" xfId="0" applyNumberFormat="1" applyFont="1" applyFill="1" applyBorder="1" applyAlignment="1">
      <alignment horizontal="center"/>
    </xf>
    <xf numFmtId="0" fontId="257" fillId="14" borderId="61" xfId="0" applyFont="1" applyFill="1" applyBorder="1" applyAlignment="1">
      <alignment horizontal="center"/>
    </xf>
    <xf numFmtId="0" fontId="0" fillId="9" borderId="1" xfId="0" applyFill="1" applyBorder="1" applyAlignment="1">
      <alignment vertical="center"/>
    </xf>
    <xf numFmtId="212" fontId="197" fillId="11" borderId="0" xfId="12" applyNumberFormat="1" applyFont="1" applyFill="1" applyBorder="1" applyAlignment="1" applyProtection="1">
      <alignment vertical="top"/>
      <protection hidden="1"/>
    </xf>
    <xf numFmtId="213" fontId="61" fillId="11" borderId="0" xfId="0" applyNumberFormat="1" applyFont="1" applyFill="1"/>
    <xf numFmtId="213" fontId="87" fillId="11" borderId="0" xfId="0" applyNumberFormat="1" applyFont="1" applyFill="1"/>
    <xf numFmtId="213" fontId="15" fillId="11" borderId="0" xfId="0" applyNumberFormat="1" applyFont="1" applyFill="1"/>
    <xf numFmtId="169" fontId="197" fillId="11" borderId="0" xfId="1" applyNumberFormat="1" applyFont="1" applyFill="1" applyBorder="1" applyAlignment="1" applyProtection="1">
      <alignment vertical="center"/>
      <protection hidden="1"/>
    </xf>
    <xf numFmtId="169" fontId="197" fillId="11" borderId="0" xfId="10" applyNumberFormat="1" applyFont="1" applyFill="1" applyBorder="1" applyAlignment="1" applyProtection="1">
      <alignment vertical="center"/>
      <protection hidden="1"/>
    </xf>
    <xf numFmtId="1" fontId="182" fillId="11" borderId="0" xfId="0" applyNumberFormat="1" applyFont="1" applyFill="1" applyAlignment="1" applyProtection="1">
      <alignment horizontal="center"/>
      <protection hidden="1"/>
    </xf>
    <xf numFmtId="1" fontId="185" fillId="11" borderId="0" xfId="0" applyNumberFormat="1" applyFont="1" applyFill="1" applyAlignment="1" applyProtection="1">
      <alignment horizontal="center"/>
      <protection hidden="1"/>
    </xf>
    <xf numFmtId="1" fontId="182" fillId="11" borderId="0" xfId="1" applyNumberFormat="1" applyFont="1" applyFill="1" applyBorder="1" applyAlignment="1" applyProtection="1">
      <alignment horizontal="center"/>
      <protection hidden="1"/>
    </xf>
    <xf numFmtId="1" fontId="185" fillId="11" borderId="0" xfId="1" applyNumberFormat="1" applyFont="1" applyFill="1" applyBorder="1" applyAlignment="1" applyProtection="1">
      <alignment horizontal="center"/>
      <protection hidden="1"/>
    </xf>
    <xf numFmtId="169" fontId="182" fillId="11" borderId="0" xfId="10" applyNumberFormat="1" applyFont="1" applyFill="1" applyBorder="1" applyAlignment="1" applyProtection="1">
      <alignment horizontal="center"/>
      <protection hidden="1"/>
    </xf>
    <xf numFmtId="169" fontId="185" fillId="11" borderId="0" xfId="10" applyNumberFormat="1" applyFont="1" applyFill="1" applyBorder="1" applyAlignment="1" applyProtection="1">
      <alignment horizontal="center"/>
      <protection hidden="1"/>
    </xf>
    <xf numFmtId="167" fontId="197" fillId="11" borderId="0" xfId="10" applyNumberFormat="1" applyFont="1" applyFill="1" applyBorder="1" applyAlignment="1" applyProtection="1">
      <alignment horizontal="center"/>
      <protection hidden="1"/>
    </xf>
    <xf numFmtId="214" fontId="0" fillId="0" borderId="0" xfId="0" applyNumberFormat="1"/>
    <xf numFmtId="208" fontId="261" fillId="14" borderId="61" xfId="0" applyNumberFormat="1" applyFont="1" applyFill="1" applyBorder="1" applyAlignment="1">
      <alignment horizontal="left"/>
    </xf>
    <xf numFmtId="215" fontId="61" fillId="11" borderId="0" xfId="0" applyNumberFormat="1" applyFont="1" applyFill="1"/>
    <xf numFmtId="215" fontId="63" fillId="11" borderId="0" xfId="0" applyNumberFormat="1" applyFont="1" applyFill="1" applyAlignment="1">
      <alignment vertical="center"/>
    </xf>
    <xf numFmtId="215" fontId="63" fillId="11" borderId="0" xfId="0" applyNumberFormat="1" applyFont="1" applyFill="1"/>
    <xf numFmtId="215" fontId="65" fillId="11" borderId="0" xfId="12" applyNumberFormat="1" applyFont="1" applyFill="1" applyBorder="1" applyAlignment="1" applyProtection="1">
      <alignment horizontal="center"/>
      <protection hidden="1"/>
    </xf>
    <xf numFmtId="215" fontId="110" fillId="11" borderId="0" xfId="0" applyNumberFormat="1" applyFont="1" applyFill="1"/>
    <xf numFmtId="215" fontId="182" fillId="11" borderId="0" xfId="12" applyNumberFormat="1" applyFont="1" applyFill="1" applyBorder="1" applyAlignment="1" applyProtection="1">
      <alignment horizontal="centerContinuous" vertical="center"/>
      <protection hidden="1"/>
    </xf>
    <xf numFmtId="215" fontId="185" fillId="11" borderId="0" xfId="12" applyNumberFormat="1" applyFont="1" applyFill="1" applyBorder="1" applyAlignment="1" applyProtection="1">
      <alignment horizontal="centerContinuous" vertical="center"/>
      <protection hidden="1"/>
    </xf>
    <xf numFmtId="215" fontId="183" fillId="11" borderId="0" xfId="1" applyNumberFormat="1" applyFont="1" applyFill="1" applyBorder="1" applyAlignment="1" applyProtection="1">
      <alignment horizontal="center"/>
      <protection hidden="1"/>
    </xf>
    <xf numFmtId="215" fontId="243" fillId="11" borderId="0" xfId="12" applyNumberFormat="1" applyFont="1" applyFill="1" applyBorder="1" applyAlignment="1" applyProtection="1">
      <alignment vertical="top"/>
      <protection hidden="1"/>
    </xf>
    <xf numFmtId="215" fontId="243" fillId="11" borderId="0" xfId="12" applyNumberFormat="1" applyFont="1" applyFill="1" applyBorder="1" applyAlignment="1" applyProtection="1">
      <alignment horizontal="right" vertical="center"/>
      <protection hidden="1"/>
    </xf>
    <xf numFmtId="215" fontId="249" fillId="11" borderId="0" xfId="12" applyNumberFormat="1" applyFont="1" applyFill="1" applyBorder="1" applyAlignment="1" applyProtection="1">
      <alignment horizontal="right" vertical="center"/>
      <protection hidden="1"/>
    </xf>
    <xf numFmtId="215" fontId="243" fillId="11" borderId="0" xfId="12" applyNumberFormat="1" applyFont="1" applyFill="1" applyBorder="1" applyAlignment="1" applyProtection="1">
      <alignment vertical="center"/>
      <protection hidden="1"/>
    </xf>
    <xf numFmtId="215" fontId="254" fillId="11" borderId="0" xfId="0" applyNumberFormat="1" applyFont="1" applyFill="1"/>
    <xf numFmtId="215" fontId="252" fillId="11" borderId="0" xfId="0" applyNumberFormat="1" applyFont="1" applyFill="1"/>
    <xf numFmtId="215" fontId="255" fillId="11" borderId="0" xfId="2" applyNumberFormat="1" applyFont="1" applyFill="1" applyProtection="1">
      <protection hidden="1"/>
    </xf>
    <xf numFmtId="215" fontId="243" fillId="11" borderId="0" xfId="12" applyNumberFormat="1" applyFont="1" applyFill="1" applyBorder="1" applyAlignment="1">
      <alignment horizontal="centerContinuous" vertical="center"/>
    </xf>
    <xf numFmtId="215" fontId="245" fillId="13" borderId="24" xfId="12" applyNumberFormat="1" applyFont="1" applyFill="1" applyBorder="1" applyAlignment="1" applyProtection="1">
      <alignment vertical="center"/>
      <protection hidden="1"/>
    </xf>
    <xf numFmtId="215" fontId="148" fillId="7" borderId="6" xfId="12" applyNumberFormat="1" applyFont="1" applyFill="1" applyBorder="1" applyAlignment="1" applyProtection="1">
      <alignment vertical="center"/>
      <protection hidden="1"/>
    </xf>
    <xf numFmtId="215" fontId="150" fillId="4" borderId="2" xfId="12" applyNumberFormat="1" applyFont="1" applyFill="1" applyBorder="1" applyAlignment="1" applyProtection="1">
      <alignment vertical="center"/>
      <protection hidden="1"/>
    </xf>
    <xf numFmtId="215" fontId="0" fillId="0" borderId="0" xfId="0" applyNumberFormat="1"/>
    <xf numFmtId="215" fontId="243" fillId="11" borderId="12" xfId="12" applyNumberFormat="1" applyFont="1" applyFill="1" applyBorder="1" applyAlignment="1" applyProtection="1">
      <alignment vertical="center"/>
      <protection hidden="1"/>
    </xf>
    <xf numFmtId="215" fontId="245" fillId="13" borderId="23" xfId="12" applyNumberFormat="1" applyFont="1" applyFill="1" applyBorder="1" applyAlignment="1" applyProtection="1">
      <alignment vertical="center"/>
      <protection hidden="1"/>
    </xf>
    <xf numFmtId="215" fontId="150" fillId="4" borderId="3" xfId="12" applyNumberFormat="1" applyFont="1" applyFill="1" applyBorder="1" applyAlignment="1" applyProtection="1">
      <alignment vertical="center"/>
      <protection hidden="1"/>
    </xf>
    <xf numFmtId="215" fontId="148" fillId="7" borderId="54" xfId="12" applyNumberFormat="1" applyFont="1" applyFill="1" applyBorder="1" applyAlignment="1" applyProtection="1">
      <alignment vertical="center"/>
      <protection hidden="1"/>
    </xf>
    <xf numFmtId="215" fontId="148" fillId="4" borderId="2" xfId="12" applyNumberFormat="1" applyFont="1" applyFill="1" applyBorder="1" applyAlignment="1" applyProtection="1">
      <alignment vertical="center"/>
      <protection hidden="1"/>
    </xf>
    <xf numFmtId="215" fontId="245" fillId="13" borderId="48" xfId="12" applyNumberFormat="1" applyFont="1" applyFill="1" applyBorder="1" applyAlignment="1" applyProtection="1">
      <alignment vertical="center"/>
      <protection hidden="1"/>
    </xf>
    <xf numFmtId="215" fontId="199" fillId="13" borderId="18" xfId="12" applyNumberFormat="1" applyFont="1" applyFill="1" applyBorder="1" applyAlignment="1" applyProtection="1">
      <alignment vertical="center"/>
      <protection hidden="1"/>
    </xf>
    <xf numFmtId="215" fontId="150" fillId="4" borderId="4" xfId="12" applyNumberFormat="1" applyFont="1" applyFill="1" applyBorder="1" applyAlignment="1" applyProtection="1">
      <alignment vertical="center"/>
      <protection hidden="1"/>
    </xf>
    <xf numFmtId="215" fontId="199" fillId="13" borderId="55" xfId="12" applyNumberFormat="1" applyFont="1" applyFill="1" applyBorder="1" applyAlignment="1" applyProtection="1">
      <alignment vertical="center"/>
      <protection hidden="1"/>
    </xf>
    <xf numFmtId="215" fontId="243" fillId="13" borderId="0" xfId="12" applyNumberFormat="1" applyFont="1" applyFill="1" applyBorder="1" applyAlignment="1" applyProtection="1">
      <alignment horizontal="center" vertical="center"/>
      <protection hidden="1"/>
    </xf>
    <xf numFmtId="215" fontId="249" fillId="13" borderId="0" xfId="12" applyNumberFormat="1" applyFont="1" applyFill="1" applyBorder="1" applyAlignment="1" applyProtection="1">
      <alignment horizontal="center" vertical="center"/>
      <protection hidden="1"/>
    </xf>
    <xf numFmtId="215" fontId="243" fillId="13" borderId="0" xfId="12" applyNumberFormat="1" applyFont="1" applyFill="1" applyBorder="1" applyAlignment="1">
      <alignment vertical="center"/>
    </xf>
    <xf numFmtId="215" fontId="245" fillId="13" borderId="24" xfId="12" applyNumberFormat="1" applyFont="1" applyFill="1" applyBorder="1" applyAlignment="1" applyProtection="1">
      <alignment horizontal="center" vertical="center"/>
      <protection hidden="1"/>
    </xf>
    <xf numFmtId="215" fontId="250" fillId="13" borderId="24" xfId="12" applyNumberFormat="1" applyFont="1" applyFill="1" applyBorder="1" applyAlignment="1" applyProtection="1">
      <alignment horizontal="center" vertical="center"/>
      <protection hidden="1"/>
    </xf>
    <xf numFmtId="216" fontId="191" fillId="11" borderId="0" xfId="12" applyNumberFormat="1" applyFont="1" applyFill="1" applyBorder="1" applyAlignment="1" applyProtection="1">
      <alignment horizontal="centerContinuous" vertical="top"/>
      <protection hidden="1"/>
    </xf>
    <xf numFmtId="216" fontId="180" fillId="11" borderId="0" xfId="0" applyNumberFormat="1" applyFont="1" applyFill="1" applyAlignment="1">
      <alignment horizontal="centerContinuous" vertical="top"/>
    </xf>
    <xf numFmtId="216" fontId="229" fillId="11" borderId="0" xfId="12" applyNumberFormat="1" applyFont="1" applyFill="1" applyBorder="1" applyAlignment="1" applyProtection="1">
      <alignment horizontal="centerContinuous" vertical="top"/>
      <protection hidden="1"/>
    </xf>
    <xf numFmtId="216" fontId="149" fillId="11" borderId="0" xfId="0" applyNumberFormat="1" applyFont="1" applyFill="1" applyAlignment="1">
      <alignment horizontal="centerContinuous" vertical="top"/>
    </xf>
    <xf numFmtId="216" fontId="211" fillId="11" borderId="0" xfId="12" applyNumberFormat="1" applyFont="1" applyFill="1" applyBorder="1" applyAlignment="1" applyProtection="1">
      <alignment horizontal="centerContinuous" vertical="top"/>
      <protection hidden="1"/>
    </xf>
    <xf numFmtId="14" fontId="260" fillId="23" borderId="44" xfId="0" applyNumberFormat="1" applyFont="1" applyFill="1" applyBorder="1" applyAlignment="1">
      <alignment horizontal="left" vertical="center"/>
    </xf>
    <xf numFmtId="0" fontId="260" fillId="23" borderId="44" xfId="0" applyFont="1" applyFill="1" applyBorder="1" applyAlignment="1">
      <alignment horizontal="left" vertical="center"/>
    </xf>
    <xf numFmtId="0" fontId="258" fillId="14" borderId="0" xfId="0" applyFont="1" applyFill="1" applyAlignment="1">
      <alignment horizontal="left" vertical="top"/>
    </xf>
    <xf numFmtId="0" fontId="163" fillId="11" borderId="0" xfId="0" applyFont="1" applyFill="1"/>
    <xf numFmtId="14" fontId="206" fillId="0" borderId="0" xfId="0" applyNumberFormat="1" applyFont="1" applyAlignment="1">
      <alignment horizontal="center" vertical="center"/>
    </xf>
    <xf numFmtId="10" fontId="240" fillId="11" borderId="0" xfId="0" applyNumberFormat="1" applyFont="1" applyFill="1" applyAlignment="1">
      <alignment horizontal="left" vertical="center"/>
    </xf>
    <xf numFmtId="10" fontId="264" fillId="11" borderId="0" xfId="10" applyNumberFormat="1" applyFont="1" applyFill="1" applyBorder="1" applyAlignment="1" applyProtection="1">
      <alignment horizontal="right" vertical="center"/>
      <protection hidden="1"/>
    </xf>
    <xf numFmtId="44" fontId="265" fillId="11" borderId="0" xfId="12" applyFont="1" applyFill="1" applyBorder="1" applyAlignment="1" applyProtection="1">
      <alignment horizontal="center" vertical="center"/>
      <protection hidden="1"/>
    </xf>
    <xf numFmtId="0" fontId="266" fillId="19" borderId="0" xfId="0" applyFont="1" applyFill="1" applyAlignment="1">
      <alignment horizontal="center" vertical="center"/>
    </xf>
    <xf numFmtId="14" fontId="237" fillId="11" borderId="0" xfId="0" applyNumberFormat="1" applyFont="1" applyFill="1" applyAlignment="1">
      <alignment horizontal="right" vertical="top"/>
    </xf>
    <xf numFmtId="43" fontId="200" fillId="11" borderId="0" xfId="1" applyFont="1" applyFill="1" applyAlignment="1">
      <alignment vertical="center"/>
    </xf>
    <xf numFmtId="43" fontId="200" fillId="11" borderId="0" xfId="1" applyFont="1" applyFill="1" applyAlignment="1">
      <alignment horizontal="left" vertical="center"/>
    </xf>
    <xf numFmtId="0" fontId="267" fillId="11" borderId="0" xfId="0" applyFont="1" applyFill="1" applyAlignment="1">
      <alignment horizontal="left" vertical="center"/>
    </xf>
    <xf numFmtId="0" fontId="268" fillId="11" borderId="0" xfId="0" applyFont="1" applyFill="1" applyAlignment="1">
      <alignment horizontal="left" vertical="center"/>
    </xf>
    <xf numFmtId="0" fontId="268" fillId="14" borderId="0" xfId="0" applyFont="1" applyFill="1" applyAlignment="1">
      <alignment horizontal="left" vertical="center"/>
    </xf>
    <xf numFmtId="0" fontId="269" fillId="14" borderId="0" xfId="0" applyFont="1" applyFill="1" applyAlignment="1">
      <alignment vertical="center"/>
    </xf>
    <xf numFmtId="0" fontId="268" fillId="14" borderId="0" xfId="0" applyFont="1" applyFill="1" applyAlignment="1">
      <alignment vertical="center"/>
    </xf>
    <xf numFmtId="43" fontId="270" fillId="19" borderId="37" xfId="1" applyFont="1" applyFill="1" applyBorder="1" applyAlignment="1">
      <alignment horizontal="left" vertical="center"/>
    </xf>
    <xf numFmtId="43" fontId="270" fillId="19" borderId="14" xfId="1" applyFont="1" applyFill="1" applyBorder="1" applyAlignment="1">
      <alignment horizontal="left" vertical="center"/>
    </xf>
    <xf numFmtId="43" fontId="270" fillId="19" borderId="39" xfId="1" applyFont="1" applyFill="1" applyBorder="1" applyAlignment="1">
      <alignment horizontal="left" vertical="center"/>
    </xf>
    <xf numFmtId="43" fontId="270" fillId="19" borderId="41" xfId="1" applyFont="1" applyFill="1" applyBorder="1" applyAlignment="1">
      <alignment horizontal="left" vertical="center"/>
    </xf>
    <xf numFmtId="43" fontId="270" fillId="19" borderId="42" xfId="1" applyFont="1" applyFill="1" applyBorder="1" applyAlignment="1">
      <alignment horizontal="left" vertical="center"/>
    </xf>
    <xf numFmtId="43" fontId="270" fillId="19" borderId="43" xfId="1" applyFont="1" applyFill="1" applyBorder="1" applyAlignment="1">
      <alignment horizontal="left" vertical="center"/>
    </xf>
    <xf numFmtId="43" fontId="271" fillId="19" borderId="14" xfId="1" applyFont="1" applyFill="1" applyBorder="1" applyAlignment="1">
      <alignment horizontal="left"/>
    </xf>
    <xf numFmtId="43" fontId="271" fillId="19" borderId="14" xfId="1" applyFont="1" applyFill="1" applyBorder="1" applyAlignment="1" applyProtection="1">
      <alignment horizontal="left"/>
    </xf>
    <xf numFmtId="0" fontId="272" fillId="14" borderId="0" xfId="0" applyFont="1" applyFill="1" applyAlignment="1">
      <alignment horizontal="left" vertical="center"/>
    </xf>
    <xf numFmtId="0" fontId="273" fillId="11" borderId="0" xfId="0" applyFont="1" applyFill="1" applyAlignment="1">
      <alignment vertical="center"/>
    </xf>
    <xf numFmtId="0" fontId="273" fillId="11" borderId="0" xfId="0" applyFont="1" applyFill="1" applyAlignment="1">
      <alignment horizontal="center" vertical="center"/>
    </xf>
    <xf numFmtId="0" fontId="274" fillId="11" borderId="34" xfId="2" applyFont="1" applyFill="1" applyBorder="1" applyAlignment="1" applyProtection="1">
      <alignment horizontal="center" vertical="center"/>
      <protection hidden="1"/>
    </xf>
    <xf numFmtId="14" fontId="225" fillId="13" borderId="0" xfId="0" applyNumberFormat="1" applyFont="1" applyFill="1" applyAlignment="1">
      <alignment horizontal="center" vertical="center" wrapText="1"/>
    </xf>
    <xf numFmtId="0" fontId="225" fillId="13" borderId="0" xfId="0" applyFont="1" applyFill="1" applyAlignment="1">
      <alignment horizontal="center" vertical="center" wrapText="1"/>
    </xf>
    <xf numFmtId="0" fontId="225" fillId="13" borderId="0" xfId="0" applyFont="1" applyFill="1" applyAlignment="1">
      <alignment horizontal="center" vertical="center"/>
    </xf>
    <xf numFmtId="164" fontId="225" fillId="13" borderId="0" xfId="0" applyNumberFormat="1" applyFont="1" applyFill="1" applyAlignment="1">
      <alignment horizontal="center" vertical="center" wrapText="1"/>
    </xf>
    <xf numFmtId="0" fontId="225" fillId="13" borderId="0" xfId="10" applyNumberFormat="1" applyFont="1" applyFill="1" applyBorder="1" applyAlignment="1">
      <alignment horizontal="right" vertical="center" wrapText="1"/>
    </xf>
    <xf numFmtId="43" fontId="225" fillId="13" borderId="0" xfId="1" applyFont="1" applyFill="1" applyBorder="1" applyAlignment="1">
      <alignment horizontal="center" vertical="center" wrapText="1"/>
    </xf>
    <xf numFmtId="0" fontId="225" fillId="0" borderId="0" xfId="0" applyFont="1"/>
    <xf numFmtId="0" fontId="225" fillId="13" borderId="0" xfId="0" applyFont="1" applyFill="1" applyAlignment="1" applyProtection="1">
      <alignment horizontal="center" vertical="center" wrapText="1"/>
      <protection hidden="1"/>
    </xf>
    <xf numFmtId="10" fontId="225" fillId="13" borderId="0" xfId="0" applyNumberFormat="1" applyFont="1" applyFill="1" applyAlignment="1">
      <alignment horizontal="center" vertical="center" wrapText="1"/>
    </xf>
    <xf numFmtId="10" fontId="225" fillId="13" borderId="5" xfId="0" applyNumberFormat="1" applyFont="1" applyFill="1" applyBorder="1" applyAlignment="1">
      <alignment horizontal="center" vertical="center" wrapText="1"/>
    </xf>
    <xf numFmtId="10" fontId="225" fillId="13" borderId="5" xfId="0" applyNumberFormat="1" applyFont="1" applyFill="1" applyBorder="1" applyAlignment="1">
      <alignment horizontal="left" vertical="center" wrapText="1"/>
    </xf>
    <xf numFmtId="43" fontId="225" fillId="13" borderId="0" xfId="2" applyNumberFormat="1" applyFont="1" applyFill="1" applyAlignment="1">
      <alignment horizontal="center" vertical="center" wrapText="1"/>
    </xf>
    <xf numFmtId="0" fontId="225" fillId="13" borderId="0" xfId="0" applyFont="1" applyFill="1" applyAlignment="1">
      <alignment vertical="center"/>
    </xf>
    <xf numFmtId="0" fontId="225" fillId="13" borderId="0" xfId="2" applyFont="1" applyFill="1" applyAlignment="1">
      <alignment horizontal="center" vertical="center" wrapText="1"/>
    </xf>
    <xf numFmtId="0" fontId="225" fillId="14" borderId="0" xfId="2" applyFont="1" applyFill="1" applyAlignment="1">
      <alignment horizontal="center" vertical="center" wrapText="1"/>
    </xf>
    <xf numFmtId="0" fontId="225" fillId="11" borderId="0" xfId="0" applyFont="1" applyFill="1" applyAlignment="1">
      <alignment horizontal="left" vertical="center"/>
    </xf>
    <xf numFmtId="0" fontId="225" fillId="11" borderId="0" xfId="0" applyFont="1" applyFill="1" applyAlignment="1">
      <alignment horizontal="center" vertical="center" wrapText="1"/>
    </xf>
    <xf numFmtId="0" fontId="225" fillId="11" borderId="0" xfId="0" applyFont="1" applyFill="1" applyAlignment="1">
      <alignment horizontal="center" vertical="center"/>
    </xf>
    <xf numFmtId="0" fontId="275" fillId="11" borderId="0" xfId="0" applyFont="1" applyFill="1" applyAlignment="1">
      <alignment horizontal="left" vertical="top"/>
    </xf>
    <xf numFmtId="0" fontId="275" fillId="11" borderId="0" xfId="0" applyFont="1" applyFill="1" applyAlignment="1">
      <alignment horizontal="center" vertical="top"/>
    </xf>
    <xf numFmtId="0" fontId="276" fillId="14" borderId="0" xfId="0" applyFont="1" applyFill="1"/>
    <xf numFmtId="43" fontId="277" fillId="11" borderId="0" xfId="1" applyFont="1" applyFill="1" applyAlignment="1" applyProtection="1">
      <alignment horizontal="left"/>
      <protection hidden="1"/>
    </xf>
    <xf numFmtId="43" fontId="278" fillId="11" borderId="0" xfId="1" applyFont="1" applyFill="1" applyAlignment="1" applyProtection="1">
      <alignment horizontal="left"/>
      <protection hidden="1"/>
    </xf>
    <xf numFmtId="1" fontId="280" fillId="11" borderId="0" xfId="0" applyNumberFormat="1" applyFont="1" applyFill="1" applyAlignment="1" applyProtection="1">
      <alignment horizontal="center" vertical="center"/>
      <protection hidden="1"/>
    </xf>
    <xf numFmtId="4" fontId="280" fillId="11" borderId="0" xfId="0" applyNumberFormat="1" applyFont="1" applyFill="1" applyAlignment="1" applyProtection="1">
      <alignment horizontal="center" vertical="center"/>
      <protection hidden="1"/>
    </xf>
    <xf numFmtId="0" fontId="225" fillId="11" borderId="0" xfId="0" applyFont="1" applyFill="1" applyAlignment="1" applyProtection="1">
      <alignment horizontal="centerContinuous" vertical="top"/>
      <protection hidden="1"/>
    </xf>
    <xf numFmtId="0" fontId="225" fillId="11" borderId="0" xfId="0" applyFont="1" applyFill="1" applyAlignment="1">
      <alignment horizontal="centerContinuous" vertical="top"/>
    </xf>
    <xf numFmtId="0" fontId="281" fillId="11" borderId="0" xfId="0" applyFont="1" applyFill="1" applyAlignment="1">
      <alignment vertical="center"/>
    </xf>
    <xf numFmtId="0" fontId="281" fillId="11" borderId="0" xfId="0" applyFont="1" applyFill="1"/>
    <xf numFmtId="0" fontId="281" fillId="11" borderId="0" xfId="0" applyFont="1" applyFill="1" applyAlignment="1" applyProtection="1">
      <alignment vertical="top"/>
      <protection hidden="1"/>
    </xf>
    <xf numFmtId="0" fontId="279" fillId="11" borderId="0" xfId="0" applyFont="1" applyFill="1" applyAlignment="1" applyProtection="1">
      <alignment horizontal="left" vertical="top"/>
      <protection hidden="1"/>
    </xf>
    <xf numFmtId="3" fontId="193" fillId="19" borderId="31" xfId="7" applyNumberFormat="1" applyFont="1" applyFill="1" applyBorder="1" applyAlignment="1">
      <alignment horizontal="left" vertical="center"/>
    </xf>
    <xf numFmtId="3" fontId="193" fillId="19" borderId="32" xfId="7" applyNumberFormat="1" applyFont="1" applyFill="1" applyBorder="1" applyAlignment="1">
      <alignment horizontal="left" vertical="center"/>
    </xf>
    <xf numFmtId="10" fontId="193" fillId="19" borderId="30" xfId="8" applyNumberFormat="1" applyFont="1" applyFill="1" applyBorder="1" applyAlignment="1">
      <alignment horizontal="left" vertical="center"/>
    </xf>
    <xf numFmtId="3" fontId="193" fillId="19" borderId="31" xfId="7" applyNumberFormat="1" applyFont="1" applyFill="1" applyBorder="1" applyAlignment="1">
      <alignment vertical="center"/>
    </xf>
    <xf numFmtId="3" fontId="193" fillId="19" borderId="31" xfId="7" applyNumberFormat="1" applyFont="1" applyFill="1" applyBorder="1" applyAlignment="1">
      <alignment horizontal="center" vertical="center"/>
    </xf>
    <xf numFmtId="3" fontId="193" fillId="19" borderId="32" xfId="7" applyNumberFormat="1" applyFont="1" applyFill="1" applyBorder="1" applyAlignment="1">
      <alignment horizontal="center" vertical="center"/>
    </xf>
    <xf numFmtId="4" fontId="193" fillId="19" borderId="31" xfId="3" applyNumberFormat="1" applyFont="1" applyFill="1" applyBorder="1" applyAlignment="1">
      <alignment vertical="center"/>
    </xf>
    <xf numFmtId="9" fontId="0" fillId="0" borderId="0" xfId="10" applyFont="1" applyProtection="1"/>
    <xf numFmtId="43" fontId="282" fillId="11" borderId="0" xfId="1" applyFont="1" applyFill="1" applyBorder="1" applyAlignment="1" applyProtection="1">
      <alignment horizontal="left" vertical="top"/>
      <protection hidden="1"/>
    </xf>
    <xf numFmtId="169" fontId="283" fillId="11" borderId="0" xfId="10" applyNumberFormat="1" applyFont="1" applyFill="1" applyBorder="1" applyAlignment="1" applyProtection="1">
      <alignment horizontal="left" vertical="top"/>
      <protection hidden="1"/>
    </xf>
    <xf numFmtId="43" fontId="284" fillId="11" borderId="0" xfId="1" applyFont="1" applyFill="1" applyBorder="1" applyAlignment="1">
      <alignment horizontal="left" vertical="center"/>
    </xf>
    <xf numFmtId="0" fontId="166" fillId="11" borderId="0" xfId="0" applyFont="1" applyFill="1" applyAlignment="1">
      <alignment horizontal="right"/>
    </xf>
    <xf numFmtId="14" fontId="134" fillId="11" borderId="0" xfId="7" applyNumberFormat="1" applyFont="1" applyFill="1" applyProtection="1">
      <protection hidden="1"/>
    </xf>
    <xf numFmtId="43" fontId="134" fillId="11" borderId="0" xfId="1" applyFont="1" applyFill="1" applyProtection="1">
      <protection hidden="1"/>
    </xf>
    <xf numFmtId="43" fontId="2" fillId="19" borderId="45" xfId="1" applyFont="1" applyFill="1" applyBorder="1" applyAlignment="1">
      <alignment horizontal="left" vertical="center"/>
    </xf>
    <xf numFmtId="0" fontId="285" fillId="14" borderId="0" xfId="2" applyFont="1" applyFill="1" applyAlignment="1">
      <alignment horizontal="center" vertical="center"/>
    </xf>
    <xf numFmtId="215" fontId="286" fillId="13" borderId="0" xfId="12" applyNumberFormat="1" applyFont="1" applyFill="1" applyBorder="1" applyAlignment="1" applyProtection="1">
      <alignment horizontal="center" vertical="center"/>
      <protection hidden="1"/>
    </xf>
    <xf numFmtId="215" fontId="287" fillId="13" borderId="24" xfId="12" applyNumberFormat="1" applyFont="1" applyFill="1" applyBorder="1" applyAlignment="1" applyProtection="1">
      <alignment horizontal="center" vertical="center"/>
      <protection hidden="1"/>
    </xf>
    <xf numFmtId="170" fontId="287" fillId="13" borderId="23" xfId="2" applyNumberFormat="1" applyFont="1" applyFill="1" applyBorder="1" applyAlignment="1" applyProtection="1">
      <alignment horizontal="center" vertical="center"/>
      <protection hidden="1"/>
    </xf>
    <xf numFmtId="0" fontId="288" fillId="13" borderId="24" xfId="0" applyFont="1" applyFill="1" applyBorder="1" applyAlignment="1">
      <alignment vertical="center"/>
    </xf>
    <xf numFmtId="186" fontId="289" fillId="13" borderId="23" xfId="3" applyNumberFormat="1" applyFont="1" applyFill="1" applyBorder="1" applyAlignment="1" applyProtection="1">
      <alignment horizontal="center" vertical="center"/>
      <protection hidden="1"/>
    </xf>
    <xf numFmtId="169" fontId="289" fillId="13" borderId="24" xfId="10" applyNumberFormat="1" applyFont="1" applyFill="1" applyBorder="1" applyAlignment="1" applyProtection="1">
      <alignment horizontal="center" vertical="center"/>
      <protection hidden="1"/>
    </xf>
    <xf numFmtId="168" fontId="289" fillId="13" borderId="24" xfId="3" applyNumberFormat="1" applyFont="1" applyFill="1" applyBorder="1" applyAlignment="1" applyProtection="1">
      <alignment horizontal="center" vertical="center"/>
      <protection hidden="1"/>
    </xf>
    <xf numFmtId="43" fontId="290" fillId="13" borderId="0" xfId="2" applyNumberFormat="1" applyFont="1" applyFill="1" applyAlignment="1">
      <alignment horizontal="center" vertical="center" wrapText="1"/>
    </xf>
    <xf numFmtId="0" fontId="291" fillId="13" borderId="0" xfId="0" applyFont="1" applyFill="1"/>
    <xf numFmtId="3" fontId="286" fillId="13" borderId="0" xfId="3" applyNumberFormat="1" applyFont="1" applyFill="1" applyAlignment="1" applyProtection="1">
      <alignment horizontal="center" vertical="center"/>
      <protection hidden="1"/>
    </xf>
    <xf numFmtId="169" fontId="286" fillId="13" borderId="0" xfId="10" applyNumberFormat="1" applyFont="1" applyFill="1" applyBorder="1" applyAlignment="1" applyProtection="1">
      <alignment horizontal="center" vertical="center"/>
      <protection hidden="1"/>
    </xf>
    <xf numFmtId="168" fontId="286" fillId="13" borderId="0" xfId="3" applyNumberFormat="1" applyFont="1" applyFill="1" applyAlignment="1" applyProtection="1">
      <alignment horizontal="center" vertical="center"/>
      <protection hidden="1"/>
    </xf>
    <xf numFmtId="0" fontId="292" fillId="11" borderId="0" xfId="0" applyFont="1" applyFill="1" applyAlignment="1" applyProtection="1">
      <alignment vertical="center"/>
      <protection hidden="1"/>
    </xf>
    <xf numFmtId="178" fontId="293" fillId="13" borderId="23" xfId="0" applyNumberFormat="1" applyFont="1" applyFill="1" applyBorder="1" applyAlignment="1" applyProtection="1">
      <alignment vertical="center"/>
      <protection hidden="1"/>
    </xf>
    <xf numFmtId="4" fontId="293" fillId="13" borderId="24" xfId="0" applyNumberFormat="1" applyFont="1" applyFill="1" applyBorder="1" applyAlignment="1" applyProtection="1">
      <alignment vertical="center"/>
      <protection hidden="1"/>
    </xf>
    <xf numFmtId="10" fontId="293" fillId="13" borderId="24" xfId="10" applyNumberFormat="1" applyFont="1" applyFill="1" applyBorder="1" applyAlignment="1" applyProtection="1">
      <alignment horizontal="center" vertical="center"/>
      <protection hidden="1"/>
    </xf>
    <xf numFmtId="173" fontId="293" fillId="13" borderId="26" xfId="7" applyNumberFormat="1" applyFont="1" applyFill="1" applyBorder="1" applyAlignment="1" applyProtection="1">
      <alignment vertical="center"/>
      <protection hidden="1"/>
    </xf>
    <xf numFmtId="0" fontId="294" fillId="11" borderId="0" xfId="0" applyFont="1" applyFill="1" applyAlignment="1">
      <alignment horizontal="left"/>
    </xf>
    <xf numFmtId="0" fontId="220" fillId="0" borderId="0" xfId="0" applyFont="1" applyProtection="1">
      <protection hidden="1"/>
    </xf>
    <xf numFmtId="0" fontId="296" fillId="0" borderId="0" xfId="0" applyFont="1" applyProtection="1">
      <protection hidden="1"/>
    </xf>
    <xf numFmtId="0" fontId="297" fillId="0" borderId="0" xfId="0" applyFont="1"/>
    <xf numFmtId="0" fontId="298" fillId="0" borderId="0" xfId="0" applyFont="1" applyAlignment="1" applyProtection="1">
      <alignment vertical="center"/>
      <protection hidden="1"/>
    </xf>
    <xf numFmtId="0" fontId="298" fillId="0" borderId="0" xfId="0" applyFont="1" applyAlignment="1" applyProtection="1">
      <alignment horizontal="center" vertical="center"/>
      <protection hidden="1"/>
    </xf>
    <xf numFmtId="0" fontId="179" fillId="0" borderId="0" xfId="0" quotePrefix="1" applyFont="1"/>
    <xf numFmtId="0" fontId="0" fillId="24" borderId="0" xfId="0" applyFill="1"/>
    <xf numFmtId="0" fontId="299" fillId="2" borderId="46" xfId="0" applyFont="1" applyFill="1" applyBorder="1" applyAlignment="1">
      <alignment horizontal="center" vertical="center" wrapText="1"/>
    </xf>
    <xf numFmtId="0" fontId="0" fillId="0" borderId="62" xfId="0" applyBorder="1" applyAlignment="1">
      <alignment horizontal="center"/>
    </xf>
    <xf numFmtId="0" fontId="0" fillId="25" borderId="62" xfId="0" applyFill="1" applyBorder="1" applyAlignment="1">
      <alignment horizontal="center"/>
    </xf>
    <xf numFmtId="0" fontId="0" fillId="0" borderId="62" xfId="0" applyBorder="1"/>
    <xf numFmtId="0" fontId="0" fillId="0" borderId="62" xfId="0" applyBorder="1" applyAlignment="1">
      <alignment horizontal="center" vertical="center"/>
    </xf>
    <xf numFmtId="0" fontId="295" fillId="25" borderId="62" xfId="0" applyFont="1" applyFill="1" applyBorder="1" applyAlignment="1">
      <alignment horizontal="center"/>
    </xf>
    <xf numFmtId="164" fontId="118" fillId="11" borderId="0" xfId="7" applyNumberFormat="1" applyFont="1" applyFill="1"/>
    <xf numFmtId="0" fontId="118" fillId="11" borderId="0" xfId="10" applyNumberFormat="1" applyFont="1" applyFill="1" applyAlignment="1">
      <alignment horizontal="right"/>
    </xf>
    <xf numFmtId="43" fontId="118" fillId="11" borderId="0" xfId="1" applyFont="1" applyFill="1" applyAlignment="1">
      <alignment horizontal="center"/>
    </xf>
    <xf numFmtId="0" fontId="118" fillId="11" borderId="0" xfId="0" applyFont="1" applyFill="1"/>
    <xf numFmtId="10" fontId="118" fillId="11" borderId="0" xfId="0" applyNumberFormat="1" applyFont="1" applyFill="1"/>
    <xf numFmtId="0" fontId="58" fillId="11" borderId="0" xfId="0" applyFont="1" applyFill="1"/>
    <xf numFmtId="10" fontId="58" fillId="11" borderId="0" xfId="0" applyNumberFormat="1" applyFont="1" applyFill="1" applyAlignment="1">
      <alignment horizontal="left"/>
    </xf>
    <xf numFmtId="10" fontId="58" fillId="11" borderId="0" xfId="0" applyNumberFormat="1" applyFont="1" applyFill="1"/>
    <xf numFmtId="0" fontId="59" fillId="11" borderId="0" xfId="0" applyFont="1" applyFill="1"/>
    <xf numFmtId="43" fontId="75" fillId="11" borderId="0" xfId="7" applyFont="1" applyFill="1" applyAlignment="1" applyProtection="1">
      <alignment vertical="center" wrapText="1"/>
      <protection hidden="1"/>
    </xf>
    <xf numFmtId="165" fontId="73" fillId="11" borderId="0" xfId="0" applyNumberFormat="1" applyFont="1" applyFill="1"/>
    <xf numFmtId="0" fontId="231" fillId="11" borderId="0" xfId="0" applyFont="1" applyFill="1"/>
    <xf numFmtId="0" fontId="68" fillId="11" borderId="0" xfId="0" applyFont="1" applyFill="1"/>
    <xf numFmtId="44" fontId="68" fillId="11" borderId="0" xfId="12" applyFont="1" applyFill="1"/>
    <xf numFmtId="183" fontId="68" fillId="11" borderId="0" xfId="0" applyNumberFormat="1" applyFont="1" applyFill="1"/>
    <xf numFmtId="184" fontId="68" fillId="11" borderId="0" xfId="0" applyNumberFormat="1" applyFont="1" applyFill="1"/>
    <xf numFmtId="0" fontId="300" fillId="19" borderId="0" xfId="0" applyFont="1" applyFill="1" applyAlignment="1">
      <alignment horizontal="center" vertical="center"/>
    </xf>
    <xf numFmtId="0" fontId="301" fillId="14" borderId="0" xfId="0" applyFont="1" applyFill="1" applyAlignment="1">
      <alignment vertical="center"/>
    </xf>
    <xf numFmtId="209" fontId="263" fillId="19" borderId="58" xfId="0" applyNumberFormat="1" applyFont="1" applyFill="1" applyBorder="1" applyAlignment="1" applyProtection="1">
      <alignment horizontal="left" vertical="top"/>
      <protection hidden="1"/>
    </xf>
    <xf numFmtId="216" fontId="259" fillId="19" borderId="59" xfId="1" applyNumberFormat="1" applyFont="1" applyFill="1" applyBorder="1" applyAlignment="1" applyProtection="1">
      <alignment horizontal="left" vertical="top"/>
      <protection hidden="1"/>
    </xf>
    <xf numFmtId="210" fontId="262" fillId="19" borderId="60" xfId="0" applyNumberFormat="1" applyFont="1" applyFill="1" applyBorder="1" applyAlignment="1" applyProtection="1">
      <alignment horizontal="left" vertical="top"/>
      <protection hidden="1"/>
    </xf>
    <xf numFmtId="210" fontId="262" fillId="19" borderId="59" xfId="0" applyNumberFormat="1" applyFont="1" applyFill="1" applyBorder="1" applyAlignment="1" applyProtection="1">
      <alignment horizontal="left" vertical="top"/>
      <protection hidden="1"/>
    </xf>
    <xf numFmtId="209" fontId="234" fillId="14" borderId="0" xfId="0" applyNumberFormat="1" applyFont="1" applyFill="1" applyAlignment="1" applyProtection="1">
      <alignment horizontal="left" vertical="top"/>
      <protection hidden="1"/>
    </xf>
    <xf numFmtId="208" fontId="261" fillId="14" borderId="61" xfId="0" applyNumberFormat="1" applyFont="1" applyFill="1" applyBorder="1" applyAlignment="1" applyProtection="1">
      <alignment horizontal="left"/>
      <protection hidden="1"/>
    </xf>
    <xf numFmtId="43" fontId="257" fillId="14" borderId="61" xfId="1" applyFont="1" applyFill="1" applyBorder="1" applyAlignment="1" applyProtection="1">
      <alignment horizontal="center"/>
      <protection hidden="1"/>
    </xf>
    <xf numFmtId="172" fontId="257" fillId="14" borderId="61" xfId="1" applyNumberFormat="1" applyFont="1" applyFill="1" applyBorder="1" applyAlignment="1" applyProtection="1">
      <alignment horizontal="center"/>
      <protection hidden="1"/>
    </xf>
    <xf numFmtId="208" fontId="257" fillId="14" borderId="61" xfId="0" applyNumberFormat="1" applyFont="1" applyFill="1" applyBorder="1" applyAlignment="1" applyProtection="1">
      <alignment horizontal="center"/>
      <protection hidden="1"/>
    </xf>
    <xf numFmtId="0" fontId="257" fillId="14" borderId="61" xfId="0" applyFont="1" applyFill="1" applyBorder="1" applyAlignment="1" applyProtection="1">
      <alignment horizontal="center"/>
      <protection hidden="1"/>
    </xf>
    <xf numFmtId="0" fontId="258" fillId="14" borderId="0" xfId="0" applyFont="1" applyFill="1" applyAlignment="1" applyProtection="1">
      <alignment horizontal="left" vertical="top"/>
      <protection hidden="1"/>
    </xf>
    <xf numFmtId="208" fontId="256" fillId="14" borderId="61" xfId="0" applyNumberFormat="1" applyFont="1" applyFill="1" applyBorder="1" applyAlignment="1" applyProtection="1">
      <alignment horizontal="left"/>
      <protection hidden="1"/>
    </xf>
    <xf numFmtId="0" fontId="302" fillId="0" borderId="0" xfId="0" applyFont="1" applyAlignment="1">
      <alignment vertical="center"/>
    </xf>
    <xf numFmtId="0" fontId="0" fillId="0" borderId="0" xfId="0" applyAlignment="1">
      <alignment horizontal="left" vertical="center" indent="1"/>
    </xf>
    <xf numFmtId="0" fontId="303" fillId="0" borderId="0" xfId="0" applyFont="1" applyAlignment="1">
      <alignment horizontal="left" vertical="center" indent="1"/>
    </xf>
    <xf numFmtId="0" fontId="303" fillId="0" borderId="0" xfId="0" applyFont="1" applyAlignment="1">
      <alignment vertical="center"/>
    </xf>
    <xf numFmtId="0" fontId="304" fillId="0" borderId="0" xfId="0" applyFont="1"/>
    <xf numFmtId="0" fontId="305" fillId="0" borderId="0" xfId="0" applyFont="1" applyAlignment="1">
      <alignment vertical="center"/>
    </xf>
    <xf numFmtId="0" fontId="179" fillId="0" borderId="0" xfId="0" applyFont="1" applyAlignment="1">
      <alignment vertical="top"/>
    </xf>
    <xf numFmtId="14" fontId="53" fillId="0" borderId="20" xfId="0" applyNumberFormat="1" applyFont="1" applyBorder="1" applyAlignment="1" applyProtection="1">
      <alignment horizontal="center" vertical="center"/>
      <protection hidden="1"/>
    </xf>
    <xf numFmtId="14" fontId="53" fillId="0" borderId="33" xfId="0" applyNumberFormat="1" applyFont="1" applyBorder="1" applyAlignment="1" applyProtection="1">
      <alignment horizontal="center" vertical="center"/>
      <protection hidden="1"/>
    </xf>
    <xf numFmtId="14" fontId="53" fillId="0" borderId="19" xfId="0" applyNumberFormat="1" applyFont="1" applyBorder="1" applyAlignment="1" applyProtection="1">
      <alignment horizontal="center" vertical="center"/>
      <protection hidden="1"/>
    </xf>
    <xf numFmtId="0" fontId="303" fillId="0" borderId="0" xfId="0" applyFont="1" applyAlignment="1">
      <alignment horizontal="left" vertical="center" wrapText="1"/>
    </xf>
    <xf numFmtId="195" fontId="202" fillId="11" borderId="0" xfId="10" applyNumberFormat="1" applyFont="1" applyFill="1" applyBorder="1" applyAlignment="1" applyProtection="1">
      <alignment horizontal="center" vertical="center"/>
      <protection hidden="1"/>
    </xf>
    <xf numFmtId="215" fontId="182" fillId="11" borderId="0" xfId="12" applyNumberFormat="1" applyFont="1" applyFill="1" applyBorder="1" applyAlignment="1">
      <alignment horizontal="right"/>
    </xf>
    <xf numFmtId="44" fontId="182" fillId="11" borderId="0" xfId="12" applyFont="1" applyFill="1" applyBorder="1" applyAlignment="1">
      <alignment horizontal="right"/>
    </xf>
    <xf numFmtId="167" fontId="133" fillId="11" borderId="0" xfId="0" applyNumberFormat="1" applyFont="1" applyFill="1" applyAlignment="1">
      <alignment horizontal="center" vertical="center"/>
    </xf>
    <xf numFmtId="0" fontId="189" fillId="11" borderId="0" xfId="0" applyFont="1" applyFill="1" applyAlignment="1">
      <alignment horizontal="center"/>
    </xf>
    <xf numFmtId="215" fontId="182" fillId="11" borderId="0" xfId="12" applyNumberFormat="1" applyFont="1" applyFill="1" applyBorder="1" applyAlignment="1" applyProtection="1">
      <alignment horizontal="right"/>
      <protection hidden="1"/>
    </xf>
    <xf numFmtId="177" fontId="182" fillId="11" borderId="0" xfId="12" applyNumberFormat="1" applyFont="1" applyFill="1" applyBorder="1" applyAlignment="1" applyProtection="1">
      <alignment horizontal="right"/>
      <protection hidden="1"/>
    </xf>
    <xf numFmtId="215" fontId="185" fillId="11" borderId="0" xfId="12" applyNumberFormat="1" applyFont="1" applyFill="1" applyBorder="1" applyAlignment="1">
      <alignment horizontal="right"/>
    </xf>
    <xf numFmtId="44" fontId="185" fillId="11" borderId="0" xfId="12" applyFont="1" applyFill="1" applyBorder="1" applyAlignment="1">
      <alignment horizontal="right"/>
    </xf>
    <xf numFmtId="213" fontId="281" fillId="11" borderId="0" xfId="0" applyNumberFormat="1" applyFont="1" applyFill="1" applyAlignment="1">
      <alignment horizontal="center"/>
    </xf>
    <xf numFmtId="0" fontId="281" fillId="11" borderId="0" xfId="0" applyFont="1" applyFill="1" applyAlignment="1">
      <alignment horizontal="center"/>
    </xf>
    <xf numFmtId="0" fontId="188" fillId="11" borderId="0" xfId="0" applyFont="1" applyFill="1" applyAlignment="1">
      <alignment horizontal="center"/>
    </xf>
    <xf numFmtId="215" fontId="146" fillId="11" borderId="0" xfId="12" applyNumberFormat="1" applyFont="1" applyFill="1" applyBorder="1" applyAlignment="1" applyProtection="1">
      <alignment horizontal="right" vertical="center"/>
      <protection hidden="1"/>
    </xf>
    <xf numFmtId="177" fontId="146" fillId="11" borderId="0" xfId="12" applyNumberFormat="1" applyFont="1" applyFill="1" applyBorder="1" applyAlignment="1" applyProtection="1">
      <alignment horizontal="right" vertical="center"/>
      <protection hidden="1"/>
    </xf>
    <xf numFmtId="211" fontId="133" fillId="11" borderId="0" xfId="0" applyNumberFormat="1" applyFont="1" applyFill="1" applyAlignment="1">
      <alignment horizontal="center" vertical="center"/>
    </xf>
    <xf numFmtId="10" fontId="62" fillId="14" borderId="0" xfId="0" applyNumberFormat="1" applyFont="1" applyFill="1" applyAlignment="1">
      <alignment horizontal="center" vertical="center"/>
    </xf>
    <xf numFmtId="169" fontId="197" fillId="11" borderId="0" xfId="10" applyNumberFormat="1" applyFont="1" applyFill="1" applyBorder="1" applyAlignment="1" applyProtection="1">
      <alignment horizontal="right" vertical="center"/>
      <protection hidden="1"/>
    </xf>
    <xf numFmtId="215" fontId="182" fillId="11" borderId="0" xfId="12" applyNumberFormat="1" applyFont="1" applyFill="1" applyBorder="1" applyAlignment="1" applyProtection="1">
      <alignment horizontal="center" vertical="center"/>
      <protection hidden="1"/>
    </xf>
    <xf numFmtId="215" fontId="146" fillId="11" borderId="0" xfId="12" applyNumberFormat="1" applyFont="1" applyFill="1" applyBorder="1" applyAlignment="1" applyProtection="1">
      <alignment horizontal="center" vertical="center"/>
      <protection hidden="1"/>
    </xf>
    <xf numFmtId="177" fontId="146" fillId="11" borderId="0" xfId="12" applyNumberFormat="1" applyFont="1" applyFill="1" applyBorder="1" applyAlignment="1" applyProtection="1">
      <alignment horizontal="center" vertical="center"/>
      <protection hidden="1"/>
    </xf>
    <xf numFmtId="43" fontId="94" fillId="11" borderId="0" xfId="1" applyFont="1" applyFill="1" applyBorder="1" applyAlignment="1" applyProtection="1">
      <alignment horizontal="center" vertical="center"/>
      <protection hidden="1"/>
    </xf>
    <xf numFmtId="10" fontId="182" fillId="11" borderId="0" xfId="10" applyNumberFormat="1" applyFont="1" applyFill="1" applyBorder="1" applyAlignment="1" applyProtection="1">
      <alignment horizontal="right" vertical="center"/>
      <protection hidden="1"/>
    </xf>
    <xf numFmtId="10" fontId="185" fillId="11" borderId="0" xfId="10" applyNumberFormat="1" applyFont="1" applyFill="1" applyBorder="1" applyAlignment="1" applyProtection="1">
      <alignment horizontal="right" vertical="center"/>
      <protection hidden="1"/>
    </xf>
    <xf numFmtId="174" fontId="197" fillId="11" borderId="0" xfId="0" applyNumberFormat="1" applyFont="1" applyFill="1" applyAlignment="1" applyProtection="1">
      <alignment horizontal="right" vertical="center"/>
      <protection hidden="1"/>
    </xf>
    <xf numFmtId="215" fontId="185" fillId="11" borderId="0" xfId="12" applyNumberFormat="1" applyFont="1" applyFill="1" applyBorder="1" applyAlignment="1" applyProtection="1">
      <alignment horizontal="center" vertical="center"/>
      <protection hidden="1"/>
    </xf>
    <xf numFmtId="215" fontId="197" fillId="11" borderId="0" xfId="1" applyNumberFormat="1" applyFont="1" applyFill="1" applyBorder="1" applyAlignment="1" applyProtection="1">
      <alignment horizontal="center" vertical="center"/>
      <protection hidden="1"/>
    </xf>
    <xf numFmtId="199" fontId="197" fillId="11" borderId="0" xfId="1" applyNumberFormat="1" applyFont="1" applyFill="1" applyBorder="1" applyAlignment="1" applyProtection="1">
      <alignment horizontal="center" vertical="center"/>
      <protection hidden="1"/>
    </xf>
    <xf numFmtId="43" fontId="197" fillId="11" borderId="0" xfId="1" applyFont="1" applyFill="1" applyBorder="1" applyAlignment="1" applyProtection="1">
      <alignment horizontal="center" vertical="center"/>
      <protection hidden="1"/>
    </xf>
    <xf numFmtId="0" fontId="184" fillId="11" borderId="0" xfId="0" applyFont="1" applyFill="1" applyAlignment="1">
      <alignment horizontal="center" vertical="center"/>
    </xf>
    <xf numFmtId="213" fontId="184" fillId="11" borderId="0" xfId="0" applyNumberFormat="1" applyFont="1" applyFill="1" applyAlignment="1">
      <alignment horizontal="center" vertical="center"/>
    </xf>
    <xf numFmtId="0" fontId="37" fillId="11" borderId="0" xfId="0" applyFont="1" applyFill="1" applyAlignment="1">
      <alignment horizontal="center" vertical="center"/>
    </xf>
    <xf numFmtId="213" fontId="37" fillId="11" borderId="0" xfId="0" applyNumberFormat="1" applyFont="1" applyFill="1" applyAlignment="1">
      <alignment horizontal="center" vertical="center"/>
    </xf>
    <xf numFmtId="43" fontId="275" fillId="11" borderId="0" xfId="1" applyFont="1" applyFill="1" applyAlignment="1">
      <alignment horizontal="center"/>
    </xf>
    <xf numFmtId="14" fontId="218" fillId="11" borderId="0" xfId="7" applyNumberFormat="1" applyFont="1" applyFill="1" applyAlignment="1" applyProtection="1">
      <alignment horizontal="center" vertical="top"/>
      <protection hidden="1"/>
    </xf>
    <xf numFmtId="215" fontId="183" fillId="11" borderId="0" xfId="12" applyNumberFormat="1" applyFont="1" applyFill="1" applyBorder="1" applyAlignment="1">
      <alignment horizontal="right"/>
    </xf>
    <xf numFmtId="206" fontId="183" fillId="11" borderId="0" xfId="12" applyNumberFormat="1" applyFont="1" applyFill="1" applyBorder="1" applyAlignment="1">
      <alignment horizontal="right"/>
    </xf>
    <xf numFmtId="207" fontId="183" fillId="11" borderId="0" xfId="10" applyNumberFormat="1" applyFont="1" applyFill="1" applyBorder="1" applyAlignment="1" applyProtection="1">
      <alignment horizontal="right"/>
      <protection hidden="1"/>
    </xf>
    <xf numFmtId="215" fontId="243" fillId="11" borderId="0" xfId="12" applyNumberFormat="1" applyFont="1" applyFill="1" applyBorder="1" applyAlignment="1" applyProtection="1">
      <alignment horizontal="center" vertical="center"/>
      <protection hidden="1"/>
    </xf>
    <xf numFmtId="215" fontId="249" fillId="11" borderId="0" xfId="12" applyNumberFormat="1" applyFont="1" applyFill="1" applyBorder="1" applyAlignment="1" applyProtection="1">
      <alignment horizontal="center" vertical="center"/>
      <protection hidden="1"/>
    </xf>
    <xf numFmtId="174" fontId="243" fillId="11" borderId="0" xfId="0" applyNumberFormat="1" applyFont="1" applyFill="1" applyAlignment="1" applyProtection="1">
      <alignment horizontal="right" vertical="center"/>
      <protection hidden="1"/>
    </xf>
    <xf numFmtId="2" fontId="243" fillId="11" borderId="0" xfId="0" applyNumberFormat="1" applyFont="1" applyFill="1" applyAlignment="1" applyProtection="1">
      <alignment horizontal="right" vertical="center"/>
      <protection hidden="1"/>
    </xf>
    <xf numFmtId="0" fontId="275" fillId="11" borderId="0" xfId="0" applyFont="1" applyFill="1" applyAlignment="1">
      <alignment horizontal="center" vertical="top"/>
    </xf>
    <xf numFmtId="0" fontId="271" fillId="19" borderId="36" xfId="0" applyFont="1" applyFill="1" applyBorder="1" applyAlignment="1">
      <alignment horizontal="left"/>
    </xf>
    <xf numFmtId="0" fontId="271" fillId="19" borderId="35" xfId="0" applyFont="1" applyFill="1" applyBorder="1" applyAlignment="1">
      <alignment horizontal="left"/>
    </xf>
    <xf numFmtId="0" fontId="212" fillId="11" borderId="0" xfId="0" applyFont="1" applyFill="1" applyAlignment="1">
      <alignment horizontal="left" vertical="top" wrapText="1"/>
    </xf>
  </cellXfs>
  <cellStyles count="13">
    <cellStyle name="Comma" xfId="1" builtinId="3"/>
    <cellStyle name="Comma 2" xfId="3" xr:uid="{00000000-0005-0000-0000-000001000000}"/>
    <cellStyle name="Comma 2 2" xfId="7" xr:uid="{00000000-0005-0000-0000-000002000000}"/>
    <cellStyle name="Currency" xfId="12" builtinId="4"/>
    <cellStyle name="Hyperlink" xfId="11" builtinId="8"/>
    <cellStyle name="Hyperlink 2" xfId="4" xr:uid="{00000000-0005-0000-0000-000004000000}"/>
    <cellStyle name="Normal" xfId="0" builtinId="0"/>
    <cellStyle name="Normal 2" xfId="2" xr:uid="{00000000-0005-0000-0000-000006000000}"/>
    <cellStyle name="Normal 2 2" xfId="6" xr:uid="{00000000-0005-0000-0000-000007000000}"/>
    <cellStyle name="Normal 2 2 2" xfId="9" xr:uid="{00000000-0005-0000-0000-000008000000}"/>
    <cellStyle name="Percent" xfId="10" builtinId="5"/>
    <cellStyle name="Percent 2" xfId="5" xr:uid="{00000000-0005-0000-0000-00000A000000}"/>
    <cellStyle name="Percent 2 2" xfId="8" xr:uid="{00000000-0005-0000-0000-00000B000000}"/>
  </cellStyles>
  <dxfs count="303">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5"/>
      </font>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7"/>
      </font>
    </dxf>
    <dxf>
      <font>
        <color theme="5"/>
      </font>
    </dxf>
    <dxf>
      <font>
        <color theme="5"/>
      </font>
    </dxf>
    <dxf>
      <font>
        <color theme="5"/>
      </font>
    </dxf>
    <dxf>
      <font>
        <color theme="7"/>
      </font>
    </dxf>
    <dxf>
      <font>
        <color theme="5"/>
      </font>
    </dxf>
    <dxf>
      <font>
        <color rgb="FF232323"/>
      </font>
    </dxf>
    <dxf>
      <font>
        <color theme="5"/>
      </font>
    </dxf>
    <dxf>
      <font>
        <color theme="5"/>
      </font>
    </dxf>
    <dxf>
      <font>
        <color theme="5"/>
      </font>
    </dxf>
    <dxf>
      <font>
        <color theme="5"/>
      </font>
    </dxf>
    <dxf>
      <font>
        <color theme="5"/>
      </font>
    </dxf>
    <dxf>
      <font>
        <color rgb="FFEC3838"/>
      </font>
    </dxf>
    <dxf>
      <font>
        <color theme="5"/>
      </font>
    </dxf>
    <dxf>
      <font>
        <color rgb="FF9C0006"/>
      </font>
      <fill>
        <patternFill>
          <bgColor rgb="FFFFC7CE"/>
        </patternFill>
      </fill>
    </dxf>
    <dxf>
      <font>
        <color rgb="FF9C0006"/>
      </font>
      <fill>
        <patternFill>
          <bgColor rgb="FFFFC7CE"/>
        </patternFill>
      </fill>
    </dxf>
    <dxf>
      <font>
        <color theme="5"/>
      </font>
    </dxf>
    <dxf>
      <font>
        <color rgb="FF9C0006"/>
      </font>
      <fill>
        <patternFill patternType="none">
          <bgColor auto="1"/>
        </patternFill>
      </fill>
    </dxf>
    <dxf>
      <font>
        <b/>
        <color theme="1"/>
      </font>
      <border>
        <bottom style="thin">
          <color theme="4"/>
        </bottom>
        <vertical/>
        <horizontal/>
      </border>
    </dxf>
    <dxf>
      <font>
        <color theme="1"/>
      </font>
      <fill>
        <patternFill>
          <bgColor theme="8"/>
        </patternFill>
      </fill>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color theme="1"/>
      </font>
      <fill>
        <patternFill>
          <bgColor theme="8"/>
        </patternFill>
      </fill>
      <border diagonalUp="0" diagonalDown="0">
        <left/>
        <right/>
        <top/>
        <bottom/>
        <vertical/>
        <horizontal/>
      </border>
    </dxf>
    <dxf>
      <font>
        <b/>
        <color theme="1"/>
      </font>
      <border>
        <bottom style="thin">
          <color theme="4"/>
        </bottom>
        <vertical/>
        <horizontal/>
      </border>
    </dxf>
    <dxf>
      <font>
        <color theme="1"/>
      </font>
      <fill>
        <patternFill>
          <bgColor theme="8"/>
        </patternFill>
      </fill>
      <border diagonalUp="0" diagonalDown="0">
        <left/>
        <right/>
        <top/>
        <bottom/>
        <vertical/>
        <horizontal/>
      </border>
    </dxf>
    <dxf>
      <font>
        <b/>
        <color theme="1"/>
      </font>
      <border>
        <bottom style="thin">
          <color theme="4"/>
        </bottom>
        <vertical/>
        <horizontal/>
      </border>
    </dxf>
    <dxf>
      <font>
        <color theme="1"/>
      </font>
      <fill>
        <patternFill>
          <bgColor theme="8"/>
        </patternFill>
      </fill>
      <border diagonalUp="0" diagonalDown="0">
        <left/>
        <right/>
        <top/>
        <bottom/>
        <vertical/>
        <horizontal/>
      </border>
    </dxf>
  </dxfs>
  <tableStyles count="4" defaultTableStyle="TableStyleMedium9" defaultPivotStyle="PivotStyleLight16">
    <tableStyle name="ftj" pivot="0" table="0" count="10" xr9:uid="{36AC2EE8-C13A-4B18-A5EC-822746999F3C}">
      <tableStyleElement type="wholeTable" dxfId="302"/>
      <tableStyleElement type="headerRow" dxfId="301"/>
    </tableStyle>
    <tableStyle name="ftj 2" pivot="0" table="0" count="10" xr9:uid="{C284ED72-2E33-4511-A599-2BF55F19E66D}">
      <tableStyleElement type="wholeTable" dxfId="300"/>
      <tableStyleElement type="headerRow" dxfId="299"/>
    </tableStyle>
    <tableStyle name="ftj 2 2" pivot="0" table="0" count="10" xr9:uid="{6975B1DC-C3E2-4EF2-943C-3BEB5C72B168}">
      <tableStyleElement type="wholeTable" dxfId="298"/>
      <tableStyleElement type="headerRow" dxfId="297"/>
    </tableStyle>
    <tableStyle name="SlicerStyleLight1 2" pivot="0" table="0" count="10" xr9:uid="{25E6FE44-D097-480B-AFBF-EA90308F605C}">
      <tableStyleElement type="wholeTable" dxfId="296"/>
      <tableStyleElement type="headerRow" dxfId="295"/>
    </tableStyle>
  </tableStyles>
  <colors>
    <mruColors>
      <color rgb="FF0A0D2C"/>
      <color rgb="FFC4C8F2"/>
      <color rgb="FF4B5D75"/>
      <color rgb="FF07091F"/>
      <color rgb="FF000000"/>
      <color rgb="FF2B2C45"/>
      <color rgb="FF1A3160"/>
      <color rgb="FF15172C"/>
      <color rgb="FF1B224D"/>
      <color rgb="FF121734"/>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theme="3" tint="0.39994506668294322"/>
          </font>
          <fill>
            <patternFill patternType="solid">
              <fgColor auto="1"/>
              <bgColor theme="6"/>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3" tint="0.39994506668294322"/>
          </font>
          <fill>
            <patternFill patternType="solid">
              <fgColor auto="1"/>
              <bgColor theme="6"/>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3" tint="0.39994506668294322"/>
          </font>
          <fill>
            <patternFill patternType="solid">
              <fgColor auto="1"/>
              <bgColor theme="6"/>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3" tint="0.39994506668294322"/>
          </font>
          <fill>
            <patternFill patternType="solid">
              <fgColor auto="1"/>
              <bgColor theme="6"/>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4"/>
          </font>
          <fill>
            <patternFill patternType="solid">
              <fgColor theme="4" tint="0.79995117038483843"/>
              <bgColor theme="6"/>
            </patternFill>
          </fill>
          <border diagonalUp="0" diagonalDown="0">
            <left/>
            <right/>
            <top/>
            <bottom/>
            <vertical/>
            <horizontal/>
          </border>
        </dxf>
        <dxf>
          <font>
            <color theme="4"/>
          </font>
          <fill>
            <patternFill patternType="solid">
              <fgColor theme="6"/>
              <bgColor theme="6"/>
            </patternFill>
          </fill>
          <border diagonalUp="0" diagonalDown="0">
            <left/>
            <right/>
            <top/>
            <bottom/>
            <vertical/>
            <horizontal/>
          </border>
        </dxf>
        <dxf>
          <font>
            <color theme="3"/>
          </font>
          <fill>
            <patternFill patternType="solid">
              <fgColor rgb="FFFFFFFF"/>
              <bgColor theme="8"/>
            </patternFill>
          </fill>
          <border diagonalUp="0" diagonalDown="0">
            <left/>
            <right/>
            <top/>
            <bottom/>
            <vertical/>
            <horizontal/>
          </border>
        </dxf>
        <dxf>
          <font>
            <color theme="3"/>
          </font>
          <fill>
            <patternFill patternType="solid">
              <fgColor rgb="FFFFFFFF"/>
              <bgColor theme="8"/>
            </patternFill>
          </fill>
          <border diagonalUp="0" diagonalDown="0">
            <left/>
            <right/>
            <top/>
            <bottom/>
            <vertical/>
            <horizontal/>
          </border>
        </dxf>
        <dxf>
          <font>
            <color theme="3" tint="0.39994506668294322"/>
          </font>
          <fill>
            <patternFill patternType="solid">
              <fgColor auto="1"/>
              <bgColor theme="6"/>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3" tint="0.39994506668294322"/>
          </font>
          <fill>
            <patternFill patternType="solid">
              <fgColor auto="1"/>
              <bgColor theme="6"/>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3" tint="0.39994506668294322"/>
          </font>
          <fill>
            <patternFill patternType="solid">
              <fgColor auto="1"/>
              <bgColor theme="6"/>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3" tint="0.39994506668294322"/>
          </font>
          <fill>
            <patternFill patternType="solid">
              <fgColor auto="1"/>
              <bgColor theme="6"/>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8"/>
          </font>
          <fill>
            <patternFill patternType="solid">
              <fgColor theme="4" tint="0.79998168889431442"/>
              <bgColor theme="4" tint="0.79998168889431442"/>
            </patternFill>
          </fill>
          <border diagonalUp="0" diagonalDown="0">
            <left/>
            <right/>
            <top/>
            <bottom/>
            <vertical/>
            <horizontal/>
          </border>
        </dxf>
        <dxf>
          <font>
            <color theme="8"/>
          </font>
          <fill>
            <patternFill patternType="solid">
              <fgColor theme="4" tint="0.59999389629810485"/>
              <bgColor theme="4" tint="0.59999389629810485"/>
            </patternFill>
          </fill>
          <border diagonalUp="0" diagonalDown="0">
            <left/>
            <right/>
            <top/>
            <bottom/>
            <vertical/>
            <horizontal/>
          </border>
        </dxf>
        <dxf>
          <font>
            <color theme="3"/>
          </font>
          <fill>
            <patternFill patternType="solid">
              <fgColor rgb="FFFFFFFF"/>
              <bgColor theme="8"/>
            </patternFill>
          </fill>
          <border diagonalUp="0" diagonalDown="0">
            <left/>
            <right/>
            <top/>
            <bottom/>
            <vertical/>
            <horizontal/>
          </border>
        </dxf>
        <dxf>
          <font>
            <color theme="3"/>
          </font>
          <fill>
            <patternFill patternType="solid">
              <fgColor rgb="FFFFFFFF"/>
              <bgColor theme="8"/>
            </patternFill>
          </fill>
          <border diagonalUp="0" diagonalDown="0">
            <left/>
            <right/>
            <top/>
            <bottom/>
            <vertical/>
            <horizontal/>
          </border>
        </dxf>
        <dxf>
          <font>
            <color rgb="FF000000"/>
          </font>
          <fill>
            <gradientFill degree="90">
              <stop position="0">
                <color theme="8"/>
              </stop>
              <stop position="1">
                <color theme="4"/>
              </stop>
            </gradient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patternFill>
          </fill>
          <border>
            <left style="thin">
              <color rgb="FF999999"/>
            </left>
            <right style="thin">
              <color rgb="FF999999"/>
            </right>
            <top style="thin">
              <color rgb="FF999999"/>
            </top>
            <bottom style="thin">
              <color rgb="FF999999"/>
            </bottom>
            <vertical/>
            <horizontal/>
          </border>
        </dxf>
        <dxf>
          <font>
            <color rgb="FF000000"/>
          </font>
          <fill>
            <gradientFill degree="270">
              <stop position="0">
                <color theme="8"/>
              </stop>
              <stop position="1">
                <color theme="4"/>
              </stop>
            </gradient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theme="3"/>
          </font>
          <fill>
            <patternFill patternType="solid">
              <fgColor rgb="FFFFFFFF"/>
              <bgColor theme="8"/>
            </patternFill>
          </fill>
          <border>
            <left style="thin">
              <color rgb="FFE0E0E0"/>
            </left>
            <right style="thin">
              <color rgb="FFE0E0E0"/>
            </right>
            <top style="thin">
              <color rgb="FFE0E0E0"/>
            </top>
            <bottom style="thin">
              <color rgb="FFE0E0E0"/>
            </bottom>
            <vertical/>
            <horizontal/>
          </border>
        </dxf>
        <dxf>
          <font>
            <color theme="3"/>
          </font>
          <fill>
            <patternFill patternType="solid">
              <fgColor rgb="FFFFFFFF"/>
              <bgColor theme="8"/>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ftj">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ftj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ftj 2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Light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phisix-api.appspot.com/phisix-stocks'">
  <Schema ID="Schema1" Namespace="http://phisix-api.appspot.com/phisix-stocks">
    <xsd:schema xmlns:xsd="http://www.w3.org/2001/XMLSchema" xmlns:ns0="http://phisix-api.appspot.com/phisix-stocks" xmlns="" targetNamespace="http://phisix-api.appspot.com/phisix-stocks">
      <xsd:element nillable="true" name="stocks">
        <xsd:complexType>
          <xsd:sequence minOccurs="0">
            <xsd:element minOccurs="0" maxOccurs="unbounded" nillable="true" name="stock" form="qualified">
              <xsd:complexType>
                <xsd:sequence minOccurs="0">
                  <xsd:element minOccurs="0" nillable="true" type="xsd:string" name="name" form="qualified"/>
                  <xsd:element minOccurs="0" nillable="true" name="price" form="qualified">
                    <xsd:complexType>
                      <xsd:sequence minOccurs="0">
                        <xsd:element minOccurs="0" nillable="true" type="xsd:string" name="currency" form="qualified"/>
                        <xsd:element minOccurs="0" nillable="true" type="xsd:double" name="amount" form="qualified"/>
                      </xsd:sequence>
                    </xsd:complexType>
                  </xsd:element>
                  <xsd:element minOccurs="0" nillable="true" type="xsd:double" name="percent_change" form="qualified"/>
                  <xsd:element minOccurs="0" nillable="true" type="xsd:integer" name="volume" form="qualified"/>
                </xsd:sequence>
                <xsd:attribute name="symbol" form="unqualified" type="xsd:string"/>
              </xsd:complexType>
            </xsd:element>
          </xsd:sequence>
          <xsd:attribute name="as_of" form="unqualified" type="xsd:dateTime"/>
        </xsd:complexType>
      </xsd:element>
    </xsd:schema>
  </Schema>
  <Map ID="1" Name="stocks_Map" RootElement="stocks"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880098496883263E-2"/>
          <c:y val="5.9056767437285509E-2"/>
          <c:w val="0.9579044619422572"/>
          <c:h val="0.93998864525632564"/>
        </c:manualLayout>
      </c:layout>
      <c:doughnutChart>
        <c:varyColors val="1"/>
        <c:dLbls>
          <c:showLegendKey val="0"/>
          <c:showVal val="0"/>
          <c:showCatName val="0"/>
          <c:showSerName val="0"/>
          <c:showPercent val="0"/>
          <c:showBubbleSize val="0"/>
          <c:showLeaderLines val="0"/>
        </c:dLbls>
        <c:firstSliceAng val="0"/>
        <c:holeSize val="6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097481046846832E-2"/>
          <c:y val="3.0175823996563447E-2"/>
          <c:w val="0.9579044619422572"/>
          <c:h val="0.93998864525632564"/>
        </c:manualLayout>
      </c:layout>
      <c:doughnutChart>
        <c:varyColors val="1"/>
        <c:ser>
          <c:idx val="0"/>
          <c:order val="0"/>
          <c:spPr>
            <a:ln w="25400" cap="flat" cmpd="sng" algn="ctr">
              <a:noFill/>
              <a:prstDash val="solid"/>
              <a:round/>
              <a:headEnd type="none" w="med" len="med"/>
              <a:tailEnd type="none" w="med" len="med"/>
            </a:ln>
            <a:effectLst/>
          </c:spPr>
          <c:dPt>
            <c:idx val="0"/>
            <c:bubble3D val="0"/>
            <c:spPr>
              <a:gradFill flip="none" rotWithShape="1">
                <a:gsLst>
                  <a:gs pos="80000">
                    <a:schemeClr val="accent2"/>
                  </a:gs>
                  <a:gs pos="23000">
                    <a:schemeClr val="accent1"/>
                  </a:gs>
                </a:gsLst>
                <a:lin ang="16200000" scaled="1"/>
                <a:tileRect/>
              </a:gradFill>
              <a:ln w="25400" cap="flat" cmpd="sng" algn="ctr">
                <a:noFill/>
                <a:prstDash val="solid"/>
                <a:round/>
                <a:headEnd type="none" w="med" len="med"/>
                <a:tailEnd type="none" w="med" len="med"/>
              </a:ln>
              <a:effectLst/>
            </c:spPr>
            <c:extLst>
              <c:ext xmlns:c16="http://schemas.microsoft.com/office/drawing/2014/chart" uri="{C3380CC4-5D6E-409C-BE32-E72D297353CC}">
                <c16:uniqueId val="{00000001-7B8E-4128-8451-197AC61CB447}"/>
              </c:ext>
            </c:extLst>
          </c:dPt>
          <c:dPt>
            <c:idx val="1"/>
            <c:bubble3D val="0"/>
            <c:spPr>
              <a:solidFill>
                <a:schemeClr val="accent3">
                  <a:alpha val="64000"/>
                </a:schemeClr>
              </a:solidFill>
              <a:ln w="25400" cap="flat" cmpd="sng" algn="ctr">
                <a:noFill/>
                <a:prstDash val="solid"/>
                <a:round/>
                <a:headEnd type="none" w="med" len="med"/>
                <a:tailEnd type="none" w="med" len="med"/>
              </a:ln>
              <a:effectLst/>
            </c:spPr>
            <c:extLst>
              <c:ext xmlns:c16="http://schemas.microsoft.com/office/drawing/2014/chart" uri="{C3380CC4-5D6E-409C-BE32-E72D297353CC}">
                <c16:uniqueId val="{00000003-7B8E-4128-8451-197AC61CB447}"/>
              </c:ext>
            </c:extLst>
          </c:dPt>
          <c:val>
            <c:numRef>
              <c:f>DASHBOARD!$X$11:$X$12</c:f>
              <c:numCache>
                <c:formatCode>General</c:formatCode>
                <c:ptCount val="2"/>
                <c:pt idx="0" formatCode="0.0%">
                  <c:v>0.63472202990503168</c:v>
                </c:pt>
                <c:pt idx="1">
                  <c:v>0.36527797009496837</c:v>
                </c:pt>
              </c:numCache>
            </c:numRef>
          </c:val>
          <c:extLst>
            <c:ext xmlns:c16="http://schemas.microsoft.com/office/drawing/2014/chart" uri="{C3380CC4-5D6E-409C-BE32-E72D297353CC}">
              <c16:uniqueId val="{00000004-7B8E-4128-8451-197AC61CB447}"/>
            </c:ext>
          </c:extLst>
        </c:ser>
        <c:dLbls>
          <c:showLegendKey val="0"/>
          <c:showVal val="0"/>
          <c:showCatName val="0"/>
          <c:showSerName val="0"/>
          <c:showPercent val="0"/>
          <c:showBubbleSize val="0"/>
          <c:showLeaderLines val="1"/>
        </c:dLbls>
        <c:firstSliceAng val="0"/>
        <c:holeSize val="90"/>
      </c:doughnutChart>
      <c:spPr>
        <a:noFill/>
        <a:ln>
          <a:noFill/>
        </a:ln>
        <a:effectLst/>
      </c:spPr>
    </c:plotArea>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10170938543923"/>
          <c:y val="0.1118007578248172"/>
          <c:w val="0.61673320654127062"/>
          <c:h val="0.64140104002937226"/>
        </c:manualLayout>
      </c:layout>
      <c:doughnutChart>
        <c:varyColors val="1"/>
        <c:ser>
          <c:idx val="0"/>
          <c:order val="0"/>
          <c:tx>
            <c:v>Total Trades</c:v>
          </c:tx>
          <c:spPr>
            <a:ln>
              <a:solidFill>
                <a:schemeClr val="tx1">
                  <a:lumMod val="95000"/>
                  <a:lumOff val="5000"/>
                </a:schemeClr>
              </a:solidFill>
            </a:ln>
          </c:spPr>
          <c:dPt>
            <c:idx val="0"/>
            <c:bubble3D val="0"/>
            <c:spPr>
              <a:gradFill>
                <a:gsLst>
                  <a:gs pos="50000">
                    <a:schemeClr val="accent1"/>
                  </a:gs>
                  <a:gs pos="100000">
                    <a:schemeClr val="accent1">
                      <a:lumMod val="50000"/>
                    </a:schemeClr>
                  </a:gs>
                </a:gsLst>
                <a:lin ang="5400000" scaled="1"/>
              </a:gradFill>
              <a:ln w="19050">
                <a:solidFill>
                  <a:schemeClr val="accent5"/>
                </a:solidFill>
              </a:ln>
              <a:effectLst/>
            </c:spPr>
            <c:extLst>
              <c:ext xmlns:c16="http://schemas.microsoft.com/office/drawing/2014/chart" uri="{C3380CC4-5D6E-409C-BE32-E72D297353CC}">
                <c16:uniqueId val="{00000001-A396-4545-9A1F-E16958C997B1}"/>
              </c:ext>
            </c:extLst>
          </c:dPt>
          <c:dPt>
            <c:idx val="1"/>
            <c:bubble3D val="0"/>
            <c:spPr>
              <a:solidFill>
                <a:schemeClr val="accent3"/>
              </a:solidFill>
              <a:ln w="19050">
                <a:solidFill>
                  <a:schemeClr val="accent5"/>
                </a:solidFill>
              </a:ln>
              <a:effectLst/>
            </c:spPr>
            <c:extLst>
              <c:ext xmlns:c16="http://schemas.microsoft.com/office/drawing/2014/chart" uri="{C3380CC4-5D6E-409C-BE32-E72D297353CC}">
                <c16:uniqueId val="{00000003-A396-4545-9A1F-E16958C997B1}"/>
              </c:ext>
            </c:extLst>
          </c:dPt>
          <c:dLbls>
            <c:dLbl>
              <c:idx val="0"/>
              <c:layout>
                <c:manualLayout>
                  <c:x val="3.7423981625976641E-2"/>
                  <c:y val="9.1420111045687605E-2"/>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fld id="{9B2964AE-710E-4F7D-9238-969C7FFA6757}" type="CELLRANGE">
                      <a:rPr lang="en-US" sz="800">
                        <a:solidFill>
                          <a:schemeClr val="bg1"/>
                        </a:solidFill>
                      </a:rPr>
                      <a:pPr>
                        <a:defRPr sz="800">
                          <a:solidFill>
                            <a:schemeClr val="bg1"/>
                          </a:solidFill>
                          <a:latin typeface="Arial" panose="020B0604020202020204" pitchFamily="34" charset="0"/>
                          <a:cs typeface="Arial" panose="020B0604020202020204" pitchFamily="34" charset="0"/>
                        </a:defRPr>
                      </a:pPr>
                      <a:t>[CELLRANGE]</a:t>
                    </a:fld>
                    <a:endParaRPr lang="en-US"/>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396-4545-9A1F-E16958C997B1}"/>
                </c:ext>
              </c:extLst>
            </c:dLbl>
            <c:dLbl>
              <c:idx val="1"/>
              <c:layout>
                <c:manualLayout>
                  <c:x val="-6.5450977545740641E-2"/>
                  <c:y val="-8.0597615281525925E-2"/>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bg1">
                            <a:lumMod val="85000"/>
                          </a:schemeClr>
                        </a:solidFill>
                        <a:latin typeface="Arial" panose="020B0604020202020204" pitchFamily="34" charset="0"/>
                        <a:ea typeface="+mn-ea"/>
                        <a:cs typeface="Arial" panose="020B0604020202020204" pitchFamily="34" charset="0"/>
                      </a:defRPr>
                    </a:pPr>
                    <a:fld id="{D25CA0D2-D6AF-43E0-809E-12FEDB0D74DA}" type="CELLRANGE">
                      <a:rPr lang="en-US"/>
                      <a:pPr>
                        <a:defRPr sz="800">
                          <a:solidFill>
                            <a:schemeClr val="bg1">
                              <a:lumMod val="85000"/>
                            </a:schemeClr>
                          </a:solidFill>
                          <a:latin typeface="Arial" panose="020B0604020202020204" pitchFamily="34" charset="0"/>
                          <a:cs typeface="Arial" panose="020B0604020202020204" pitchFamily="34" charset="0"/>
                        </a:defRPr>
                      </a:pPr>
                      <a:t>[CELLRANGE]</a:t>
                    </a:fld>
                    <a:endParaRPr lang="en-US"/>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8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396-4545-9A1F-E16958C997B1}"/>
                </c:ext>
              </c:extLst>
            </c:dLbl>
            <c:spPr>
              <a:no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8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'TRADE LOG'!$AD$2:$AD$3</c:f>
              <c:strCache>
                <c:ptCount val="2"/>
                <c:pt idx="0">
                  <c:v>Long</c:v>
                </c:pt>
                <c:pt idx="1">
                  <c:v>Short</c:v>
                </c:pt>
              </c:strCache>
            </c:strRef>
          </c:cat>
          <c:val>
            <c:numRef>
              <c:f>'TRADE LOG'!$AE$2:$AE$3</c:f>
              <c:numCache>
                <c:formatCode>General</c:formatCode>
                <c:ptCount val="2"/>
                <c:pt idx="0">
                  <c:v>52</c:v>
                </c:pt>
                <c:pt idx="1">
                  <c:v>3</c:v>
                </c:pt>
              </c:numCache>
            </c:numRef>
          </c:val>
          <c:extLst>
            <c:ext xmlns:c15="http://schemas.microsoft.com/office/drawing/2012/chart" uri="{02D57815-91ED-43cb-92C2-25804820EDAC}">
              <c15:datalabelsRange>
                <c15:f>'TRADE LOG'!$AF$2:$AF$3</c15:f>
                <c15:dlblRangeCache>
                  <c:ptCount val="2"/>
                  <c:pt idx="0">
                    <c:v>95%</c:v>
                  </c:pt>
                  <c:pt idx="1">
                    <c:v>5%</c:v>
                  </c:pt>
                </c15:dlblRangeCache>
              </c15:datalabelsRange>
            </c:ext>
            <c:ext xmlns:c16="http://schemas.microsoft.com/office/drawing/2014/chart" uri="{C3380CC4-5D6E-409C-BE32-E72D297353CC}">
              <c16:uniqueId val="{00000004-A396-4545-9A1F-E16958C997B1}"/>
            </c:ext>
          </c:extLst>
        </c:ser>
        <c:dLbls>
          <c:showLegendKey val="0"/>
          <c:showVal val="0"/>
          <c:showCatName val="0"/>
          <c:showSerName val="0"/>
          <c:showPercent val="0"/>
          <c:showBubbleSize val="0"/>
          <c:showLeaderLines val="1"/>
        </c:dLbls>
        <c:firstSliceAng val="0"/>
        <c:holeSize val="86"/>
      </c:doughnutChart>
      <c:spPr>
        <a:noFill/>
        <a:ln>
          <a:noFill/>
        </a:ln>
        <a:effectLst/>
      </c:spPr>
    </c:plotArea>
    <c:legend>
      <c:legendPos val="r"/>
      <c:layout>
        <c:manualLayout>
          <c:xMode val="edge"/>
          <c:yMode val="edge"/>
          <c:x val="0.21822717115734572"/>
          <c:y val="0.84487503091102623"/>
          <c:w val="0.55514272182986679"/>
          <c:h val="0.10227612669504683"/>
        </c:manualLayout>
      </c:layout>
      <c:overlay val="0"/>
      <c:spPr>
        <a:noFill/>
        <a:ln>
          <a:noFill/>
        </a:ln>
        <a:effectLst/>
      </c:spPr>
      <c:txPr>
        <a:bodyPr rot="0" spcFirstLastPara="1" vertOverflow="ellipsis" vert="horz" wrap="square" anchor="ctr" anchorCtr="1"/>
        <a:lstStyle/>
        <a:p>
          <a:pPr rtl="0">
            <a:defRPr sz="8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bg2"/>
                </a:solidFill>
                <a:latin typeface="Arial" panose="020B0604020202020204" pitchFamily="34" charset="0"/>
                <a:ea typeface="+mn-ea"/>
                <a:cs typeface="Arial" panose="020B0604020202020204" pitchFamily="34" charset="0"/>
              </a:defRPr>
            </a:pPr>
            <a:r>
              <a:rPr lang="en-US" sz="900" baseline="0">
                <a:solidFill>
                  <a:schemeClr val="bg2"/>
                </a:solidFill>
                <a:latin typeface="+mn-lt"/>
                <a:cs typeface="Arial" panose="020B0604020202020204" pitchFamily="34" charset="0"/>
              </a:rPr>
              <a:t>TRADE STATS</a:t>
            </a:r>
            <a:endParaRPr lang="en-US" sz="900">
              <a:solidFill>
                <a:schemeClr val="bg2"/>
              </a:solidFill>
              <a:latin typeface="+mn-lt"/>
              <a:cs typeface="Arial" panose="020B0604020202020204" pitchFamily="34" charset="0"/>
            </a:endParaRPr>
          </a:p>
        </c:rich>
      </c:tx>
      <c:layout>
        <c:manualLayout>
          <c:xMode val="edge"/>
          <c:yMode val="edge"/>
          <c:x val="4.7074421586339531E-2"/>
          <c:y val="0"/>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bg2"/>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632688042289583E-2"/>
          <c:y val="0.13672622509034657"/>
          <c:w val="0.85850334072669798"/>
          <c:h val="0.60066564361342767"/>
        </c:manualLayout>
      </c:layout>
      <c:barChart>
        <c:barDir val="col"/>
        <c:grouping val="clustered"/>
        <c:varyColors val="0"/>
        <c:ser>
          <c:idx val="0"/>
          <c:order val="2"/>
          <c:tx>
            <c:v>Win%</c:v>
          </c:tx>
          <c:spPr>
            <a:noFill/>
            <a:ln>
              <a:noFill/>
            </a:ln>
            <a:effectLst/>
          </c:spPr>
          <c:invertIfNegative val="0"/>
          <c:dLbls>
            <c:dLbl>
              <c:idx val="0"/>
              <c:tx>
                <c:rich>
                  <a:bodyPr/>
                  <a:lstStyle/>
                  <a:p>
                    <a:fld id="{1201583D-A551-496C-9A69-5F618BF5752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936-4A60-947B-C539960F3AE7}"/>
                </c:ext>
              </c:extLst>
            </c:dLbl>
            <c:dLbl>
              <c:idx val="1"/>
              <c:tx>
                <c:rich>
                  <a:bodyPr/>
                  <a:lstStyle/>
                  <a:p>
                    <a:fld id="{0DE8BC8C-EB89-4618-A052-011592330B9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936-4A60-947B-C539960F3AE7}"/>
                </c:ext>
              </c:extLst>
            </c:dLbl>
            <c:dLbl>
              <c:idx val="2"/>
              <c:tx>
                <c:rich>
                  <a:bodyPr/>
                  <a:lstStyle/>
                  <a:p>
                    <a:fld id="{F36E99C3-5099-4152-86B5-C7829232208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936-4A60-947B-C539960F3AE7}"/>
                </c:ext>
              </c:extLst>
            </c:dLbl>
            <c:dLbl>
              <c:idx val="3"/>
              <c:tx>
                <c:rich>
                  <a:bodyPr/>
                  <a:lstStyle/>
                  <a:p>
                    <a:fld id="{4936D5CB-842C-43BB-9AC2-2D90435552A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936-4A60-947B-C539960F3AE7}"/>
                </c:ext>
              </c:extLst>
            </c:dLbl>
            <c:dLbl>
              <c:idx val="4"/>
              <c:tx>
                <c:rich>
                  <a:bodyPr/>
                  <a:lstStyle/>
                  <a:p>
                    <a:fld id="{9A5C31E9-1E4B-44D8-83B5-04910393236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936-4A60-947B-C539960F3AE7}"/>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'TRADE LOG'!$AY$3:$AY$7</c:f>
              <c:strCache>
                <c:ptCount val="5"/>
                <c:pt idx="0">
                  <c:v>Mon</c:v>
                </c:pt>
                <c:pt idx="1">
                  <c:v>Tue</c:v>
                </c:pt>
                <c:pt idx="2">
                  <c:v>Wed</c:v>
                </c:pt>
                <c:pt idx="3">
                  <c:v>Thu</c:v>
                </c:pt>
                <c:pt idx="4">
                  <c:v>Fri</c:v>
                </c:pt>
              </c:strCache>
            </c:strRef>
          </c:cat>
          <c:val>
            <c:numRef>
              <c:f>'TRADE LOG'!$BA$3:$BA$7</c:f>
              <c:numCache>
                <c:formatCode>General</c:formatCode>
                <c:ptCount val="5"/>
                <c:pt idx="0">
                  <c:v>12</c:v>
                </c:pt>
                <c:pt idx="1">
                  <c:v>0</c:v>
                </c:pt>
                <c:pt idx="2">
                  <c:v>2</c:v>
                </c:pt>
                <c:pt idx="3">
                  <c:v>28</c:v>
                </c:pt>
                <c:pt idx="4">
                  <c:v>13</c:v>
                </c:pt>
              </c:numCache>
            </c:numRef>
          </c:val>
          <c:extLst>
            <c:ext xmlns:c15="http://schemas.microsoft.com/office/drawing/2012/chart" uri="{02D57815-91ED-43cb-92C2-25804820EDAC}">
              <c15:datalabelsRange>
                <c15:f>'TRADE LOG'!$BD$3:$BD$7</c15:f>
                <c15:dlblRangeCache>
                  <c:ptCount val="5"/>
                  <c:pt idx="0">
                    <c:v>25%</c:v>
                  </c:pt>
                  <c:pt idx="1">
                    <c:v>0%</c:v>
                  </c:pt>
                  <c:pt idx="2">
                    <c:v>0%</c:v>
                  </c:pt>
                  <c:pt idx="3">
                    <c:v>54%</c:v>
                  </c:pt>
                  <c:pt idx="4">
                    <c:v>54%</c:v>
                  </c:pt>
                </c15:dlblRangeCache>
              </c15:datalabelsRange>
            </c:ext>
            <c:ext xmlns:c16="http://schemas.microsoft.com/office/drawing/2014/chart" uri="{C3380CC4-5D6E-409C-BE32-E72D297353CC}">
              <c16:uniqueId val="{00000005-06A1-483C-9DA5-C30624A587BC}"/>
            </c:ext>
          </c:extLst>
        </c:ser>
        <c:dLbls>
          <c:showLegendKey val="0"/>
          <c:showVal val="0"/>
          <c:showCatName val="0"/>
          <c:showSerName val="0"/>
          <c:showPercent val="0"/>
          <c:showBubbleSize val="0"/>
        </c:dLbls>
        <c:gapWidth val="20"/>
        <c:axId val="475464344"/>
        <c:axId val="475462376"/>
      </c:barChart>
      <c:barChart>
        <c:barDir val="col"/>
        <c:grouping val="stacked"/>
        <c:varyColors val="0"/>
        <c:ser>
          <c:idx val="3"/>
          <c:order val="0"/>
          <c:tx>
            <c:v>Loss</c:v>
          </c:tx>
          <c:spPr>
            <a:gradFill>
              <a:gsLst>
                <a:gs pos="50000">
                  <a:schemeClr val="accent2"/>
                </a:gs>
                <a:gs pos="100000">
                  <a:schemeClr val="accent2">
                    <a:alpha val="50000"/>
                  </a:schemeClr>
                </a:gs>
              </a:gsLst>
              <a:lin ang="5400000" scaled="1"/>
            </a:gradFill>
            <a:ln w="28575">
              <a:solidFill>
                <a:schemeClr val="accent5"/>
              </a:solidFill>
            </a:ln>
            <a:effectLst/>
          </c:spPr>
          <c:invertIfNegative val="0"/>
          <c:cat>
            <c:strRef>
              <c:f>'TRADE LOG'!$AY$3:$AY$7</c:f>
              <c:strCache>
                <c:ptCount val="5"/>
                <c:pt idx="0">
                  <c:v>Mon</c:v>
                </c:pt>
                <c:pt idx="1">
                  <c:v>Tue</c:v>
                </c:pt>
                <c:pt idx="2">
                  <c:v>Wed</c:v>
                </c:pt>
                <c:pt idx="3">
                  <c:v>Thu</c:v>
                </c:pt>
                <c:pt idx="4">
                  <c:v>Fri</c:v>
                </c:pt>
              </c:strCache>
            </c:strRef>
          </c:cat>
          <c:val>
            <c:numRef>
              <c:f>'TRADE LOG'!$BC$3:$BC$7</c:f>
              <c:numCache>
                <c:formatCode>General</c:formatCode>
                <c:ptCount val="5"/>
                <c:pt idx="0">
                  <c:v>9</c:v>
                </c:pt>
                <c:pt idx="1">
                  <c:v>0</c:v>
                </c:pt>
                <c:pt idx="2">
                  <c:v>2</c:v>
                </c:pt>
                <c:pt idx="3">
                  <c:v>13</c:v>
                </c:pt>
                <c:pt idx="4">
                  <c:v>6</c:v>
                </c:pt>
              </c:numCache>
            </c:numRef>
          </c:val>
          <c:extLst>
            <c:ext xmlns:c16="http://schemas.microsoft.com/office/drawing/2014/chart" uri="{C3380CC4-5D6E-409C-BE32-E72D297353CC}">
              <c16:uniqueId val="{00000003-06A1-483C-9DA5-C30624A587BC}"/>
            </c:ext>
          </c:extLst>
        </c:ser>
        <c:ser>
          <c:idx val="2"/>
          <c:order val="1"/>
          <c:tx>
            <c:v>Win</c:v>
          </c:tx>
          <c:spPr>
            <a:gradFill>
              <a:gsLst>
                <a:gs pos="60000">
                  <a:schemeClr val="accent1"/>
                </a:gs>
                <a:gs pos="100000">
                  <a:schemeClr val="accent1">
                    <a:lumMod val="50000"/>
                  </a:schemeClr>
                </a:gs>
              </a:gsLst>
              <a:lin ang="5400000" scaled="1"/>
            </a:gradFill>
            <a:ln w="28575">
              <a:solidFill>
                <a:schemeClr val="accent5"/>
              </a:solidFill>
            </a:ln>
            <a:effectLst/>
          </c:spPr>
          <c:invertIfNegative val="0"/>
          <c:cat>
            <c:strRef>
              <c:f>'TRADE LOG'!$AY$3:$AY$7</c:f>
              <c:strCache>
                <c:ptCount val="5"/>
                <c:pt idx="0">
                  <c:v>Mon</c:v>
                </c:pt>
                <c:pt idx="1">
                  <c:v>Tue</c:v>
                </c:pt>
                <c:pt idx="2">
                  <c:v>Wed</c:v>
                </c:pt>
                <c:pt idx="3">
                  <c:v>Thu</c:v>
                </c:pt>
                <c:pt idx="4">
                  <c:v>Fri</c:v>
                </c:pt>
              </c:strCache>
            </c:strRef>
          </c:cat>
          <c:val>
            <c:numRef>
              <c:f>'TRADE LOG'!$BB$3:$BB$7</c:f>
              <c:numCache>
                <c:formatCode>General</c:formatCode>
                <c:ptCount val="5"/>
                <c:pt idx="0">
                  <c:v>3</c:v>
                </c:pt>
                <c:pt idx="1">
                  <c:v>0</c:v>
                </c:pt>
                <c:pt idx="2">
                  <c:v>0</c:v>
                </c:pt>
                <c:pt idx="3">
                  <c:v>15</c:v>
                </c:pt>
                <c:pt idx="4">
                  <c:v>7</c:v>
                </c:pt>
              </c:numCache>
            </c:numRef>
          </c:val>
          <c:extLst>
            <c:ext xmlns:c16="http://schemas.microsoft.com/office/drawing/2014/chart" uri="{C3380CC4-5D6E-409C-BE32-E72D297353CC}">
              <c16:uniqueId val="{00000002-06A1-483C-9DA5-C30624A587BC}"/>
            </c:ext>
          </c:extLst>
        </c:ser>
        <c:dLbls>
          <c:showLegendKey val="0"/>
          <c:showVal val="0"/>
          <c:showCatName val="0"/>
          <c:showSerName val="0"/>
          <c:showPercent val="0"/>
          <c:showBubbleSize val="0"/>
        </c:dLbls>
        <c:gapWidth val="20"/>
        <c:overlap val="100"/>
        <c:axId val="644991576"/>
        <c:axId val="644988952"/>
      </c:barChart>
      <c:catAx>
        <c:axId val="475464344"/>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n-US"/>
          </a:p>
        </c:txPr>
        <c:crossAx val="475462376"/>
        <c:crosses val="autoZero"/>
        <c:auto val="1"/>
        <c:lblAlgn val="ctr"/>
        <c:lblOffset val="100"/>
        <c:noMultiLvlLbl val="0"/>
      </c:catAx>
      <c:valAx>
        <c:axId val="475462376"/>
        <c:scaling>
          <c:orientation val="minMax"/>
        </c:scaling>
        <c:delete val="1"/>
        <c:axPos val="l"/>
        <c:numFmt formatCode="General" sourceLinked="1"/>
        <c:majorTickMark val="none"/>
        <c:minorTickMark val="none"/>
        <c:tickLblPos val="nextTo"/>
        <c:crossAx val="475464344"/>
        <c:crosses val="autoZero"/>
        <c:crossBetween val="between"/>
      </c:valAx>
      <c:valAx>
        <c:axId val="644988952"/>
        <c:scaling>
          <c:orientation val="minMax"/>
        </c:scaling>
        <c:delete val="1"/>
        <c:axPos val="r"/>
        <c:numFmt formatCode="General" sourceLinked="1"/>
        <c:majorTickMark val="out"/>
        <c:minorTickMark val="none"/>
        <c:tickLblPos val="nextTo"/>
        <c:crossAx val="644991576"/>
        <c:crosses val="max"/>
        <c:crossBetween val="between"/>
      </c:valAx>
      <c:catAx>
        <c:axId val="644991576"/>
        <c:scaling>
          <c:orientation val="minMax"/>
        </c:scaling>
        <c:delete val="1"/>
        <c:axPos val="b"/>
        <c:numFmt formatCode="General" sourceLinked="1"/>
        <c:majorTickMark val="out"/>
        <c:minorTickMark val="none"/>
        <c:tickLblPos val="nextTo"/>
        <c:crossAx val="644988952"/>
        <c:crosses val="autoZero"/>
        <c:auto val="1"/>
        <c:lblAlgn val="ctr"/>
        <c:lblOffset val="100"/>
        <c:noMultiLvlLbl val="0"/>
      </c:catAx>
      <c:spPr>
        <a:noFill/>
        <a:ln>
          <a:noFill/>
        </a:ln>
        <a:effectLst/>
      </c:spPr>
    </c:plotArea>
    <c:legend>
      <c:legendPos val="b"/>
      <c:legendEntry>
        <c:idx val="0"/>
        <c:delete val="1"/>
      </c:legendEntry>
      <c:layout>
        <c:manualLayout>
          <c:xMode val="edge"/>
          <c:yMode val="edge"/>
          <c:x val="0.34700962965756266"/>
          <c:y val="0.88050115519572203"/>
          <c:w val="0.3059803121668272"/>
          <c:h val="0.1194988448042780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bg2"/>
                </a:solidFill>
                <a:latin typeface="+mn-lt"/>
                <a:ea typeface="+mn-ea"/>
                <a:cs typeface="+mn-cs"/>
              </a:defRPr>
            </a:pPr>
            <a:r>
              <a:rPr lang="en-US" sz="900">
                <a:solidFill>
                  <a:schemeClr val="bg2"/>
                </a:solidFill>
                <a:latin typeface="+mn-lt"/>
                <a:cs typeface="Arial" panose="020B0604020202020204" pitchFamily="34" charset="0"/>
              </a:rPr>
              <a:t>WIN% VS RRR</a:t>
            </a:r>
          </a:p>
        </c:rich>
      </c:tx>
      <c:layout>
        <c:manualLayout>
          <c:xMode val="edge"/>
          <c:yMode val="edge"/>
          <c:x val="8.4532117695814313E-2"/>
          <c:y val="2.409631935542941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bg2"/>
              </a:solidFill>
              <a:latin typeface="+mn-lt"/>
              <a:ea typeface="+mn-ea"/>
              <a:cs typeface="+mn-cs"/>
            </a:defRPr>
          </a:pPr>
          <a:endParaRPr lang="en-US"/>
        </a:p>
      </c:txPr>
    </c:title>
    <c:autoTitleDeleted val="0"/>
    <c:plotArea>
      <c:layout>
        <c:manualLayout>
          <c:layoutTarget val="inner"/>
          <c:xMode val="edge"/>
          <c:yMode val="edge"/>
          <c:x val="0.17730404752037576"/>
          <c:y val="0.22224456882648705"/>
          <c:w val="0.72333305705207906"/>
          <c:h val="0.49928659519969643"/>
        </c:manualLayout>
      </c:layout>
      <c:barChart>
        <c:barDir val="col"/>
        <c:grouping val="clustered"/>
        <c:varyColors val="0"/>
        <c:ser>
          <c:idx val="4"/>
          <c:order val="0"/>
          <c:tx>
            <c:v>Profitable%</c:v>
          </c:tx>
          <c:spPr>
            <a:gradFill>
              <a:gsLst>
                <a:gs pos="30000">
                  <a:schemeClr val="accent1"/>
                </a:gs>
                <a:gs pos="100000">
                  <a:schemeClr val="accent3"/>
                </a:gs>
              </a:gsLst>
              <a:lin ang="5400000" scaled="1"/>
            </a:gradFill>
            <a:ln w="19050">
              <a:solidFill>
                <a:schemeClr val="accent5"/>
              </a:solidFill>
            </a:ln>
            <a:effectLst/>
          </c:spPr>
          <c:invertIfNegative val="0"/>
          <c:dPt>
            <c:idx val="0"/>
            <c:invertIfNegative val="0"/>
            <c:bubble3D val="0"/>
            <c:spPr>
              <a:gradFill>
                <a:gsLst>
                  <a:gs pos="30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1-D5B1-47D6-A6A4-E247499E8141}"/>
              </c:ext>
            </c:extLst>
          </c:dPt>
          <c:dPt>
            <c:idx val="1"/>
            <c:invertIfNegative val="0"/>
            <c:bubble3D val="0"/>
            <c:spPr>
              <a:gradFill>
                <a:gsLst>
                  <a:gs pos="30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3-D5B1-47D6-A6A4-E247499E8141}"/>
              </c:ext>
            </c:extLst>
          </c:dPt>
          <c:dPt>
            <c:idx val="2"/>
            <c:invertIfNegative val="0"/>
            <c:bubble3D val="0"/>
            <c:spPr>
              <a:gradFill>
                <a:gsLst>
                  <a:gs pos="30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5-D5B1-47D6-A6A4-E247499E8141}"/>
              </c:ext>
            </c:extLst>
          </c:dPt>
          <c:dPt>
            <c:idx val="3"/>
            <c:invertIfNegative val="0"/>
            <c:bubble3D val="0"/>
            <c:spPr>
              <a:gradFill>
                <a:gsLst>
                  <a:gs pos="30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7-D5B1-47D6-A6A4-E247499E8141}"/>
              </c:ext>
            </c:extLst>
          </c:dPt>
          <c:dPt>
            <c:idx val="4"/>
            <c:invertIfNegative val="0"/>
            <c:bubble3D val="0"/>
            <c:spPr>
              <a:gradFill>
                <a:gsLst>
                  <a:gs pos="30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9-D5B1-47D6-A6A4-E247499E8141}"/>
              </c:ext>
            </c:extLst>
          </c:dPt>
          <c:dPt>
            <c:idx val="5"/>
            <c:invertIfNegative val="0"/>
            <c:bubble3D val="0"/>
            <c:spPr>
              <a:gradFill>
                <a:gsLst>
                  <a:gs pos="30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B-D5B1-47D6-A6A4-E247499E8141}"/>
              </c:ext>
            </c:extLst>
          </c:dPt>
          <c:cat>
            <c:strRef>
              <c:f>'TRADE STATISTICS'!$Z$4:$Z$6</c:f>
              <c:strCache>
                <c:ptCount val="3"/>
                <c:pt idx="0">
                  <c:v>LONG</c:v>
                </c:pt>
                <c:pt idx="1">
                  <c:v>SHORT</c:v>
                </c:pt>
                <c:pt idx="2">
                  <c:v>TOTAL</c:v>
                </c:pt>
              </c:strCache>
            </c:strRef>
          </c:cat>
          <c:val>
            <c:numLit>
              <c:formatCode>General</c:formatCode>
              <c:ptCount val="3"/>
              <c:pt idx="0">
                <c:v>1</c:v>
              </c:pt>
              <c:pt idx="1">
                <c:v>1</c:v>
              </c:pt>
              <c:pt idx="2">
                <c:v>1</c:v>
              </c:pt>
            </c:numLit>
          </c:val>
          <c:extLst>
            <c:ext xmlns:c16="http://schemas.microsoft.com/office/drawing/2014/chart" uri="{C3380CC4-5D6E-409C-BE32-E72D297353CC}">
              <c16:uniqueId val="{0000000C-D5B1-47D6-A6A4-E247499E8141}"/>
            </c:ext>
          </c:extLst>
        </c:ser>
        <c:ser>
          <c:idx val="0"/>
          <c:order val="1"/>
          <c:tx>
            <c:v>Unprofitable%</c:v>
          </c:tx>
          <c:spPr>
            <a:gradFill>
              <a:gsLst>
                <a:gs pos="50000">
                  <a:schemeClr val="accent2"/>
                </a:gs>
                <a:gs pos="100000">
                  <a:schemeClr val="accent3"/>
                </a:gs>
              </a:gsLst>
              <a:lin ang="5400000" scaled="1"/>
            </a:gradFill>
            <a:ln w="19050">
              <a:solidFill>
                <a:schemeClr val="accent5"/>
              </a:solidFill>
            </a:ln>
            <a:effectLst/>
          </c:spPr>
          <c:invertIfNegative val="0"/>
          <c:dPt>
            <c:idx val="1"/>
            <c:invertIfNegative val="0"/>
            <c:bubble3D val="0"/>
            <c:spPr>
              <a:gradFill>
                <a:gsLst>
                  <a:gs pos="50000">
                    <a:schemeClr val="accent2"/>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E-D5B1-47D6-A6A4-E247499E8141}"/>
              </c:ext>
            </c:extLst>
          </c:dPt>
          <c:dPt>
            <c:idx val="2"/>
            <c:invertIfNegative val="0"/>
            <c:bubble3D val="0"/>
            <c:spPr>
              <a:gradFill>
                <a:gsLst>
                  <a:gs pos="50000">
                    <a:schemeClr val="accent2"/>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10-D5B1-47D6-A6A4-E247499E8141}"/>
              </c:ext>
            </c:extLst>
          </c:dPt>
          <c:dPt>
            <c:idx val="3"/>
            <c:invertIfNegative val="0"/>
            <c:bubble3D val="0"/>
            <c:spPr>
              <a:gradFill>
                <a:gsLst>
                  <a:gs pos="50000">
                    <a:schemeClr val="accent2"/>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12-D5B1-47D6-A6A4-E247499E8141}"/>
              </c:ext>
            </c:extLst>
          </c:dPt>
          <c:dPt>
            <c:idx val="4"/>
            <c:invertIfNegative val="0"/>
            <c:bubble3D val="0"/>
            <c:spPr>
              <a:gradFill>
                <a:gsLst>
                  <a:gs pos="50000">
                    <a:schemeClr val="accent2"/>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14-D5B1-47D6-A6A4-E247499E8141}"/>
              </c:ext>
            </c:extLst>
          </c:dPt>
          <c:dPt>
            <c:idx val="5"/>
            <c:invertIfNegative val="0"/>
            <c:bubble3D val="0"/>
            <c:spPr>
              <a:gradFill>
                <a:gsLst>
                  <a:gs pos="50000">
                    <a:schemeClr val="accent2"/>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16-D5B1-47D6-A6A4-E247499E8141}"/>
              </c:ext>
            </c:extLst>
          </c:dPt>
          <c:cat>
            <c:strRef>
              <c:f>'TRADE STATISTICS'!$Z$4:$Z$6</c:f>
              <c:strCache>
                <c:ptCount val="3"/>
                <c:pt idx="0">
                  <c:v>LONG</c:v>
                </c:pt>
                <c:pt idx="1">
                  <c:v>SHORT</c:v>
                </c:pt>
                <c:pt idx="2">
                  <c:v>TOTAL</c:v>
                </c:pt>
              </c:strCache>
            </c:strRef>
          </c:cat>
          <c:val>
            <c:numRef>
              <c:f>'TRADE STATISTICS'!$AD$4:$AD$6</c:f>
              <c:numCache>
                <c:formatCode>0.00%</c:formatCode>
                <c:ptCount val="3"/>
                <c:pt idx="0">
                  <c:v>0.37574827540150202</c:v>
                </c:pt>
                <c:pt idx="1">
                  <c:v>0.80447214884972262</c:v>
                </c:pt>
                <c:pt idx="2">
                  <c:v>0.39494497543680879</c:v>
                </c:pt>
              </c:numCache>
            </c:numRef>
          </c:val>
          <c:extLst>
            <c:ext xmlns:c16="http://schemas.microsoft.com/office/drawing/2014/chart" uri="{C3380CC4-5D6E-409C-BE32-E72D297353CC}">
              <c16:uniqueId val="{00000017-D5B1-47D6-A6A4-E247499E8141}"/>
            </c:ext>
          </c:extLst>
        </c:ser>
        <c:dLbls>
          <c:showLegendKey val="0"/>
          <c:showVal val="0"/>
          <c:showCatName val="0"/>
          <c:showSerName val="0"/>
          <c:showPercent val="0"/>
          <c:showBubbleSize val="0"/>
        </c:dLbls>
        <c:gapWidth val="80"/>
        <c:overlap val="100"/>
        <c:axId val="478901432"/>
        <c:axId val="478905040"/>
      </c:barChart>
      <c:lineChart>
        <c:grouping val="standard"/>
        <c:varyColors val="0"/>
        <c:ser>
          <c:idx val="3"/>
          <c:order val="2"/>
          <c:tx>
            <c:v>Win Rate%</c:v>
          </c:tx>
          <c:spPr>
            <a:ln w="19050" cap="rnd">
              <a:noFill/>
              <a:round/>
            </a:ln>
            <a:effectLst>
              <a:outerShdw blurRad="25400" dist="25400" dir="5400000" algn="ctr" rotWithShape="0">
                <a:schemeClr val="tx1">
                  <a:lumMod val="95000"/>
                  <a:lumOff val="5000"/>
                </a:schemeClr>
              </a:outerShdw>
            </a:effectLst>
          </c:spPr>
          <c:marker>
            <c:symbol val="dash"/>
            <c:size val="5"/>
            <c:spPr>
              <a:solidFill>
                <a:schemeClr val="bg1">
                  <a:lumMod val="85000"/>
                </a:schemeClr>
              </a:solidFill>
              <a:ln w="12700">
                <a:solidFill>
                  <a:schemeClr val="bg1"/>
                </a:solidFill>
              </a:ln>
              <a:effectLst>
                <a:outerShdw blurRad="25400" dist="25400" dir="5400000" algn="ctr" rotWithShape="0">
                  <a:schemeClr val="tx1">
                    <a:lumMod val="95000"/>
                    <a:lumOff val="5000"/>
                  </a:schemeClr>
                </a:outerShdw>
              </a:effectLst>
            </c:spPr>
          </c:marker>
          <c:dLbls>
            <c:spPr>
              <a:solidFill>
                <a:srgbClr val="4B5D75">
                  <a:alpha val="50196"/>
                </a:srgbClr>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fixedVal"/>
            <c:noEndCap val="1"/>
            <c:val val="0"/>
            <c:spPr>
              <a:noFill/>
              <a:ln w="9525" cap="flat" cmpd="sng" algn="ctr">
                <a:solidFill>
                  <a:schemeClr val="tx1">
                    <a:lumMod val="65000"/>
                    <a:lumOff val="35000"/>
                  </a:schemeClr>
                </a:solidFill>
                <a:round/>
              </a:ln>
              <a:effectLst/>
            </c:spPr>
          </c:errBars>
          <c:cat>
            <c:strRef>
              <c:f>SETTINGS!$R$11:$R$21</c:f>
              <c:strCache>
                <c:ptCount val="11"/>
                <c:pt idx="0">
                  <c:v>NO SETUP</c:v>
                </c:pt>
                <c:pt idx="1">
                  <c:v> Momentum </c:v>
                </c:pt>
                <c:pt idx="2">
                  <c:v> Bounce </c:v>
                </c:pt>
                <c:pt idx="3">
                  <c:v> Trend Follow </c:v>
                </c:pt>
                <c:pt idx="4">
                  <c:v> Swing Trade </c:v>
                </c:pt>
                <c:pt idx="5">
                  <c:v> Bottom fishing </c:v>
                </c:pt>
                <c:pt idx="6">
                  <c:v> My Setup 1 </c:v>
                </c:pt>
                <c:pt idx="7">
                  <c:v> My Setup 2 </c:v>
                </c:pt>
                <c:pt idx="8">
                  <c:v> My Setup 3 </c:v>
                </c:pt>
                <c:pt idx="9">
                  <c:v> My Setup 4 </c:v>
                </c:pt>
                <c:pt idx="10">
                  <c:v> My Setup 5 </c:v>
                </c:pt>
              </c:strCache>
            </c:strRef>
          </c:cat>
          <c:val>
            <c:numRef>
              <c:f>'TRADE STATISTICS'!$AE$4:$AE$6</c:f>
              <c:numCache>
                <c:formatCode>0.0%</c:formatCode>
                <c:ptCount val="3"/>
                <c:pt idx="0">
                  <c:v>0.44230769230769229</c:v>
                </c:pt>
                <c:pt idx="1">
                  <c:v>0.66666666666666663</c:v>
                </c:pt>
                <c:pt idx="2">
                  <c:v>0.45454545454545453</c:v>
                </c:pt>
              </c:numCache>
            </c:numRef>
          </c:val>
          <c:smooth val="0"/>
          <c:extLst>
            <c:ext xmlns:c16="http://schemas.microsoft.com/office/drawing/2014/chart" uri="{C3380CC4-5D6E-409C-BE32-E72D297353CC}">
              <c16:uniqueId val="{00000018-D5B1-47D6-A6A4-E247499E8141}"/>
            </c:ext>
          </c:extLst>
        </c:ser>
        <c:dLbls>
          <c:showLegendKey val="0"/>
          <c:showVal val="0"/>
          <c:showCatName val="0"/>
          <c:showSerName val="0"/>
          <c:showPercent val="0"/>
          <c:showBubbleSize val="0"/>
        </c:dLbls>
        <c:marker val="1"/>
        <c:smooth val="0"/>
        <c:axId val="478901432"/>
        <c:axId val="478905040"/>
      </c:lineChart>
      <c:catAx>
        <c:axId val="478901432"/>
        <c:scaling>
          <c:orientation val="minMax"/>
        </c:scaling>
        <c:delete val="0"/>
        <c:axPos val="b"/>
        <c:numFmt formatCode="General" sourceLinked="1"/>
        <c:majorTickMark val="none"/>
        <c:minorTickMark val="out"/>
        <c:tickLblPos val="low"/>
        <c:spPr>
          <a:noFill/>
          <a:ln w="9525" cap="flat" cmpd="sng" algn="ctr">
            <a:solidFill>
              <a:schemeClr val="accent3"/>
            </a:solidFill>
            <a:round/>
          </a:ln>
          <a:effectLst/>
        </c:spPr>
        <c:txPr>
          <a:bodyPr rot="0" spcFirstLastPara="1" vertOverflow="ellipsis" wrap="square" anchor="ctr" anchorCtr="1"/>
          <a:lstStyle/>
          <a:p>
            <a:pPr>
              <a:defRPr sz="700" b="0"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endParaRPr lang="en-US"/>
          </a:p>
        </c:txPr>
        <c:crossAx val="478905040"/>
        <c:crossesAt val="0"/>
        <c:auto val="0"/>
        <c:lblAlgn val="ctr"/>
        <c:lblOffset val="50"/>
        <c:tickMarkSkip val="1"/>
        <c:noMultiLvlLbl val="0"/>
      </c:catAx>
      <c:valAx>
        <c:axId val="478905040"/>
        <c:scaling>
          <c:orientation val="minMax"/>
          <c:max val="1"/>
        </c:scaling>
        <c:delete val="0"/>
        <c:axPos val="r"/>
        <c:title>
          <c:tx>
            <c:strRef>
              <c:f>'TRADE STATISTICS'!$Z$3</c:f>
              <c:strCache>
                <c:ptCount val="1"/>
                <c:pt idx="0">
                  <c:v>REWARD-RISK RATIO</c:v>
                </c:pt>
              </c:strCache>
            </c:strRef>
          </c:tx>
          <c:layout>
            <c:manualLayout>
              <c:xMode val="edge"/>
              <c:yMode val="edge"/>
              <c:x val="2.84010347082066E-2"/>
              <c:y val="0.17486449735951681"/>
            </c:manualLayout>
          </c:layout>
          <c:overlay val="0"/>
          <c:spPr>
            <a:noFill/>
            <a:ln>
              <a:noFill/>
            </a:ln>
            <a:effectLst/>
          </c:spPr>
          <c:txPr>
            <a:bodyPr rot="-54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478901432"/>
        <c:crosses val="max"/>
        <c:crossBetween val="between"/>
        <c:minorUnit val="0.2"/>
      </c:valAx>
      <c:spPr>
        <a:gradFill flip="none" rotWithShape="1">
          <a:gsLst>
            <a:gs pos="15000">
              <a:schemeClr val="accent6">
                <a:alpha val="50000"/>
              </a:schemeClr>
            </a:gs>
            <a:gs pos="100000">
              <a:schemeClr val="accent4">
                <a:alpha val="0"/>
              </a:schemeClr>
            </a:gs>
          </a:gsLst>
          <a:lin ang="16200000" scaled="1"/>
          <a:tileRect/>
        </a:gradFill>
        <a:ln>
          <a:noFill/>
        </a:ln>
        <a:effectLst/>
      </c:spPr>
    </c:plotArea>
    <c:legend>
      <c:legendPos val="r"/>
      <c:layout>
        <c:manualLayout>
          <c:xMode val="edge"/>
          <c:yMode val="edge"/>
          <c:x val="0"/>
          <c:y val="0.85511023622047244"/>
          <c:w val="0.99271310298712312"/>
          <c:h val="0.1421093331075551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bg2"/>
                </a:solidFill>
                <a:latin typeface="Arial" panose="020B0604020202020204" pitchFamily="34" charset="0"/>
                <a:ea typeface="+mn-ea"/>
                <a:cs typeface="Arial" panose="020B0604020202020204" pitchFamily="34" charset="0"/>
              </a:defRPr>
            </a:pPr>
            <a:r>
              <a:rPr lang="en-US" sz="800">
                <a:solidFill>
                  <a:schemeClr val="bg2"/>
                </a:solidFill>
                <a:latin typeface="Arial" panose="020B0604020202020204" pitchFamily="34" charset="0"/>
                <a:cs typeface="Arial" panose="020B0604020202020204" pitchFamily="34" charset="0"/>
              </a:rPr>
              <a:t>MONTHLY EQUITY</a:t>
            </a:r>
            <a:r>
              <a:rPr lang="en-US" sz="800" baseline="0">
                <a:solidFill>
                  <a:schemeClr val="bg2"/>
                </a:solidFill>
                <a:latin typeface="Arial" panose="020B0604020202020204" pitchFamily="34" charset="0"/>
                <a:cs typeface="Arial" panose="020B0604020202020204" pitchFamily="34" charset="0"/>
              </a:rPr>
              <a:t> CURVE VS TRADED VOLUME</a:t>
            </a:r>
            <a:endParaRPr lang="en-US" sz="800">
              <a:solidFill>
                <a:schemeClr val="bg2"/>
              </a:solidFill>
              <a:latin typeface="Arial" panose="020B0604020202020204" pitchFamily="34" charset="0"/>
              <a:cs typeface="Arial" panose="020B0604020202020204" pitchFamily="34" charset="0"/>
            </a:endParaRPr>
          </a:p>
        </c:rich>
      </c:tx>
      <c:layout>
        <c:manualLayout>
          <c:xMode val="edge"/>
          <c:yMode val="edge"/>
          <c:x val="9.1050299040488555E-3"/>
          <c:y val="3.2520325203252036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chemeClr val="bg2"/>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3.0917833172792272E-2"/>
          <c:y val="0.13944004352032791"/>
          <c:w val="0.84729297927286351"/>
          <c:h val="0.62236351393677636"/>
        </c:manualLayout>
      </c:layout>
      <c:barChart>
        <c:barDir val="col"/>
        <c:grouping val="clustered"/>
        <c:varyColors val="0"/>
        <c:ser>
          <c:idx val="1"/>
          <c:order val="1"/>
          <c:tx>
            <c:v>Gained</c:v>
          </c:tx>
          <c:spPr>
            <a:gradFill>
              <a:gsLst>
                <a:gs pos="50000">
                  <a:schemeClr val="accent1"/>
                </a:gs>
                <a:gs pos="100000">
                  <a:schemeClr val="accent3"/>
                </a:gs>
              </a:gsLst>
              <a:lin ang="5400000" scaled="1"/>
            </a:gradFill>
            <a:ln>
              <a:noFill/>
            </a:ln>
            <a:effectLst>
              <a:outerShdw blurRad="50800" dist="50800" dir="5400000" algn="ctr" rotWithShape="0">
                <a:schemeClr val="tx1"/>
              </a:outerShdw>
            </a:effectLst>
          </c:spPr>
          <c:invertIfNegative val="0"/>
          <c:dPt>
            <c:idx val="0"/>
            <c:invertIfNegative val="0"/>
            <c:bubble3D val="0"/>
            <c:spPr>
              <a:gradFill>
                <a:gsLst>
                  <a:gs pos="50000">
                    <a:schemeClr val="accent1"/>
                  </a:gs>
                  <a:gs pos="100000">
                    <a:schemeClr val="accent3"/>
                  </a:gs>
                </a:gsLst>
                <a:lin ang="5400000" scaled="1"/>
              </a:gradFill>
              <a:ln>
                <a:noFill/>
              </a:ln>
              <a:effectLst>
                <a:outerShdw blurRad="50800" dist="50800" dir="5400000" algn="ctr" rotWithShape="0">
                  <a:schemeClr val="tx1"/>
                </a:outerShdw>
              </a:effectLst>
            </c:spPr>
            <c:extLst>
              <c:ext xmlns:c16="http://schemas.microsoft.com/office/drawing/2014/chart" uri="{C3380CC4-5D6E-409C-BE32-E72D297353CC}">
                <c16:uniqueId val="{00000000-C033-436D-91D7-2F280B832531}"/>
              </c:ext>
            </c:extLst>
          </c:dPt>
          <c:cat>
            <c:numRef>
              <c:f>'MONTHLY REPORT'!$X$15:$X$27</c:f>
              <c:numCache>
                <c:formatCode>General</c:formatCode>
                <c:ptCount val="13"/>
                <c:pt idx="0">
                  <c:v>45017</c:v>
                </c:pt>
                <c:pt idx="1">
                  <c:v>44986</c:v>
                </c:pt>
                <c:pt idx="2">
                  <c:v>44958</c:v>
                </c:pt>
                <c:pt idx="3">
                  <c:v>44927</c:v>
                </c:pt>
                <c:pt idx="4">
                  <c:v>44896</c:v>
                </c:pt>
                <c:pt idx="5">
                  <c:v>44866</c:v>
                </c:pt>
                <c:pt idx="6">
                  <c:v>44835</c:v>
                </c:pt>
                <c:pt idx="7">
                  <c:v>44805</c:v>
                </c:pt>
                <c:pt idx="8">
                  <c:v>44774</c:v>
                </c:pt>
                <c:pt idx="9">
                  <c:v>44743</c:v>
                </c:pt>
                <c:pt idx="10">
                  <c:v>44713</c:v>
                </c:pt>
                <c:pt idx="11">
                  <c:v>44682</c:v>
                </c:pt>
                <c:pt idx="12">
                  <c:v>44652</c:v>
                </c:pt>
              </c:numCache>
            </c:numRef>
          </c:cat>
          <c:val>
            <c:numRef>
              <c:f>'MONTHLY REPORT'!$AB$15:$AB$27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D8EB-4F86-9E88-555EAC33FACA}"/>
            </c:ext>
          </c:extLst>
        </c:ser>
        <c:ser>
          <c:idx val="2"/>
          <c:order val="2"/>
          <c:tx>
            <c:v>Lossed</c:v>
          </c:tx>
          <c:spPr>
            <a:gradFill>
              <a:gsLst>
                <a:gs pos="50000">
                  <a:schemeClr val="accent2"/>
                </a:gs>
                <a:gs pos="100000">
                  <a:schemeClr val="accent3"/>
                </a:gs>
              </a:gsLst>
              <a:lin ang="5400000" scaled="1"/>
            </a:gradFill>
            <a:ln>
              <a:noFill/>
            </a:ln>
            <a:effectLst/>
          </c:spPr>
          <c:invertIfNegative val="0"/>
          <c:cat>
            <c:numRef>
              <c:f>'MONTHLY REPORT'!$X$15:$X$27</c:f>
              <c:numCache>
                <c:formatCode>General</c:formatCode>
                <c:ptCount val="13"/>
                <c:pt idx="0">
                  <c:v>45017</c:v>
                </c:pt>
                <c:pt idx="1">
                  <c:v>44986</c:v>
                </c:pt>
                <c:pt idx="2">
                  <c:v>44958</c:v>
                </c:pt>
                <c:pt idx="3">
                  <c:v>44927</c:v>
                </c:pt>
                <c:pt idx="4">
                  <c:v>44896</c:v>
                </c:pt>
                <c:pt idx="5">
                  <c:v>44866</c:v>
                </c:pt>
                <c:pt idx="6">
                  <c:v>44835</c:v>
                </c:pt>
                <c:pt idx="7">
                  <c:v>44805</c:v>
                </c:pt>
                <c:pt idx="8">
                  <c:v>44774</c:v>
                </c:pt>
                <c:pt idx="9">
                  <c:v>44743</c:v>
                </c:pt>
                <c:pt idx="10">
                  <c:v>44713</c:v>
                </c:pt>
                <c:pt idx="11">
                  <c:v>44682</c:v>
                </c:pt>
                <c:pt idx="12">
                  <c:v>44652</c:v>
                </c:pt>
              </c:numCache>
            </c:numRef>
          </c:cat>
          <c:val>
            <c:numRef>
              <c:f>'MONTHLY REPORT'!$AC$15:$AC$27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7B6B-4685-BE1E-AA338AE21339}"/>
            </c:ext>
          </c:extLst>
        </c:ser>
        <c:dLbls>
          <c:showLegendKey val="0"/>
          <c:showVal val="0"/>
          <c:showCatName val="0"/>
          <c:showSerName val="0"/>
          <c:showPercent val="0"/>
          <c:showBubbleSize val="0"/>
        </c:dLbls>
        <c:gapWidth val="45"/>
        <c:overlap val="100"/>
        <c:axId val="484430528"/>
        <c:axId val="484430856"/>
      </c:barChart>
      <c:lineChart>
        <c:grouping val="standard"/>
        <c:varyColors val="0"/>
        <c:ser>
          <c:idx val="0"/>
          <c:order val="0"/>
          <c:tx>
            <c:v>Equity</c:v>
          </c:tx>
          <c:spPr>
            <a:ln w="12700" cap="rnd">
              <a:solidFill>
                <a:schemeClr val="bg1">
                  <a:lumMod val="95000"/>
                </a:schemeClr>
              </a:solidFill>
              <a:round/>
            </a:ln>
            <a:effectLst>
              <a:outerShdw blurRad="25400" dist="25400" dir="5400000" algn="ctr" rotWithShape="0">
                <a:schemeClr val="tx1">
                  <a:lumMod val="95000"/>
                  <a:lumOff val="5000"/>
                </a:schemeClr>
              </a:outerShdw>
            </a:effectLst>
          </c:spPr>
          <c:marker>
            <c:symbol val="circle"/>
            <c:size val="5"/>
            <c:spPr>
              <a:solidFill>
                <a:schemeClr val="bg2">
                  <a:lumMod val="10000"/>
                </a:schemeClr>
              </a:solidFill>
              <a:ln w="12700">
                <a:solidFill>
                  <a:schemeClr val="bg1">
                    <a:lumMod val="95000"/>
                  </a:schemeClr>
                </a:solidFill>
              </a:ln>
              <a:effectLst/>
            </c:spPr>
          </c:marker>
          <c:errBars>
            <c:errDir val="y"/>
            <c:errBarType val="both"/>
            <c:errValType val="fixedVal"/>
            <c:noEndCap val="1"/>
            <c:val val="0"/>
            <c:spPr>
              <a:noFill/>
              <a:ln w="9525" cap="flat" cmpd="sng" algn="ctr">
                <a:solidFill>
                  <a:schemeClr val="tx1">
                    <a:lumMod val="65000"/>
                    <a:lumOff val="35000"/>
                  </a:schemeClr>
                </a:solidFill>
                <a:round/>
              </a:ln>
              <a:effectLst/>
            </c:spPr>
          </c:errBars>
          <c:cat>
            <c:numRef>
              <c:f>'MONTHLY REPORT'!$X$15:$X$27</c:f>
              <c:numCache>
                <c:formatCode>General</c:formatCode>
                <c:ptCount val="13"/>
                <c:pt idx="0">
                  <c:v>45017</c:v>
                </c:pt>
                <c:pt idx="1">
                  <c:v>44986</c:v>
                </c:pt>
                <c:pt idx="2">
                  <c:v>44958</c:v>
                </c:pt>
                <c:pt idx="3">
                  <c:v>44927</c:v>
                </c:pt>
                <c:pt idx="4">
                  <c:v>44896</c:v>
                </c:pt>
                <c:pt idx="5">
                  <c:v>44866</c:v>
                </c:pt>
                <c:pt idx="6">
                  <c:v>44835</c:v>
                </c:pt>
                <c:pt idx="7">
                  <c:v>44805</c:v>
                </c:pt>
                <c:pt idx="8">
                  <c:v>44774</c:v>
                </c:pt>
                <c:pt idx="9">
                  <c:v>44743</c:v>
                </c:pt>
                <c:pt idx="10">
                  <c:v>44713</c:v>
                </c:pt>
                <c:pt idx="11">
                  <c:v>44682</c:v>
                </c:pt>
                <c:pt idx="12">
                  <c:v>44652</c:v>
                </c:pt>
              </c:numCache>
            </c:numRef>
          </c:cat>
          <c:val>
            <c:numRef>
              <c:f>'MONTHLY REPORT'!$Y$15:$Y$27</c:f>
              <c:numCache>
                <c:formatCode>General</c:formatCode>
                <c:ptCount val="13"/>
                <c:pt idx="0">
                  <c:v>53716.72</c:v>
                </c:pt>
                <c:pt idx="1">
                  <c:v>53716.72</c:v>
                </c:pt>
                <c:pt idx="2">
                  <c:v>53716.72</c:v>
                </c:pt>
                <c:pt idx="3">
                  <c:v>53716.72</c:v>
                </c:pt>
                <c:pt idx="4">
                  <c:v>53716.72</c:v>
                </c:pt>
                <c:pt idx="5">
                  <c:v>53716.72</c:v>
                </c:pt>
                <c:pt idx="6">
                  <c:v>53716.72</c:v>
                </c:pt>
                <c:pt idx="7">
                  <c:v>53716.72</c:v>
                </c:pt>
                <c:pt idx="8">
                  <c:v>53716.72</c:v>
                </c:pt>
                <c:pt idx="9">
                  <c:v>53716.72</c:v>
                </c:pt>
                <c:pt idx="10">
                  <c:v>53716.72</c:v>
                </c:pt>
                <c:pt idx="11">
                  <c:v>53716.72</c:v>
                </c:pt>
                <c:pt idx="12">
                  <c:v>53716.72</c:v>
                </c:pt>
              </c:numCache>
            </c:numRef>
          </c:val>
          <c:smooth val="0"/>
          <c:extLst>
            <c:ext xmlns:c16="http://schemas.microsoft.com/office/drawing/2014/chart" uri="{C3380CC4-5D6E-409C-BE32-E72D297353CC}">
              <c16:uniqueId val="{00000001-D8EB-4F86-9E88-555EAC33FACA}"/>
            </c:ext>
          </c:extLst>
        </c:ser>
        <c:dLbls>
          <c:showLegendKey val="0"/>
          <c:showVal val="0"/>
          <c:showCatName val="0"/>
          <c:showSerName val="0"/>
          <c:showPercent val="0"/>
          <c:showBubbleSize val="0"/>
        </c:dLbls>
        <c:marker val="1"/>
        <c:smooth val="0"/>
        <c:axId val="736885616"/>
        <c:axId val="736890208"/>
      </c:lineChart>
      <c:catAx>
        <c:axId val="736885616"/>
        <c:scaling>
          <c:orientation val="maxMin"/>
        </c:scaling>
        <c:delete val="0"/>
        <c:axPos val="b"/>
        <c:numFmt formatCode="[$-409]mmm\-yy;@" sourceLinked="0"/>
        <c:majorTickMark val="out"/>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700" b="0" i="0" u="none" strike="noStrike" kern="1200" baseline="0">
                <a:solidFill>
                  <a:schemeClr val="bg1">
                    <a:lumMod val="65000"/>
                  </a:schemeClr>
                </a:solidFill>
                <a:latin typeface="+mn-lt"/>
                <a:ea typeface="+mn-ea"/>
                <a:cs typeface="+mn-cs"/>
              </a:defRPr>
            </a:pPr>
            <a:endParaRPr lang="en-US"/>
          </a:p>
        </c:txPr>
        <c:crossAx val="736890208"/>
        <c:crosses val="autoZero"/>
        <c:auto val="1"/>
        <c:lblAlgn val="ctr"/>
        <c:lblOffset val="100"/>
        <c:tickLblSkip val="1"/>
        <c:noMultiLvlLbl val="1"/>
      </c:catAx>
      <c:valAx>
        <c:axId val="736890208"/>
        <c:scaling>
          <c:orientation val="minMax"/>
          <c:max val="59282.047000000006"/>
          <c:min val="42973.376000000004"/>
        </c:scaling>
        <c:delete val="0"/>
        <c:axPos val="r"/>
        <c:numFmt formatCode="#,##0" sourceLinked="0"/>
        <c:majorTickMark val="out"/>
        <c:minorTickMark val="none"/>
        <c:tickLblPos val="nextTo"/>
        <c:spPr>
          <a:noFill/>
          <a:ln>
            <a:solidFill>
              <a:schemeClr val="tx1">
                <a:lumMod val="85000"/>
                <a:lumOff val="15000"/>
              </a:schemeClr>
            </a:solid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736885616"/>
        <c:crosses val="autoZero"/>
        <c:crossBetween val="between"/>
      </c:valAx>
      <c:valAx>
        <c:axId val="484430856"/>
        <c:scaling>
          <c:orientation val="minMax"/>
        </c:scaling>
        <c:delete val="0"/>
        <c:axPos val="r"/>
        <c:numFmt formatCode="&quot;&quot;" sourceLinked="0"/>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tx1">
                    <a:lumMod val="85000"/>
                    <a:lumOff val="15000"/>
                  </a:schemeClr>
                </a:solidFill>
                <a:latin typeface="+mn-lt"/>
                <a:ea typeface="+mn-ea"/>
                <a:cs typeface="+mn-cs"/>
              </a:defRPr>
            </a:pPr>
            <a:endParaRPr lang="en-US"/>
          </a:p>
        </c:txPr>
        <c:crossAx val="484430528"/>
        <c:crosses val="autoZero"/>
        <c:crossBetween val="between"/>
      </c:valAx>
      <c:catAx>
        <c:axId val="484430528"/>
        <c:scaling>
          <c:orientation val="maxMin"/>
        </c:scaling>
        <c:delete val="1"/>
        <c:axPos val="b"/>
        <c:numFmt formatCode="General" sourceLinked="1"/>
        <c:majorTickMark val="out"/>
        <c:minorTickMark val="none"/>
        <c:tickLblPos val="nextTo"/>
        <c:crossAx val="484430856"/>
        <c:crosses val="autoZero"/>
        <c:auto val="1"/>
        <c:lblAlgn val="ctr"/>
        <c:lblOffset val="100"/>
        <c:noMultiLvlLbl val="1"/>
      </c:catAx>
      <c:spPr>
        <a:gradFill flip="none" rotWithShape="1">
          <a:gsLst>
            <a:gs pos="15000">
              <a:schemeClr val="accent6">
                <a:alpha val="50000"/>
              </a:schemeClr>
            </a:gs>
            <a:gs pos="100000">
              <a:schemeClr val="accent6">
                <a:alpha val="0"/>
              </a:schemeClr>
            </a:gs>
          </a:gsLst>
          <a:lin ang="16200000" scaled="1"/>
          <a:tileRect/>
        </a:gradFill>
        <a:ln>
          <a:noFill/>
        </a:ln>
        <a:effectLst/>
      </c:spPr>
    </c:plotArea>
    <c:legend>
      <c:legendPos val="r"/>
      <c:layout>
        <c:manualLayout>
          <c:xMode val="edge"/>
          <c:yMode val="edge"/>
          <c:x val="0.26354424143583993"/>
          <c:y val="0.88477638134560488"/>
          <c:w val="0.46867449821199536"/>
          <c:h val="0.1097151016298565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'MONTHLY REPORT'!$Y$1</c:f>
          <c:strCache>
            <c:ptCount val="1"/>
            <c:pt idx="0">
              <c:v>WIN% VS REWARD-RISK RATIO</c:v>
            </c:pt>
          </c:strCache>
        </c:strRef>
      </c:tx>
      <c:layout>
        <c:manualLayout>
          <c:xMode val="edge"/>
          <c:yMode val="edge"/>
          <c:x val="1.7974434611602728E-2"/>
          <c:y val="3.968253968253968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chemeClr val="bg2"/>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8426007956801367E-2"/>
          <c:y val="0.25396102943779425"/>
          <c:w val="0.8305263403816584"/>
          <c:h val="0.50621652784731386"/>
        </c:manualLayout>
      </c:layout>
      <c:barChart>
        <c:barDir val="col"/>
        <c:grouping val="clustered"/>
        <c:varyColors val="0"/>
        <c:ser>
          <c:idx val="4"/>
          <c:order val="0"/>
          <c:tx>
            <c:v>Profitable %</c:v>
          </c:tx>
          <c:spPr>
            <a:gradFill>
              <a:gsLst>
                <a:gs pos="25000">
                  <a:schemeClr val="accent1"/>
                </a:gs>
                <a:gs pos="100000">
                  <a:schemeClr val="accent3"/>
                </a:gs>
              </a:gsLst>
              <a:lin ang="5400000" scaled="1"/>
            </a:gradFill>
            <a:ln w="19050">
              <a:solidFill>
                <a:schemeClr val="accent5"/>
              </a:solidFill>
            </a:ln>
            <a:effectLst/>
          </c:spPr>
          <c:invertIfNegative val="0"/>
          <c:dPt>
            <c:idx val="0"/>
            <c:invertIfNegative val="0"/>
            <c:bubble3D val="0"/>
            <c:spPr>
              <a:gradFill>
                <a:gsLst>
                  <a:gs pos="25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2C-8CB2-471C-90E9-B00E0CAB6662}"/>
              </c:ext>
            </c:extLst>
          </c:dPt>
          <c:dPt>
            <c:idx val="1"/>
            <c:invertIfNegative val="0"/>
            <c:bubble3D val="0"/>
            <c:spPr>
              <a:gradFill>
                <a:gsLst>
                  <a:gs pos="25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2E-8CB2-471C-90E9-B00E0CAB6662}"/>
              </c:ext>
            </c:extLst>
          </c:dPt>
          <c:dPt>
            <c:idx val="2"/>
            <c:invertIfNegative val="0"/>
            <c:bubble3D val="0"/>
            <c:spPr>
              <a:gradFill>
                <a:gsLst>
                  <a:gs pos="25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2F-8CB2-471C-90E9-B00E0CAB6662}"/>
              </c:ext>
            </c:extLst>
          </c:dPt>
          <c:dPt>
            <c:idx val="3"/>
            <c:invertIfNegative val="0"/>
            <c:bubble3D val="0"/>
            <c:spPr>
              <a:gradFill>
                <a:gsLst>
                  <a:gs pos="25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30-8CB2-471C-90E9-B00E0CAB6662}"/>
              </c:ext>
            </c:extLst>
          </c:dPt>
          <c:dPt>
            <c:idx val="4"/>
            <c:invertIfNegative val="0"/>
            <c:bubble3D val="0"/>
            <c:spPr>
              <a:gradFill>
                <a:gsLst>
                  <a:gs pos="25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E-623D-491A-AD7C-80F98DB8ACE5}"/>
              </c:ext>
            </c:extLst>
          </c:dPt>
          <c:dPt>
            <c:idx val="5"/>
            <c:invertIfNegative val="0"/>
            <c:bubble3D val="0"/>
            <c:spPr>
              <a:gradFill>
                <a:gsLst>
                  <a:gs pos="25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F-623D-491A-AD7C-80F98DB8ACE5}"/>
              </c:ext>
            </c:extLst>
          </c:dPt>
          <c:cat>
            <c:numRef>
              <c:f>'MONTHLY REPORT'!$AL$4:$AL$9</c:f>
              <c:numCache>
                <c:formatCode>[$-409]mmm\-yy;@</c:formatCode>
                <c:ptCount val="6"/>
                <c:pt idx="0">
                  <c:v>45017</c:v>
                </c:pt>
                <c:pt idx="1">
                  <c:v>44986</c:v>
                </c:pt>
                <c:pt idx="2">
                  <c:v>44958</c:v>
                </c:pt>
                <c:pt idx="3">
                  <c:v>44927</c:v>
                </c:pt>
                <c:pt idx="4">
                  <c:v>44896</c:v>
                </c:pt>
                <c:pt idx="5">
                  <c:v>44866</c:v>
                </c:pt>
              </c:numCache>
            </c:numRef>
          </c:cat>
          <c:val>
            <c:numRef>
              <c:f>'MONTHLY REPORT'!$AN$4:$AN$9</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8-8CB2-471C-90E9-B00E0CAB6662}"/>
            </c:ext>
          </c:extLst>
        </c:ser>
        <c:ser>
          <c:idx val="0"/>
          <c:order val="1"/>
          <c:tx>
            <c:v>Non-Profitable %</c:v>
          </c:tx>
          <c:spPr>
            <a:gradFill flip="none" rotWithShape="1">
              <a:gsLst>
                <a:gs pos="50000">
                  <a:schemeClr val="accent2"/>
                </a:gs>
                <a:gs pos="100000">
                  <a:schemeClr val="accent3"/>
                </a:gs>
              </a:gsLst>
              <a:lin ang="5400000" scaled="1"/>
              <a:tileRect/>
            </a:gradFill>
            <a:ln w="19050">
              <a:solidFill>
                <a:schemeClr val="accent5"/>
              </a:solidFill>
            </a:ln>
            <a:effectLst/>
          </c:spPr>
          <c:invertIfNegative val="0"/>
          <c:dPt>
            <c:idx val="1"/>
            <c:invertIfNegative val="0"/>
            <c:bubble3D val="0"/>
            <c:spPr>
              <a:gradFill flip="none" rotWithShape="1">
                <a:gsLst>
                  <a:gs pos="50000">
                    <a:schemeClr val="accent2"/>
                  </a:gs>
                  <a:gs pos="100000">
                    <a:schemeClr val="accent3"/>
                  </a:gs>
                </a:gsLst>
                <a:lin ang="5400000" scaled="1"/>
                <a:tileRect/>
              </a:gradFill>
              <a:ln w="19050">
                <a:solidFill>
                  <a:schemeClr val="accent5"/>
                </a:solidFill>
              </a:ln>
              <a:effectLst/>
            </c:spPr>
            <c:extLst>
              <c:ext xmlns:c16="http://schemas.microsoft.com/office/drawing/2014/chart" uri="{C3380CC4-5D6E-409C-BE32-E72D297353CC}">
                <c16:uniqueId val="{00000033-8CB2-471C-90E9-B00E0CAB6662}"/>
              </c:ext>
            </c:extLst>
          </c:dPt>
          <c:dPt>
            <c:idx val="2"/>
            <c:invertIfNegative val="0"/>
            <c:bubble3D val="0"/>
            <c:spPr>
              <a:gradFill flip="none" rotWithShape="1">
                <a:gsLst>
                  <a:gs pos="50000">
                    <a:schemeClr val="accent2"/>
                  </a:gs>
                  <a:gs pos="100000">
                    <a:schemeClr val="accent3"/>
                  </a:gs>
                </a:gsLst>
                <a:lin ang="5400000" scaled="1"/>
                <a:tileRect/>
              </a:gradFill>
              <a:ln w="19050">
                <a:solidFill>
                  <a:schemeClr val="accent5"/>
                </a:solidFill>
              </a:ln>
              <a:effectLst/>
            </c:spPr>
            <c:extLst>
              <c:ext xmlns:c16="http://schemas.microsoft.com/office/drawing/2014/chart" uri="{C3380CC4-5D6E-409C-BE32-E72D297353CC}">
                <c16:uniqueId val="{00000032-8CB2-471C-90E9-B00E0CAB6662}"/>
              </c:ext>
            </c:extLst>
          </c:dPt>
          <c:dPt>
            <c:idx val="3"/>
            <c:invertIfNegative val="0"/>
            <c:bubble3D val="0"/>
            <c:spPr>
              <a:gradFill flip="none" rotWithShape="1">
                <a:gsLst>
                  <a:gs pos="50000">
                    <a:schemeClr val="accent2"/>
                  </a:gs>
                  <a:gs pos="100000">
                    <a:schemeClr val="accent3"/>
                  </a:gs>
                </a:gsLst>
                <a:lin ang="5400000" scaled="1"/>
                <a:tileRect/>
              </a:gradFill>
              <a:ln w="19050">
                <a:solidFill>
                  <a:schemeClr val="accent5"/>
                </a:solidFill>
              </a:ln>
              <a:effectLst/>
            </c:spPr>
            <c:extLst>
              <c:ext xmlns:c16="http://schemas.microsoft.com/office/drawing/2014/chart" uri="{C3380CC4-5D6E-409C-BE32-E72D297353CC}">
                <c16:uniqueId val="{00000031-8CB2-471C-90E9-B00E0CAB6662}"/>
              </c:ext>
            </c:extLst>
          </c:dPt>
          <c:dPt>
            <c:idx val="4"/>
            <c:invertIfNegative val="0"/>
            <c:bubble3D val="0"/>
            <c:spPr>
              <a:gradFill flip="none" rotWithShape="1">
                <a:gsLst>
                  <a:gs pos="50000">
                    <a:schemeClr val="accent2"/>
                  </a:gs>
                  <a:gs pos="100000">
                    <a:schemeClr val="accent3"/>
                  </a:gs>
                </a:gsLst>
                <a:lin ang="5400000" scaled="1"/>
                <a:tileRect/>
              </a:gradFill>
              <a:ln w="19050">
                <a:solidFill>
                  <a:schemeClr val="accent5"/>
                </a:solidFill>
              </a:ln>
              <a:effectLst/>
            </c:spPr>
            <c:extLst>
              <c:ext xmlns:c16="http://schemas.microsoft.com/office/drawing/2014/chart" uri="{C3380CC4-5D6E-409C-BE32-E72D297353CC}">
                <c16:uniqueId val="{00000010-623D-491A-AD7C-80F98DB8ACE5}"/>
              </c:ext>
            </c:extLst>
          </c:dPt>
          <c:dPt>
            <c:idx val="5"/>
            <c:invertIfNegative val="0"/>
            <c:bubble3D val="0"/>
            <c:spPr>
              <a:gradFill flip="none" rotWithShape="1">
                <a:gsLst>
                  <a:gs pos="50000">
                    <a:schemeClr val="accent2"/>
                  </a:gs>
                  <a:gs pos="100000">
                    <a:schemeClr val="accent3"/>
                  </a:gs>
                </a:gsLst>
                <a:lin ang="5400000" scaled="1"/>
                <a:tileRect/>
              </a:gradFill>
              <a:ln w="19050">
                <a:solidFill>
                  <a:schemeClr val="accent5"/>
                </a:solidFill>
              </a:ln>
              <a:effectLst/>
            </c:spPr>
            <c:extLst>
              <c:ext xmlns:c16="http://schemas.microsoft.com/office/drawing/2014/chart" uri="{C3380CC4-5D6E-409C-BE32-E72D297353CC}">
                <c16:uniqueId val="{00000011-623D-491A-AD7C-80F98DB8ACE5}"/>
              </c:ext>
            </c:extLst>
          </c:dPt>
          <c:cat>
            <c:numRef>
              <c:f>'MONTHLY REPORT'!$AL$4:$AL$9</c:f>
              <c:numCache>
                <c:formatCode>[$-409]mmm\-yy;@</c:formatCode>
                <c:ptCount val="6"/>
                <c:pt idx="0">
                  <c:v>45017</c:v>
                </c:pt>
                <c:pt idx="1">
                  <c:v>44986</c:v>
                </c:pt>
                <c:pt idx="2">
                  <c:v>44958</c:v>
                </c:pt>
                <c:pt idx="3">
                  <c:v>44927</c:v>
                </c:pt>
                <c:pt idx="4">
                  <c:v>44896</c:v>
                </c:pt>
                <c:pt idx="5">
                  <c:v>44866</c:v>
                </c:pt>
              </c:numCache>
            </c:numRef>
          </c:cat>
          <c:val>
            <c:numRef>
              <c:f>'MONTHLY REPORT'!$AM$4:$AM$9</c:f>
              <c:numCache>
                <c:formatCode>0%</c:formatCode>
                <c:ptCount val="6"/>
                <c:pt idx="0">
                  <c:v>0.39494497543680873</c:v>
                </c:pt>
                <c:pt idx="1">
                  <c:v>0.39494497543680873</c:v>
                </c:pt>
                <c:pt idx="2">
                  <c:v>0.39494497543680873</c:v>
                </c:pt>
                <c:pt idx="3">
                  <c:v>0.39494497543680873</c:v>
                </c:pt>
                <c:pt idx="4">
                  <c:v>0.39494497543680873</c:v>
                </c:pt>
                <c:pt idx="5">
                  <c:v>0.39494497543680873</c:v>
                </c:pt>
              </c:numCache>
            </c:numRef>
          </c:val>
          <c:extLst>
            <c:ext xmlns:c16="http://schemas.microsoft.com/office/drawing/2014/chart" uri="{C3380CC4-5D6E-409C-BE32-E72D297353CC}">
              <c16:uniqueId val="{00000000-2B30-48A5-8941-1C96C9E48E76}"/>
            </c:ext>
          </c:extLst>
        </c:ser>
        <c:dLbls>
          <c:showLegendKey val="0"/>
          <c:showVal val="0"/>
          <c:showCatName val="0"/>
          <c:showSerName val="0"/>
          <c:showPercent val="0"/>
          <c:showBubbleSize val="0"/>
        </c:dLbls>
        <c:gapWidth val="40"/>
        <c:overlap val="100"/>
        <c:axId val="478901432"/>
        <c:axId val="478905040"/>
      </c:barChart>
      <c:lineChart>
        <c:grouping val="standard"/>
        <c:varyColors val="0"/>
        <c:ser>
          <c:idx val="3"/>
          <c:order val="2"/>
          <c:tx>
            <c:v>Win Rate%</c:v>
          </c:tx>
          <c:spPr>
            <a:ln w="12700" cap="rnd">
              <a:solidFill>
                <a:schemeClr val="bg1"/>
              </a:solidFill>
              <a:round/>
            </a:ln>
            <a:effectLst>
              <a:outerShdw blurRad="25400" dist="25400" dir="5400000" algn="ctr" rotWithShape="0">
                <a:schemeClr val="tx1">
                  <a:lumMod val="95000"/>
                  <a:lumOff val="5000"/>
                </a:schemeClr>
              </a:outerShdw>
            </a:effectLst>
          </c:spPr>
          <c:marker>
            <c:symbol val="circle"/>
            <c:size val="5"/>
            <c:spPr>
              <a:solidFill>
                <a:schemeClr val="tx1">
                  <a:lumMod val="95000"/>
                  <a:lumOff val="5000"/>
                </a:schemeClr>
              </a:solidFill>
              <a:ln w="12700">
                <a:solidFill>
                  <a:schemeClr val="bg1"/>
                </a:solidFill>
              </a:ln>
              <a:effectLst>
                <a:outerShdw blurRad="25400" dist="25400" dir="5400000" algn="ctr" rotWithShape="0">
                  <a:schemeClr val="tx1">
                    <a:lumMod val="95000"/>
                    <a:lumOff val="5000"/>
                  </a:schemeClr>
                </a:outerShdw>
              </a:effectLst>
            </c:spPr>
          </c:marker>
          <c:dLbls>
            <c:spPr>
              <a:solidFill>
                <a:srgbClr val="4B5D75">
                  <a:alpha val="50196"/>
                </a:srgbClr>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Narrow" panose="020B060602020203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fixedVal"/>
            <c:noEndCap val="1"/>
            <c:val val="0"/>
            <c:spPr>
              <a:noFill/>
              <a:ln w="9525" cap="flat" cmpd="sng" algn="ctr">
                <a:solidFill>
                  <a:schemeClr val="tx1">
                    <a:lumMod val="65000"/>
                    <a:lumOff val="35000"/>
                  </a:schemeClr>
                </a:solidFill>
                <a:round/>
              </a:ln>
              <a:effectLst/>
            </c:spPr>
          </c:errBars>
          <c:cat>
            <c:numRef>
              <c:f>'MONTHLY REPORT'!$AL$4:$AL$9</c:f>
              <c:numCache>
                <c:formatCode>[$-409]mmm\-yy;@</c:formatCode>
                <c:ptCount val="6"/>
                <c:pt idx="0">
                  <c:v>45017</c:v>
                </c:pt>
                <c:pt idx="1">
                  <c:v>44986</c:v>
                </c:pt>
                <c:pt idx="2">
                  <c:v>44958</c:v>
                </c:pt>
                <c:pt idx="3">
                  <c:v>44927</c:v>
                </c:pt>
                <c:pt idx="4">
                  <c:v>44896</c:v>
                </c:pt>
                <c:pt idx="5">
                  <c:v>44866</c:v>
                </c:pt>
              </c:numCache>
            </c:numRef>
          </c:cat>
          <c:val>
            <c:numRef>
              <c:f>'MONTHLY REPORT'!$AO$4:$AO$9</c:f>
              <c:numCache>
                <c:formatCode>0%</c:formatCode>
                <c:ptCount val="6"/>
                <c:pt idx="0">
                  <c:v>0.45454545454545453</c:v>
                </c:pt>
                <c:pt idx="1">
                  <c:v>0.45454545454545453</c:v>
                </c:pt>
                <c:pt idx="2">
                  <c:v>0.45454545454545453</c:v>
                </c:pt>
                <c:pt idx="3">
                  <c:v>0.45454545454545453</c:v>
                </c:pt>
                <c:pt idx="4">
                  <c:v>0.45454545454545453</c:v>
                </c:pt>
                <c:pt idx="5">
                  <c:v>0.45454545454545453</c:v>
                </c:pt>
              </c:numCache>
            </c:numRef>
          </c:val>
          <c:smooth val="0"/>
          <c:extLst>
            <c:ext xmlns:c16="http://schemas.microsoft.com/office/drawing/2014/chart" uri="{C3380CC4-5D6E-409C-BE32-E72D297353CC}">
              <c16:uniqueId val="{00000003-2B30-48A5-8941-1C96C9E48E76}"/>
            </c:ext>
          </c:extLst>
        </c:ser>
        <c:dLbls>
          <c:showLegendKey val="0"/>
          <c:showVal val="0"/>
          <c:showCatName val="0"/>
          <c:showSerName val="0"/>
          <c:showPercent val="0"/>
          <c:showBubbleSize val="0"/>
        </c:dLbls>
        <c:marker val="1"/>
        <c:smooth val="0"/>
        <c:axId val="556177680"/>
        <c:axId val="555134472"/>
      </c:lineChart>
      <c:catAx>
        <c:axId val="478901432"/>
        <c:scaling>
          <c:orientation val="maxMin"/>
        </c:scaling>
        <c:delete val="0"/>
        <c:axPos val="b"/>
        <c:numFmt formatCode="[$-409]mmm\-yy;@"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700" b="0" i="0" u="none" strike="noStrike" kern="1200" baseline="0">
                <a:solidFill>
                  <a:schemeClr val="bg1">
                    <a:lumMod val="65000"/>
                  </a:schemeClr>
                </a:solidFill>
                <a:latin typeface="+mn-lt"/>
                <a:ea typeface="+mn-ea"/>
                <a:cs typeface="+mn-cs"/>
              </a:defRPr>
            </a:pPr>
            <a:endParaRPr lang="en-US"/>
          </a:p>
        </c:txPr>
        <c:crossAx val="478905040"/>
        <c:crossesAt val="0"/>
        <c:auto val="0"/>
        <c:lblAlgn val="ctr"/>
        <c:lblOffset val="100"/>
        <c:tickMarkSkip val="1"/>
        <c:noMultiLvlLbl val="0"/>
      </c:catAx>
      <c:valAx>
        <c:axId val="478905040"/>
        <c:scaling>
          <c:orientation val="minMax"/>
          <c:max val="1"/>
        </c:scaling>
        <c:delete val="0"/>
        <c:axPos val="l"/>
        <c:numFmt formatCode="&quot;&quot;"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478901432"/>
        <c:crosses val="max"/>
        <c:crossBetween val="between"/>
        <c:minorUnit val="0.2"/>
      </c:valAx>
      <c:valAx>
        <c:axId val="555134472"/>
        <c:scaling>
          <c:orientation val="minMax"/>
          <c:max val="1"/>
        </c:scaling>
        <c:delete val="0"/>
        <c:axPos val="r"/>
        <c:numFmt formatCode="0%" sourceLinked="1"/>
        <c:majorTickMark val="out"/>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556177680"/>
        <c:crosses val="max"/>
        <c:crossBetween val="between"/>
      </c:valAx>
      <c:dateAx>
        <c:axId val="556177680"/>
        <c:scaling>
          <c:orientation val="minMax"/>
        </c:scaling>
        <c:delete val="0"/>
        <c:axPos val="t"/>
        <c:numFmt formatCode="&quot;&quot;" sourceLinked="0"/>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555134472"/>
        <c:crosses val="max"/>
        <c:auto val="1"/>
        <c:lblOffset val="100"/>
        <c:baseTimeUnit val="months"/>
      </c:dateAx>
      <c:spPr>
        <a:gradFill flip="none" rotWithShape="1">
          <a:gsLst>
            <a:gs pos="15000">
              <a:schemeClr val="accent6">
                <a:alpha val="50000"/>
              </a:schemeClr>
            </a:gs>
            <a:gs pos="100000">
              <a:schemeClr val="accent6">
                <a:alpha val="0"/>
              </a:schemeClr>
            </a:gs>
          </a:gsLst>
          <a:lin ang="16200000" scaled="1"/>
          <a:tileRect/>
        </a:gradFill>
        <a:ln>
          <a:noFill/>
        </a:ln>
        <a:effectLst/>
      </c:spPr>
    </c:plotArea>
    <c:legend>
      <c:legendPos val="r"/>
      <c:layout>
        <c:manualLayout>
          <c:xMode val="edge"/>
          <c:yMode val="edge"/>
          <c:x val="5.8646357729873902E-3"/>
          <c:y val="0.87127222304759078"/>
          <c:w val="0.9841842003356136"/>
          <c:h val="0.1287277769524092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bg2"/>
                </a:solidFill>
                <a:latin typeface="Arial" panose="020B0604020202020204" pitchFamily="34" charset="0"/>
                <a:ea typeface="+mn-ea"/>
                <a:cs typeface="Arial" panose="020B0604020202020204" pitchFamily="34" charset="0"/>
              </a:defRPr>
            </a:pPr>
            <a:r>
              <a:rPr lang="en-US" sz="800" b="0">
                <a:solidFill>
                  <a:schemeClr val="bg2"/>
                </a:solidFill>
                <a:latin typeface="Arial" panose="020B0604020202020204" pitchFamily="34" charset="0"/>
                <a:cs typeface="Arial" panose="020B0604020202020204" pitchFamily="34" charset="0"/>
              </a:rPr>
              <a:t>HISTORICAL WIN RATE</a:t>
            </a:r>
            <a:r>
              <a:rPr lang="en-US" sz="800" b="0" baseline="0">
                <a:solidFill>
                  <a:schemeClr val="bg2"/>
                </a:solidFill>
                <a:latin typeface="Arial" panose="020B0604020202020204" pitchFamily="34" charset="0"/>
                <a:cs typeface="Arial" panose="020B0604020202020204" pitchFamily="34" charset="0"/>
              </a:rPr>
              <a:t> %</a:t>
            </a:r>
            <a:endParaRPr lang="en-US" sz="800" b="0">
              <a:solidFill>
                <a:schemeClr val="bg2"/>
              </a:solidFill>
              <a:latin typeface="Arial" panose="020B0604020202020204" pitchFamily="34" charset="0"/>
              <a:cs typeface="Arial" panose="020B0604020202020204" pitchFamily="34" charset="0"/>
            </a:endParaRPr>
          </a:p>
        </c:rich>
      </c:tx>
      <c:layout>
        <c:manualLayout>
          <c:xMode val="edge"/>
          <c:yMode val="edge"/>
          <c:x val="1.3932908719611862E-2"/>
          <c:y val="3.2520325203252036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chemeClr val="bg2"/>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0489412426362061E-2"/>
          <c:y val="0.24526143047148008"/>
          <c:w val="0.82440523838493807"/>
          <c:h val="0.51742638022848297"/>
        </c:manualLayout>
      </c:layout>
      <c:barChart>
        <c:barDir val="col"/>
        <c:grouping val="clustered"/>
        <c:varyColors val="0"/>
        <c:ser>
          <c:idx val="0"/>
          <c:order val="0"/>
          <c:tx>
            <c:v>Increased</c:v>
          </c:tx>
          <c:spPr>
            <a:gradFill>
              <a:gsLst>
                <a:gs pos="35000">
                  <a:schemeClr val="accent1"/>
                </a:gs>
                <a:gs pos="100000">
                  <a:schemeClr val="accent3"/>
                </a:gs>
              </a:gsLst>
              <a:lin ang="5400000" scaled="1"/>
            </a:gradFill>
            <a:ln w="28575">
              <a:noFill/>
            </a:ln>
            <a:effectLst/>
          </c:spPr>
          <c:invertIfNegative val="0"/>
          <c:dPt>
            <c:idx val="1"/>
            <c:invertIfNegative val="0"/>
            <c:bubble3D val="0"/>
            <c:spPr>
              <a:gradFill>
                <a:gsLst>
                  <a:gs pos="35000">
                    <a:schemeClr val="accent1"/>
                  </a:gs>
                  <a:gs pos="100000">
                    <a:schemeClr val="accent3"/>
                  </a:gs>
                </a:gsLst>
                <a:lin ang="5400000" scaled="1"/>
              </a:gradFill>
              <a:ln w="28575">
                <a:noFill/>
              </a:ln>
              <a:effectLst/>
            </c:spPr>
            <c:extLst>
              <c:ext xmlns:c16="http://schemas.microsoft.com/office/drawing/2014/chart" uri="{C3380CC4-5D6E-409C-BE32-E72D297353CC}">
                <c16:uniqueId val="{0000000E-5C2B-4D0F-BAA2-44289F86173D}"/>
              </c:ext>
            </c:extLst>
          </c:dPt>
          <c:dPt>
            <c:idx val="2"/>
            <c:invertIfNegative val="0"/>
            <c:bubble3D val="0"/>
            <c:spPr>
              <a:gradFill>
                <a:gsLst>
                  <a:gs pos="35000">
                    <a:schemeClr val="accent1"/>
                  </a:gs>
                  <a:gs pos="100000">
                    <a:schemeClr val="accent3"/>
                  </a:gs>
                </a:gsLst>
                <a:lin ang="5400000" scaled="1"/>
              </a:gradFill>
              <a:ln w="28575">
                <a:noFill/>
              </a:ln>
              <a:effectLst/>
            </c:spPr>
            <c:extLst>
              <c:ext xmlns:c16="http://schemas.microsoft.com/office/drawing/2014/chart" uri="{C3380CC4-5D6E-409C-BE32-E72D297353CC}">
                <c16:uniqueId val="{00000010-5C2B-4D0F-BAA2-44289F86173D}"/>
              </c:ext>
            </c:extLst>
          </c:dPt>
          <c:dPt>
            <c:idx val="3"/>
            <c:invertIfNegative val="0"/>
            <c:bubble3D val="0"/>
            <c:spPr>
              <a:gradFill>
                <a:gsLst>
                  <a:gs pos="35000">
                    <a:schemeClr val="accent1"/>
                  </a:gs>
                  <a:gs pos="100000">
                    <a:schemeClr val="accent3"/>
                  </a:gs>
                </a:gsLst>
                <a:lin ang="5400000" scaled="1"/>
              </a:gradFill>
              <a:ln w="28575">
                <a:noFill/>
              </a:ln>
              <a:effectLst/>
            </c:spPr>
            <c:extLst>
              <c:ext xmlns:c16="http://schemas.microsoft.com/office/drawing/2014/chart" uri="{C3380CC4-5D6E-409C-BE32-E72D297353CC}">
                <c16:uniqueId val="{00000012-5C2B-4D0F-BAA2-44289F86173D}"/>
              </c:ext>
            </c:extLst>
          </c:dPt>
          <c:dPt>
            <c:idx val="4"/>
            <c:invertIfNegative val="0"/>
            <c:bubble3D val="0"/>
            <c:spPr>
              <a:gradFill>
                <a:gsLst>
                  <a:gs pos="35000">
                    <a:schemeClr val="accent1"/>
                  </a:gs>
                  <a:gs pos="100000">
                    <a:schemeClr val="accent3"/>
                  </a:gs>
                </a:gsLst>
                <a:lin ang="5400000" scaled="1"/>
              </a:gradFill>
              <a:ln w="28575">
                <a:noFill/>
              </a:ln>
              <a:effectLst/>
            </c:spPr>
            <c:extLst>
              <c:ext xmlns:c16="http://schemas.microsoft.com/office/drawing/2014/chart" uri="{C3380CC4-5D6E-409C-BE32-E72D297353CC}">
                <c16:uniqueId val="{00000014-5C2B-4D0F-BAA2-44289F86173D}"/>
              </c:ext>
            </c:extLst>
          </c:dPt>
          <c:dPt>
            <c:idx val="5"/>
            <c:invertIfNegative val="0"/>
            <c:bubble3D val="0"/>
            <c:spPr>
              <a:gradFill>
                <a:gsLst>
                  <a:gs pos="35000">
                    <a:schemeClr val="accent1"/>
                  </a:gs>
                  <a:gs pos="100000">
                    <a:schemeClr val="accent3"/>
                  </a:gs>
                </a:gsLst>
                <a:lin ang="5400000" scaled="1"/>
              </a:gradFill>
              <a:ln w="28575">
                <a:noFill/>
              </a:ln>
              <a:effectLst/>
            </c:spPr>
            <c:extLst>
              <c:ext xmlns:c16="http://schemas.microsoft.com/office/drawing/2014/chart" uri="{C3380CC4-5D6E-409C-BE32-E72D297353CC}">
                <c16:uniqueId val="{00000016-5C2B-4D0F-BAA2-44289F86173D}"/>
              </c:ext>
            </c:extLst>
          </c:dPt>
          <c:dLbls>
            <c:dLbl>
              <c:idx val="0"/>
              <c:tx>
                <c:rich>
                  <a:bodyPr/>
                  <a:lstStyle/>
                  <a:p>
                    <a:fld id="{998528A3-E7B3-460A-B310-93D8AB18067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8EE-4DA0-A9A2-01FD25A4A45C}"/>
                </c:ext>
              </c:extLst>
            </c:dLbl>
            <c:dLbl>
              <c:idx val="1"/>
              <c:tx>
                <c:rich>
                  <a:bodyPr/>
                  <a:lstStyle/>
                  <a:p>
                    <a:fld id="{F8F0B4C6-E53F-4BB1-A7E9-38140EA7F68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5C2B-4D0F-BAA2-44289F86173D}"/>
                </c:ext>
              </c:extLst>
            </c:dLbl>
            <c:dLbl>
              <c:idx val="2"/>
              <c:tx>
                <c:rich>
                  <a:bodyPr/>
                  <a:lstStyle/>
                  <a:p>
                    <a:fld id="{B2D23E88-7124-47AB-BE86-6E653E66304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5C2B-4D0F-BAA2-44289F86173D}"/>
                </c:ext>
              </c:extLst>
            </c:dLbl>
            <c:dLbl>
              <c:idx val="3"/>
              <c:tx>
                <c:rich>
                  <a:bodyPr/>
                  <a:lstStyle/>
                  <a:p>
                    <a:fld id="{C7E530D4-A2A2-4A3B-B90B-E33B2E8A4B9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5C2B-4D0F-BAA2-44289F86173D}"/>
                </c:ext>
              </c:extLst>
            </c:dLbl>
            <c:dLbl>
              <c:idx val="4"/>
              <c:tx>
                <c:rich>
                  <a:bodyPr/>
                  <a:lstStyle/>
                  <a:p>
                    <a:fld id="{E9BC8F99-BDDF-48C4-9AB0-29F4380948A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5C2B-4D0F-BAA2-44289F86173D}"/>
                </c:ext>
              </c:extLst>
            </c:dLbl>
            <c:dLbl>
              <c:idx val="5"/>
              <c:tx>
                <c:rich>
                  <a:bodyPr/>
                  <a:lstStyle/>
                  <a:p>
                    <a:fld id="{26BDC147-9621-45B5-8E0B-0A3A3F11D7E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5C2B-4D0F-BAA2-44289F86173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'MONTHLY REPORT'!$AL$4:$AL$9</c:f>
              <c:numCache>
                <c:formatCode>[$-409]mmm\-yy;@</c:formatCode>
                <c:ptCount val="6"/>
                <c:pt idx="0">
                  <c:v>45017</c:v>
                </c:pt>
                <c:pt idx="1">
                  <c:v>44986</c:v>
                </c:pt>
                <c:pt idx="2">
                  <c:v>44958</c:v>
                </c:pt>
                <c:pt idx="3">
                  <c:v>44927</c:v>
                </c:pt>
                <c:pt idx="4">
                  <c:v>44896</c:v>
                </c:pt>
                <c:pt idx="5">
                  <c:v>44866</c:v>
                </c:pt>
              </c:numCache>
            </c:numRef>
          </c:cat>
          <c:val>
            <c:numRef>
              <c:f>'MONTHLY REPORT'!$AD$15:$AD$20</c:f>
              <c:numCache>
                <c:formatCode>General</c:formatCode>
                <c:ptCount val="6"/>
                <c:pt idx="0">
                  <c:v>0</c:v>
                </c:pt>
                <c:pt idx="1">
                  <c:v>0</c:v>
                </c:pt>
                <c:pt idx="2">
                  <c:v>0</c:v>
                </c:pt>
                <c:pt idx="3">
                  <c:v>0</c:v>
                </c:pt>
                <c:pt idx="4">
                  <c:v>0</c:v>
                </c:pt>
                <c:pt idx="5">
                  <c:v>0</c:v>
                </c:pt>
              </c:numCache>
            </c:numRef>
          </c:val>
          <c:extLst>
            <c:ext xmlns:c15="http://schemas.microsoft.com/office/drawing/2012/chart" uri="{02D57815-91ED-43cb-92C2-25804820EDAC}">
              <c15:datalabelsRange>
                <c15:f>'MONTHLY REPORT'!$AF$15:$AF$20</c15:f>
                <c15:dlblRangeCache>
                  <c:ptCount val="6"/>
                </c15:dlblRangeCache>
              </c15:datalabelsRange>
            </c:ext>
            <c:ext xmlns:c16="http://schemas.microsoft.com/office/drawing/2014/chart" uri="{C3380CC4-5D6E-409C-BE32-E72D297353CC}">
              <c16:uniqueId val="{00000017-5C2B-4D0F-BAA2-44289F86173D}"/>
            </c:ext>
          </c:extLst>
        </c:ser>
        <c:ser>
          <c:idx val="1"/>
          <c:order val="2"/>
          <c:tx>
            <c:v>Decreased</c:v>
          </c:tx>
          <c:spPr>
            <a:gradFill>
              <a:gsLst>
                <a:gs pos="50000">
                  <a:schemeClr val="accent2"/>
                </a:gs>
                <a:gs pos="100000">
                  <a:schemeClr val="accent3"/>
                </a:gs>
              </a:gsLst>
              <a:lin ang="5400000" scaled="1"/>
            </a:gradFill>
            <a:ln>
              <a:noFill/>
            </a:ln>
            <a:effectLst/>
          </c:spPr>
          <c:invertIfNegative val="0"/>
          <c:cat>
            <c:numRef>
              <c:f>'MONTHLY REPORT'!$AL$4:$AL$9</c:f>
              <c:numCache>
                <c:formatCode>[$-409]mmm\-yy;@</c:formatCode>
                <c:ptCount val="6"/>
                <c:pt idx="0">
                  <c:v>45017</c:v>
                </c:pt>
                <c:pt idx="1">
                  <c:v>44986</c:v>
                </c:pt>
                <c:pt idx="2">
                  <c:v>44958</c:v>
                </c:pt>
                <c:pt idx="3">
                  <c:v>44927</c:v>
                </c:pt>
                <c:pt idx="4">
                  <c:v>44896</c:v>
                </c:pt>
                <c:pt idx="5">
                  <c:v>44866</c:v>
                </c:pt>
              </c:numCache>
            </c:numRef>
          </c:cat>
          <c:val>
            <c:numRef>
              <c:f>'MONTHLY REPORT'!$AE$15:$AE$20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A-98EE-4DA0-A9A2-01FD25A4A45C}"/>
            </c:ext>
          </c:extLst>
        </c:ser>
        <c:dLbls>
          <c:showLegendKey val="0"/>
          <c:showVal val="0"/>
          <c:showCatName val="0"/>
          <c:showSerName val="0"/>
          <c:showPercent val="0"/>
          <c:showBubbleSize val="0"/>
        </c:dLbls>
        <c:gapWidth val="50"/>
        <c:overlap val="100"/>
        <c:axId val="478901432"/>
        <c:axId val="478905040"/>
      </c:barChart>
      <c:lineChart>
        <c:grouping val="standard"/>
        <c:varyColors val="0"/>
        <c:ser>
          <c:idx val="3"/>
          <c:order val="1"/>
          <c:tx>
            <c:v>Cumulative</c:v>
          </c:tx>
          <c:spPr>
            <a:ln w="12700" cap="rnd">
              <a:solidFill>
                <a:schemeClr val="bg1">
                  <a:lumMod val="95000"/>
                </a:schemeClr>
              </a:solidFill>
              <a:round/>
            </a:ln>
            <a:effectLst>
              <a:outerShdw blurRad="25400" dist="25400" dir="5400000" algn="ctr" rotWithShape="0">
                <a:schemeClr val="tx1">
                  <a:lumMod val="95000"/>
                  <a:lumOff val="5000"/>
                </a:schemeClr>
              </a:outerShdw>
            </a:effectLst>
          </c:spPr>
          <c:marker>
            <c:symbol val="circle"/>
            <c:size val="5"/>
            <c:spPr>
              <a:solidFill>
                <a:schemeClr val="bg2">
                  <a:lumMod val="10000"/>
                </a:schemeClr>
              </a:solidFill>
              <a:ln w="12700">
                <a:solidFill>
                  <a:schemeClr val="bg1">
                    <a:lumMod val="95000"/>
                  </a:schemeClr>
                </a:solidFill>
              </a:ln>
              <a:effectLst>
                <a:outerShdw blurRad="25400" dist="25400" dir="5400000" algn="ctr" rotWithShape="0">
                  <a:schemeClr val="tx1">
                    <a:lumMod val="95000"/>
                    <a:lumOff val="5000"/>
                  </a:scheme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75000"/>
                      </a:schemeClr>
                    </a:solidFill>
                    <a:latin typeface="Arial Narrow" panose="020B060602020203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fixedVal"/>
            <c:noEndCap val="1"/>
            <c:val val="0"/>
            <c:spPr>
              <a:noFill/>
              <a:ln w="9525" cap="flat" cmpd="sng" algn="ctr">
                <a:solidFill>
                  <a:schemeClr val="tx1">
                    <a:lumMod val="65000"/>
                    <a:lumOff val="35000"/>
                  </a:schemeClr>
                </a:solidFill>
                <a:round/>
              </a:ln>
              <a:effectLst/>
            </c:spPr>
          </c:errBars>
          <c:cat>
            <c:numRef>
              <c:f>'MONTHLY REPORT'!$AL$4:$AL$9</c:f>
              <c:numCache>
                <c:formatCode>[$-409]mmm\-yy;@</c:formatCode>
                <c:ptCount val="6"/>
                <c:pt idx="0">
                  <c:v>45017</c:v>
                </c:pt>
                <c:pt idx="1">
                  <c:v>44986</c:v>
                </c:pt>
                <c:pt idx="2">
                  <c:v>44958</c:v>
                </c:pt>
                <c:pt idx="3">
                  <c:v>44927</c:v>
                </c:pt>
                <c:pt idx="4">
                  <c:v>44896</c:v>
                </c:pt>
                <c:pt idx="5">
                  <c:v>44866</c:v>
                </c:pt>
              </c:numCache>
            </c:numRef>
          </c:cat>
          <c:val>
            <c:numRef>
              <c:f>'MONTHLY REPORT'!$AO$4:$AO$9</c:f>
              <c:numCache>
                <c:formatCode>0%</c:formatCode>
                <c:ptCount val="6"/>
                <c:pt idx="0">
                  <c:v>0.45454545454545453</c:v>
                </c:pt>
                <c:pt idx="1">
                  <c:v>0.45454545454545453</c:v>
                </c:pt>
                <c:pt idx="2">
                  <c:v>0.45454545454545453</c:v>
                </c:pt>
                <c:pt idx="3">
                  <c:v>0.45454545454545453</c:v>
                </c:pt>
                <c:pt idx="4">
                  <c:v>0.45454545454545453</c:v>
                </c:pt>
                <c:pt idx="5">
                  <c:v>0.45454545454545453</c:v>
                </c:pt>
              </c:numCache>
            </c:numRef>
          </c:val>
          <c:smooth val="0"/>
          <c:extLst>
            <c:ext xmlns:c16="http://schemas.microsoft.com/office/drawing/2014/chart" uri="{C3380CC4-5D6E-409C-BE32-E72D297353CC}">
              <c16:uniqueId val="{0000001A-5C2B-4D0F-BAA2-44289F86173D}"/>
            </c:ext>
          </c:extLst>
        </c:ser>
        <c:dLbls>
          <c:showLegendKey val="0"/>
          <c:showVal val="0"/>
          <c:showCatName val="0"/>
          <c:showSerName val="0"/>
          <c:showPercent val="0"/>
          <c:showBubbleSize val="0"/>
        </c:dLbls>
        <c:marker val="1"/>
        <c:smooth val="0"/>
        <c:axId val="556177680"/>
        <c:axId val="555134472"/>
      </c:lineChart>
      <c:catAx>
        <c:axId val="478901432"/>
        <c:scaling>
          <c:orientation val="maxMin"/>
        </c:scaling>
        <c:delete val="0"/>
        <c:axPos val="b"/>
        <c:numFmt formatCode="[$-409]mmm\-yy;@"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700" b="0" i="0" u="none" strike="noStrike" kern="1200" baseline="0">
                <a:solidFill>
                  <a:schemeClr val="bg1">
                    <a:lumMod val="65000"/>
                  </a:schemeClr>
                </a:solidFill>
                <a:latin typeface="+mn-lt"/>
                <a:ea typeface="+mn-ea"/>
                <a:cs typeface="+mn-cs"/>
              </a:defRPr>
            </a:pPr>
            <a:endParaRPr lang="en-US"/>
          </a:p>
        </c:txPr>
        <c:crossAx val="478905040"/>
        <c:crossesAt val="0"/>
        <c:auto val="0"/>
        <c:lblAlgn val="ctr"/>
        <c:lblOffset val="100"/>
        <c:tickMarkSkip val="1"/>
        <c:noMultiLvlLbl val="0"/>
      </c:catAx>
      <c:valAx>
        <c:axId val="478905040"/>
        <c:scaling>
          <c:orientation val="minMax"/>
          <c:max val="1"/>
        </c:scaling>
        <c:delete val="0"/>
        <c:axPos val="l"/>
        <c:numFmt formatCode="&quot;&quot;"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478901432"/>
        <c:crosses val="max"/>
        <c:crossBetween val="between"/>
        <c:minorUnit val="0.2"/>
      </c:valAx>
      <c:valAx>
        <c:axId val="555134472"/>
        <c:scaling>
          <c:orientation val="minMax"/>
          <c:max val="1"/>
        </c:scaling>
        <c:delete val="0"/>
        <c:axPos val="r"/>
        <c:numFmt formatCode="0%" sourceLinked="1"/>
        <c:majorTickMark val="out"/>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556177680"/>
        <c:crosses val="max"/>
        <c:crossBetween val="between"/>
        <c:majorUnit val="0.2"/>
      </c:valAx>
      <c:dateAx>
        <c:axId val="556177680"/>
        <c:scaling>
          <c:orientation val="minMax"/>
        </c:scaling>
        <c:delete val="0"/>
        <c:axPos val="t"/>
        <c:numFmt formatCode="&quot;&quot;" sourceLinked="0"/>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200" b="0" i="0" u="none" strike="noStrike" kern="1200" baseline="0">
                <a:solidFill>
                  <a:schemeClr val="tx1">
                    <a:lumMod val="95000"/>
                    <a:lumOff val="5000"/>
                  </a:schemeClr>
                </a:solidFill>
                <a:latin typeface="+mn-lt"/>
                <a:ea typeface="+mn-ea"/>
                <a:cs typeface="+mn-cs"/>
              </a:defRPr>
            </a:pPr>
            <a:endParaRPr lang="en-US"/>
          </a:p>
        </c:txPr>
        <c:crossAx val="555134472"/>
        <c:crosses val="max"/>
        <c:auto val="1"/>
        <c:lblOffset val="100"/>
        <c:baseTimeUnit val="months"/>
      </c:dateAx>
      <c:spPr>
        <a:gradFill flip="none" rotWithShape="1">
          <a:gsLst>
            <a:gs pos="15000">
              <a:schemeClr val="accent6">
                <a:alpha val="50000"/>
              </a:schemeClr>
            </a:gs>
            <a:gs pos="100000">
              <a:schemeClr val="accent6">
                <a:alpha val="0"/>
              </a:schemeClr>
            </a:gs>
          </a:gsLst>
          <a:lin ang="16200000" scaled="1"/>
          <a:tileRect/>
        </a:gradFill>
        <a:ln>
          <a:noFill/>
        </a:ln>
        <a:effectLst/>
      </c:spPr>
    </c:plotArea>
    <c:legend>
      <c:legendPos val="r"/>
      <c:layout>
        <c:manualLayout>
          <c:xMode val="edge"/>
          <c:yMode val="edge"/>
          <c:x val="2.5227608267716532E-2"/>
          <c:y val="0.89087074893767026"/>
          <c:w val="0.95675921369203853"/>
          <c:h val="0.1010769759458887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07701699675488"/>
          <c:y val="0.11882343535104814"/>
          <c:w val="0.36463088523329851"/>
          <c:h val="0.77077550638038062"/>
        </c:manualLayout>
      </c:layout>
      <c:barChart>
        <c:barDir val="col"/>
        <c:grouping val="clustered"/>
        <c:varyColors val="0"/>
        <c:ser>
          <c:idx val="4"/>
          <c:order val="0"/>
          <c:tx>
            <c:v>Profitable%</c:v>
          </c:tx>
          <c:spPr>
            <a:solidFill>
              <a:srgbClr val="16719A"/>
            </a:solidFill>
            <a:ln w="19050">
              <a:solidFill>
                <a:schemeClr val="bg2">
                  <a:lumMod val="10000"/>
                </a:schemeClr>
              </a:solidFill>
            </a:ln>
            <a:effectLst/>
          </c:spPr>
          <c:invertIfNegative val="0"/>
          <c:dPt>
            <c:idx val="0"/>
            <c:invertIfNegative val="0"/>
            <c:bubble3D val="0"/>
            <c:spPr>
              <a:gradFill>
                <a:gsLst>
                  <a:gs pos="50000">
                    <a:schemeClr val="accent1"/>
                  </a:gs>
                  <a:gs pos="100000">
                    <a:schemeClr val="accent3"/>
                  </a:gs>
                </a:gsLst>
                <a:lin ang="5400000" scaled="1"/>
              </a:gradFill>
              <a:ln w="19050">
                <a:solidFill>
                  <a:schemeClr val="bg2">
                    <a:lumMod val="10000"/>
                  </a:schemeClr>
                </a:solidFill>
              </a:ln>
              <a:effectLst/>
            </c:spPr>
            <c:extLst>
              <c:ext xmlns:c16="http://schemas.microsoft.com/office/drawing/2014/chart" uri="{C3380CC4-5D6E-409C-BE32-E72D297353CC}">
                <c16:uniqueId val="{00000001-C8C6-46F0-A346-DCCAE6CA1358}"/>
              </c:ext>
            </c:extLst>
          </c:dPt>
          <c:dPt>
            <c:idx val="1"/>
            <c:invertIfNegative val="0"/>
            <c:bubble3D val="0"/>
            <c:spPr>
              <a:solidFill>
                <a:srgbClr val="16719A"/>
              </a:solidFill>
              <a:ln w="19050">
                <a:solidFill>
                  <a:schemeClr val="bg2">
                    <a:lumMod val="10000"/>
                  </a:schemeClr>
                </a:solidFill>
              </a:ln>
              <a:effectLst/>
            </c:spPr>
            <c:extLst>
              <c:ext xmlns:c16="http://schemas.microsoft.com/office/drawing/2014/chart" uri="{C3380CC4-5D6E-409C-BE32-E72D297353CC}">
                <c16:uniqueId val="{00000003-C8C6-46F0-A346-DCCAE6CA1358}"/>
              </c:ext>
            </c:extLst>
          </c:dPt>
          <c:dPt>
            <c:idx val="2"/>
            <c:invertIfNegative val="0"/>
            <c:bubble3D val="0"/>
            <c:spPr>
              <a:solidFill>
                <a:srgbClr val="16719A"/>
              </a:solidFill>
              <a:ln w="19050">
                <a:solidFill>
                  <a:schemeClr val="bg2">
                    <a:lumMod val="10000"/>
                  </a:schemeClr>
                </a:solidFill>
              </a:ln>
              <a:effectLst/>
            </c:spPr>
            <c:extLst>
              <c:ext xmlns:c16="http://schemas.microsoft.com/office/drawing/2014/chart" uri="{C3380CC4-5D6E-409C-BE32-E72D297353CC}">
                <c16:uniqueId val="{00000005-C8C6-46F0-A346-DCCAE6CA1358}"/>
              </c:ext>
            </c:extLst>
          </c:dPt>
          <c:dPt>
            <c:idx val="3"/>
            <c:invertIfNegative val="0"/>
            <c:bubble3D val="0"/>
            <c:spPr>
              <a:solidFill>
                <a:srgbClr val="16719A"/>
              </a:solidFill>
              <a:ln w="19050">
                <a:solidFill>
                  <a:schemeClr val="bg2">
                    <a:lumMod val="10000"/>
                  </a:schemeClr>
                </a:solidFill>
              </a:ln>
              <a:effectLst/>
            </c:spPr>
            <c:extLst>
              <c:ext xmlns:c16="http://schemas.microsoft.com/office/drawing/2014/chart" uri="{C3380CC4-5D6E-409C-BE32-E72D297353CC}">
                <c16:uniqueId val="{00000007-C8C6-46F0-A346-DCCAE6CA1358}"/>
              </c:ext>
            </c:extLst>
          </c:dPt>
          <c:dPt>
            <c:idx val="4"/>
            <c:invertIfNegative val="0"/>
            <c:bubble3D val="0"/>
            <c:spPr>
              <a:solidFill>
                <a:srgbClr val="16719A"/>
              </a:solidFill>
              <a:ln w="19050">
                <a:solidFill>
                  <a:schemeClr val="bg2">
                    <a:lumMod val="10000"/>
                  </a:schemeClr>
                </a:solidFill>
              </a:ln>
              <a:effectLst/>
            </c:spPr>
            <c:extLst>
              <c:ext xmlns:c16="http://schemas.microsoft.com/office/drawing/2014/chart" uri="{C3380CC4-5D6E-409C-BE32-E72D297353CC}">
                <c16:uniqueId val="{00000009-C8C6-46F0-A346-DCCAE6CA1358}"/>
              </c:ext>
            </c:extLst>
          </c:dPt>
          <c:dPt>
            <c:idx val="5"/>
            <c:invertIfNegative val="0"/>
            <c:bubble3D val="0"/>
            <c:spPr>
              <a:solidFill>
                <a:srgbClr val="16719A"/>
              </a:solidFill>
              <a:ln w="19050">
                <a:solidFill>
                  <a:schemeClr val="bg2">
                    <a:lumMod val="10000"/>
                  </a:schemeClr>
                </a:solidFill>
              </a:ln>
              <a:effectLst/>
            </c:spPr>
            <c:extLst>
              <c:ext xmlns:c16="http://schemas.microsoft.com/office/drawing/2014/chart" uri="{C3380CC4-5D6E-409C-BE32-E72D297353CC}">
                <c16:uniqueId val="{0000000B-C8C6-46F0-A346-DCCAE6CA1358}"/>
              </c:ext>
            </c:extLst>
          </c:dPt>
          <c:cat>
            <c:strRef>
              <c:f>'TRADE STATISTICS'!$Z$4:$Z$6</c:f>
              <c:strCache>
                <c:ptCount val="3"/>
                <c:pt idx="0">
                  <c:v>LONG</c:v>
                </c:pt>
                <c:pt idx="1">
                  <c:v>SHORT</c:v>
                </c:pt>
                <c:pt idx="2">
                  <c:v>TOTAL</c:v>
                </c:pt>
              </c:strCache>
            </c:strRef>
          </c:cat>
          <c:val>
            <c:numLit>
              <c:formatCode>General</c:formatCode>
              <c:ptCount val="1"/>
              <c:pt idx="0">
                <c:v>1</c:v>
              </c:pt>
            </c:numLit>
          </c:val>
          <c:extLst>
            <c:ext xmlns:c16="http://schemas.microsoft.com/office/drawing/2014/chart" uri="{C3380CC4-5D6E-409C-BE32-E72D297353CC}">
              <c16:uniqueId val="{0000000C-C8C6-46F0-A346-DCCAE6CA1358}"/>
            </c:ext>
          </c:extLst>
        </c:ser>
        <c:ser>
          <c:idx val="0"/>
          <c:order val="1"/>
          <c:tx>
            <c:v>Unprofitable%</c:v>
          </c:tx>
          <c:spPr>
            <a:gradFill>
              <a:gsLst>
                <a:gs pos="50000">
                  <a:schemeClr val="accent2"/>
                </a:gs>
                <a:gs pos="100000">
                  <a:schemeClr val="accent3"/>
                </a:gs>
              </a:gsLst>
              <a:lin ang="5400000" scaled="1"/>
            </a:gradFill>
            <a:ln w="19050">
              <a:solidFill>
                <a:schemeClr val="bg2">
                  <a:lumMod val="10000"/>
                </a:schemeClr>
              </a:solidFill>
            </a:ln>
            <a:effectLst/>
          </c:spPr>
          <c:invertIfNegative val="0"/>
          <c:dPt>
            <c:idx val="1"/>
            <c:invertIfNegative val="0"/>
            <c:bubble3D val="0"/>
            <c:spPr>
              <a:gradFill>
                <a:gsLst>
                  <a:gs pos="50000">
                    <a:schemeClr val="accent2"/>
                  </a:gs>
                  <a:gs pos="100000">
                    <a:schemeClr val="accent3"/>
                  </a:gs>
                </a:gsLst>
                <a:lin ang="5400000" scaled="1"/>
              </a:gradFill>
              <a:ln w="19050">
                <a:solidFill>
                  <a:schemeClr val="bg2">
                    <a:lumMod val="10000"/>
                  </a:schemeClr>
                </a:solidFill>
              </a:ln>
              <a:effectLst/>
            </c:spPr>
            <c:extLst>
              <c:ext xmlns:c16="http://schemas.microsoft.com/office/drawing/2014/chart" uri="{C3380CC4-5D6E-409C-BE32-E72D297353CC}">
                <c16:uniqueId val="{0000000E-C8C6-46F0-A346-DCCAE6CA1358}"/>
              </c:ext>
            </c:extLst>
          </c:dPt>
          <c:dPt>
            <c:idx val="2"/>
            <c:invertIfNegative val="0"/>
            <c:bubble3D val="0"/>
            <c:spPr>
              <a:gradFill>
                <a:gsLst>
                  <a:gs pos="50000">
                    <a:schemeClr val="accent2"/>
                  </a:gs>
                  <a:gs pos="100000">
                    <a:schemeClr val="accent3"/>
                  </a:gs>
                </a:gsLst>
                <a:lin ang="5400000" scaled="1"/>
              </a:gradFill>
              <a:ln w="19050">
                <a:solidFill>
                  <a:schemeClr val="bg2">
                    <a:lumMod val="10000"/>
                  </a:schemeClr>
                </a:solidFill>
              </a:ln>
              <a:effectLst/>
            </c:spPr>
            <c:extLst>
              <c:ext xmlns:c16="http://schemas.microsoft.com/office/drawing/2014/chart" uri="{C3380CC4-5D6E-409C-BE32-E72D297353CC}">
                <c16:uniqueId val="{00000010-C8C6-46F0-A346-DCCAE6CA1358}"/>
              </c:ext>
            </c:extLst>
          </c:dPt>
          <c:dPt>
            <c:idx val="3"/>
            <c:invertIfNegative val="0"/>
            <c:bubble3D val="0"/>
            <c:spPr>
              <a:gradFill>
                <a:gsLst>
                  <a:gs pos="50000">
                    <a:schemeClr val="accent2"/>
                  </a:gs>
                  <a:gs pos="100000">
                    <a:schemeClr val="accent3"/>
                  </a:gs>
                </a:gsLst>
                <a:lin ang="5400000" scaled="1"/>
              </a:gradFill>
              <a:ln w="19050">
                <a:solidFill>
                  <a:schemeClr val="bg2">
                    <a:lumMod val="10000"/>
                  </a:schemeClr>
                </a:solidFill>
              </a:ln>
              <a:effectLst/>
            </c:spPr>
            <c:extLst>
              <c:ext xmlns:c16="http://schemas.microsoft.com/office/drawing/2014/chart" uri="{C3380CC4-5D6E-409C-BE32-E72D297353CC}">
                <c16:uniqueId val="{00000012-C8C6-46F0-A346-DCCAE6CA1358}"/>
              </c:ext>
            </c:extLst>
          </c:dPt>
          <c:dPt>
            <c:idx val="4"/>
            <c:invertIfNegative val="0"/>
            <c:bubble3D val="0"/>
            <c:spPr>
              <a:gradFill>
                <a:gsLst>
                  <a:gs pos="50000">
                    <a:schemeClr val="accent2"/>
                  </a:gs>
                  <a:gs pos="100000">
                    <a:schemeClr val="accent3"/>
                  </a:gs>
                </a:gsLst>
                <a:lin ang="5400000" scaled="1"/>
              </a:gradFill>
              <a:ln w="19050">
                <a:solidFill>
                  <a:schemeClr val="bg2">
                    <a:lumMod val="10000"/>
                  </a:schemeClr>
                </a:solidFill>
              </a:ln>
              <a:effectLst/>
            </c:spPr>
            <c:extLst>
              <c:ext xmlns:c16="http://schemas.microsoft.com/office/drawing/2014/chart" uri="{C3380CC4-5D6E-409C-BE32-E72D297353CC}">
                <c16:uniqueId val="{00000014-C8C6-46F0-A346-DCCAE6CA1358}"/>
              </c:ext>
            </c:extLst>
          </c:dPt>
          <c:dPt>
            <c:idx val="5"/>
            <c:invertIfNegative val="0"/>
            <c:bubble3D val="0"/>
            <c:spPr>
              <a:gradFill>
                <a:gsLst>
                  <a:gs pos="50000">
                    <a:schemeClr val="accent2"/>
                  </a:gs>
                  <a:gs pos="100000">
                    <a:schemeClr val="accent3"/>
                  </a:gs>
                </a:gsLst>
                <a:lin ang="5400000" scaled="1"/>
              </a:gradFill>
              <a:ln w="19050">
                <a:solidFill>
                  <a:schemeClr val="bg2">
                    <a:lumMod val="10000"/>
                  </a:schemeClr>
                </a:solidFill>
              </a:ln>
              <a:effectLst/>
            </c:spPr>
            <c:extLst>
              <c:ext xmlns:c16="http://schemas.microsoft.com/office/drawing/2014/chart" uri="{C3380CC4-5D6E-409C-BE32-E72D297353CC}">
                <c16:uniqueId val="{00000016-C8C6-46F0-A346-DCCAE6CA1358}"/>
              </c:ext>
            </c:extLst>
          </c:dPt>
          <c:dLbls>
            <c:dLbl>
              <c:idx val="0"/>
              <c:layout>
                <c:manualLayout>
                  <c:x val="-0.2328041034847847"/>
                  <c:y val="6.510927737555738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8C6-46F0-A346-DCCAE6CA13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C8323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'TRADE STATISTICS'!$Z$4:$Z$6</c:f>
              <c:strCache>
                <c:ptCount val="3"/>
                <c:pt idx="0">
                  <c:v>LONG</c:v>
                </c:pt>
                <c:pt idx="1">
                  <c:v>SHORT</c:v>
                </c:pt>
                <c:pt idx="2">
                  <c:v>TOTAL</c:v>
                </c:pt>
              </c:strCache>
            </c:strRef>
          </c:cat>
          <c:val>
            <c:numRef>
              <c:f>SETTINGS!$AC$19</c:f>
              <c:numCache>
                <c:formatCode>0%</c:formatCode>
                <c:ptCount val="1"/>
                <c:pt idx="0">
                  <c:v>0.33333333333333331</c:v>
                </c:pt>
              </c:numCache>
            </c:numRef>
          </c:val>
          <c:extLst>
            <c:ext xmlns:c16="http://schemas.microsoft.com/office/drawing/2014/chart" uri="{C3380CC4-5D6E-409C-BE32-E72D297353CC}">
              <c16:uniqueId val="{00000017-C8C6-46F0-A346-DCCAE6CA1358}"/>
            </c:ext>
          </c:extLst>
        </c:ser>
        <c:dLbls>
          <c:showLegendKey val="0"/>
          <c:showVal val="0"/>
          <c:showCatName val="0"/>
          <c:showSerName val="0"/>
          <c:showPercent val="0"/>
          <c:showBubbleSize val="0"/>
        </c:dLbls>
        <c:gapWidth val="80"/>
        <c:overlap val="100"/>
        <c:axId val="478901432"/>
        <c:axId val="478905040"/>
      </c:barChart>
      <c:lineChart>
        <c:grouping val="standard"/>
        <c:varyColors val="0"/>
        <c:ser>
          <c:idx val="3"/>
          <c:order val="2"/>
          <c:tx>
            <c:v>Win Rate%</c:v>
          </c:tx>
          <c:spPr>
            <a:ln w="19050" cap="rnd">
              <a:noFill/>
              <a:round/>
            </a:ln>
            <a:effectLst>
              <a:outerShdw blurRad="25400" dist="25400" dir="5400000" algn="ctr" rotWithShape="0">
                <a:schemeClr val="tx1">
                  <a:lumMod val="95000"/>
                  <a:lumOff val="5000"/>
                </a:schemeClr>
              </a:outerShdw>
            </a:effectLst>
          </c:spPr>
          <c:marker>
            <c:symbol val="dash"/>
            <c:size val="5"/>
            <c:spPr>
              <a:solidFill>
                <a:schemeClr val="bg1">
                  <a:lumMod val="85000"/>
                </a:schemeClr>
              </a:solidFill>
              <a:ln w="12700">
                <a:solidFill>
                  <a:schemeClr val="bg1"/>
                </a:solidFill>
              </a:ln>
              <a:effectLst>
                <a:outerShdw blurRad="25400" dist="25400" dir="5400000" algn="ctr" rotWithShape="0">
                  <a:schemeClr val="tx1">
                    <a:lumMod val="95000"/>
                    <a:lumOff val="5000"/>
                  </a:schemeClr>
                </a:outerShdw>
              </a:effectLst>
            </c:spPr>
          </c:marker>
          <c:dLbls>
            <c:spPr>
              <a:solidFill>
                <a:srgbClr val="4B5D75">
                  <a:alpha val="50196"/>
                </a:srgbClr>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fixedVal"/>
            <c:noEndCap val="1"/>
            <c:val val="0"/>
            <c:spPr>
              <a:noFill/>
              <a:ln w="9525" cap="flat" cmpd="sng" algn="ctr">
                <a:solidFill>
                  <a:schemeClr val="tx1">
                    <a:lumMod val="65000"/>
                    <a:lumOff val="35000"/>
                  </a:schemeClr>
                </a:solidFill>
                <a:round/>
              </a:ln>
              <a:effectLst/>
            </c:spPr>
          </c:errBars>
          <c:cat>
            <c:strRef>
              <c:f>SETTINGS!$R$11:$R$21</c:f>
              <c:strCache>
                <c:ptCount val="11"/>
                <c:pt idx="0">
                  <c:v>NO SETUP</c:v>
                </c:pt>
                <c:pt idx="1">
                  <c:v> Momentum </c:v>
                </c:pt>
                <c:pt idx="2">
                  <c:v> Bounce </c:v>
                </c:pt>
                <c:pt idx="3">
                  <c:v> Trend Follow </c:v>
                </c:pt>
                <c:pt idx="4">
                  <c:v> Swing Trade </c:v>
                </c:pt>
                <c:pt idx="5">
                  <c:v> Bottom fishing </c:v>
                </c:pt>
                <c:pt idx="6">
                  <c:v> My Setup 1 </c:v>
                </c:pt>
                <c:pt idx="7">
                  <c:v> My Setup 2 </c:v>
                </c:pt>
                <c:pt idx="8">
                  <c:v> My Setup 3 </c:v>
                </c:pt>
                <c:pt idx="9">
                  <c:v> My Setup 4 </c:v>
                </c:pt>
                <c:pt idx="10">
                  <c:v> My Setup 5 </c:v>
                </c:pt>
              </c:strCache>
            </c:strRef>
          </c:cat>
          <c:val>
            <c:numRef>
              <c:f>SETTINGS!$AA$17</c:f>
              <c:numCache>
                <c:formatCode>0%</c:formatCode>
                <c:ptCount val="1"/>
                <c:pt idx="0">
                  <c:v>0.5</c:v>
                </c:pt>
              </c:numCache>
            </c:numRef>
          </c:val>
          <c:smooth val="0"/>
          <c:extLst>
            <c:ext xmlns:c16="http://schemas.microsoft.com/office/drawing/2014/chart" uri="{C3380CC4-5D6E-409C-BE32-E72D297353CC}">
              <c16:uniqueId val="{00000018-C8C6-46F0-A346-DCCAE6CA1358}"/>
            </c:ext>
          </c:extLst>
        </c:ser>
        <c:dLbls>
          <c:showLegendKey val="0"/>
          <c:showVal val="0"/>
          <c:showCatName val="0"/>
          <c:showSerName val="0"/>
          <c:showPercent val="0"/>
          <c:showBubbleSize val="0"/>
        </c:dLbls>
        <c:marker val="1"/>
        <c:smooth val="0"/>
        <c:axId val="478901432"/>
        <c:axId val="478905040"/>
      </c:lineChart>
      <c:catAx>
        <c:axId val="478901432"/>
        <c:scaling>
          <c:orientation val="minMax"/>
        </c:scaling>
        <c:delete val="1"/>
        <c:axPos val="b"/>
        <c:numFmt formatCode="General" sourceLinked="1"/>
        <c:majorTickMark val="none"/>
        <c:minorTickMark val="out"/>
        <c:tickLblPos val="low"/>
        <c:crossAx val="478905040"/>
        <c:crossesAt val="0"/>
        <c:auto val="0"/>
        <c:lblAlgn val="ctr"/>
        <c:lblOffset val="50"/>
        <c:tickMarkSkip val="1"/>
        <c:noMultiLvlLbl val="0"/>
      </c:catAx>
      <c:valAx>
        <c:axId val="478905040"/>
        <c:scaling>
          <c:orientation val="minMax"/>
          <c:max val="1"/>
        </c:scaling>
        <c:delete val="0"/>
        <c:axPos val="r"/>
        <c:numFmt formatCode="&quot;&quot;"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478901432"/>
        <c:crosses val="max"/>
        <c:crossBetween val="between"/>
        <c:minorUnit val="0.2"/>
      </c:valAx>
      <c:spPr>
        <a:noFill/>
        <a:ln>
          <a:noFill/>
        </a:ln>
        <a:effectLst/>
      </c:spPr>
    </c:plotArea>
    <c:legend>
      <c:legendPos val="r"/>
      <c:layout>
        <c:manualLayout>
          <c:xMode val="edge"/>
          <c:yMode val="edge"/>
          <c:x val="0.46271023749240364"/>
          <c:y val="0.27567880127502625"/>
          <c:w val="0.51589370517291278"/>
          <c:h val="0.5422690322774169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41440754161764E-2"/>
          <c:y val="0.13869406568081427"/>
          <c:w val="0.86187759402047059"/>
          <c:h val="0.5641939269786399"/>
        </c:manualLayout>
      </c:layout>
      <c:barChart>
        <c:barDir val="col"/>
        <c:grouping val="clustered"/>
        <c:varyColors val="0"/>
        <c:ser>
          <c:idx val="1"/>
          <c:order val="0"/>
          <c:tx>
            <c:v>Gain</c:v>
          </c:tx>
          <c:spPr>
            <a:gradFill flip="none" rotWithShape="1">
              <a:gsLst>
                <a:gs pos="100000">
                  <a:schemeClr val="accent1">
                    <a:alpha val="50000"/>
                  </a:schemeClr>
                </a:gs>
                <a:gs pos="50000">
                  <a:schemeClr val="accent1"/>
                </a:gs>
              </a:gsLst>
              <a:lin ang="5400000" scaled="1"/>
              <a:tileRect/>
            </a:gradFill>
            <a:ln w="19050">
              <a:noFill/>
            </a:ln>
            <a:effectLst/>
            <a:scene3d>
              <a:camera prst="orthographicFront"/>
              <a:lightRig rig="threePt" dir="t"/>
            </a:scene3d>
          </c:spPr>
          <c:invertIfNegative val="0"/>
          <c:dLbls>
            <c:numFmt formatCode="_(* #,##0_);_(* \(#,##0\);_(* &quot;-&quot;_);_(@_)" sourceLinked="0"/>
            <c:spPr>
              <a:noFill/>
              <a:ln>
                <a:noFill/>
              </a:ln>
              <a:effectLst/>
            </c:spPr>
            <c:txPr>
              <a:bodyPr wrap="square" lIns="38100" tIns="19050" rIns="38100" bIns="19050" anchor="ctr">
                <a:spAutoFit/>
              </a:bodyPr>
              <a:lstStyle/>
              <a:p>
                <a:pPr>
                  <a:defRPr sz="800">
                    <a:solidFill>
                      <a:schemeClr val="bg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DASHBOARD!$AO$4:$AO$25</c:f>
              <c:strCache>
                <c:ptCount val="22"/>
                <c:pt idx="0">
                  <c:v>20% above</c:v>
                </c:pt>
                <c:pt idx="1">
                  <c:v>18% to 20%</c:v>
                </c:pt>
                <c:pt idx="2">
                  <c:v>16% to 18%</c:v>
                </c:pt>
                <c:pt idx="3">
                  <c:v>14% to 16%</c:v>
                </c:pt>
                <c:pt idx="4">
                  <c:v>12% to 14%</c:v>
                </c:pt>
                <c:pt idx="5">
                  <c:v>10% to 12%</c:v>
                </c:pt>
                <c:pt idx="6">
                  <c:v>8% to 10%</c:v>
                </c:pt>
                <c:pt idx="7">
                  <c:v>6% to 8%</c:v>
                </c:pt>
                <c:pt idx="8">
                  <c:v>4% to 6%</c:v>
                </c:pt>
                <c:pt idx="9">
                  <c:v>2% to 4%</c:v>
                </c:pt>
                <c:pt idx="10">
                  <c:v>0% to 2%</c:v>
                </c:pt>
                <c:pt idx="11">
                  <c:v>0% to -2%</c:v>
                </c:pt>
                <c:pt idx="12">
                  <c:v>-2% to -4%</c:v>
                </c:pt>
                <c:pt idx="13">
                  <c:v>-4% to -6%</c:v>
                </c:pt>
                <c:pt idx="14">
                  <c:v>-6% to -8%</c:v>
                </c:pt>
                <c:pt idx="15">
                  <c:v>-8% to -10%</c:v>
                </c:pt>
                <c:pt idx="16">
                  <c:v>-10% to -12%</c:v>
                </c:pt>
                <c:pt idx="17">
                  <c:v>-12% to -14%</c:v>
                </c:pt>
                <c:pt idx="18">
                  <c:v>-14% to -16%</c:v>
                </c:pt>
                <c:pt idx="19">
                  <c:v>-16% to -18%</c:v>
                </c:pt>
                <c:pt idx="20">
                  <c:v>-18% to -20%</c:v>
                </c:pt>
                <c:pt idx="21">
                  <c:v>-20% below</c:v>
                </c:pt>
              </c:strCache>
            </c:strRef>
          </c:cat>
          <c:val>
            <c:numRef>
              <c:f>DASHBOARD!$AS$4:$AS$25</c:f>
              <c:numCache>
                <c:formatCode>General</c:formatCode>
                <c:ptCount val="22"/>
                <c:pt idx="0">
                  <c:v>0</c:v>
                </c:pt>
                <c:pt idx="1">
                  <c:v>0</c:v>
                </c:pt>
                <c:pt idx="2">
                  <c:v>0</c:v>
                </c:pt>
                <c:pt idx="3">
                  <c:v>2</c:v>
                </c:pt>
                <c:pt idx="4">
                  <c:v>2</c:v>
                </c:pt>
                <c:pt idx="5">
                  <c:v>3</c:v>
                </c:pt>
                <c:pt idx="6">
                  <c:v>2</c:v>
                </c:pt>
                <c:pt idx="7">
                  <c:v>5</c:v>
                </c:pt>
                <c:pt idx="8">
                  <c:v>3</c:v>
                </c:pt>
                <c:pt idx="9">
                  <c:v>5</c:v>
                </c:pt>
                <c:pt idx="10">
                  <c:v>3</c:v>
                </c:pt>
              </c:numCache>
            </c:numRef>
          </c:val>
          <c:extLst>
            <c:ext xmlns:c16="http://schemas.microsoft.com/office/drawing/2014/chart" uri="{C3380CC4-5D6E-409C-BE32-E72D297353CC}">
              <c16:uniqueId val="{00000000-2D7B-407E-A085-182DCA1E7E0C}"/>
            </c:ext>
          </c:extLst>
        </c:ser>
        <c:ser>
          <c:idx val="0"/>
          <c:order val="1"/>
          <c:tx>
            <c:v>Loss</c:v>
          </c:tx>
          <c:spPr>
            <a:gradFill>
              <a:gsLst>
                <a:gs pos="100000">
                  <a:schemeClr val="accent2">
                    <a:alpha val="50000"/>
                  </a:schemeClr>
                </a:gs>
                <a:gs pos="50000">
                  <a:schemeClr val="accent2"/>
                </a:gs>
              </a:gsLst>
              <a:lin ang="5400000" scaled="1"/>
            </a:gradFill>
            <a:ln w="19050">
              <a:noFill/>
            </a:ln>
            <a:effectLst/>
            <a:scene3d>
              <a:camera prst="orthographicFront"/>
              <a:lightRig rig="threePt" dir="t"/>
            </a:scene3d>
          </c:spPr>
          <c:invertIfNegative val="0"/>
          <c:dLbls>
            <c:numFmt formatCode="_(* #,##0_);_(* \(#,##0\);_(* &quot;-&quot;_);_(@_)" sourceLinked="0"/>
            <c:spPr>
              <a:noFill/>
              <a:ln>
                <a:noFill/>
              </a:ln>
              <a:effectLst/>
            </c:spPr>
            <c:txPr>
              <a:bodyPr wrap="square" lIns="38100" tIns="19050" rIns="38100" bIns="19050" anchor="ctr">
                <a:spAutoFit/>
              </a:bodyPr>
              <a:lstStyle/>
              <a:p>
                <a:pPr>
                  <a:defRPr sz="800">
                    <a:solidFill>
                      <a:schemeClr val="bg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DASHBOARD!$AO$4:$AO$25</c:f>
              <c:strCache>
                <c:ptCount val="22"/>
                <c:pt idx="0">
                  <c:v>20% above</c:v>
                </c:pt>
                <c:pt idx="1">
                  <c:v>18% to 20%</c:v>
                </c:pt>
                <c:pt idx="2">
                  <c:v>16% to 18%</c:v>
                </c:pt>
                <c:pt idx="3">
                  <c:v>14% to 16%</c:v>
                </c:pt>
                <c:pt idx="4">
                  <c:v>12% to 14%</c:v>
                </c:pt>
                <c:pt idx="5">
                  <c:v>10% to 12%</c:v>
                </c:pt>
                <c:pt idx="6">
                  <c:v>8% to 10%</c:v>
                </c:pt>
                <c:pt idx="7">
                  <c:v>6% to 8%</c:v>
                </c:pt>
                <c:pt idx="8">
                  <c:v>4% to 6%</c:v>
                </c:pt>
                <c:pt idx="9">
                  <c:v>2% to 4%</c:v>
                </c:pt>
                <c:pt idx="10">
                  <c:v>0% to 2%</c:v>
                </c:pt>
                <c:pt idx="11">
                  <c:v>0% to -2%</c:v>
                </c:pt>
                <c:pt idx="12">
                  <c:v>-2% to -4%</c:v>
                </c:pt>
                <c:pt idx="13">
                  <c:v>-4% to -6%</c:v>
                </c:pt>
                <c:pt idx="14">
                  <c:v>-6% to -8%</c:v>
                </c:pt>
                <c:pt idx="15">
                  <c:v>-8% to -10%</c:v>
                </c:pt>
                <c:pt idx="16">
                  <c:v>-10% to -12%</c:v>
                </c:pt>
                <c:pt idx="17">
                  <c:v>-12% to -14%</c:v>
                </c:pt>
                <c:pt idx="18">
                  <c:v>-14% to -16%</c:v>
                </c:pt>
                <c:pt idx="19">
                  <c:v>-16% to -18%</c:v>
                </c:pt>
                <c:pt idx="20">
                  <c:v>-18% to -20%</c:v>
                </c:pt>
                <c:pt idx="21">
                  <c:v>-20% below</c:v>
                </c:pt>
              </c:strCache>
            </c:strRef>
          </c:cat>
          <c:val>
            <c:numRef>
              <c:f>DASHBOARD!$AT$4:$AT$25</c:f>
              <c:numCache>
                <c:formatCode>General</c:formatCode>
                <c:ptCount val="22"/>
                <c:pt idx="11">
                  <c:v>13</c:v>
                </c:pt>
                <c:pt idx="12">
                  <c:v>5</c:v>
                </c:pt>
                <c:pt idx="13">
                  <c:v>5</c:v>
                </c:pt>
                <c:pt idx="14">
                  <c:v>2</c:v>
                </c:pt>
                <c:pt idx="15">
                  <c:v>1</c:v>
                </c:pt>
                <c:pt idx="16">
                  <c:v>2</c:v>
                </c:pt>
                <c:pt idx="17">
                  <c:v>0</c:v>
                </c:pt>
                <c:pt idx="18">
                  <c:v>0</c:v>
                </c:pt>
                <c:pt idx="19">
                  <c:v>1</c:v>
                </c:pt>
                <c:pt idx="20">
                  <c:v>1</c:v>
                </c:pt>
                <c:pt idx="21">
                  <c:v>0</c:v>
                </c:pt>
              </c:numCache>
            </c:numRef>
          </c:val>
          <c:extLst>
            <c:ext xmlns:c16="http://schemas.microsoft.com/office/drawing/2014/chart" uri="{C3380CC4-5D6E-409C-BE32-E72D297353CC}">
              <c16:uniqueId val="{00000001-2D7B-407E-A085-182DCA1E7E0C}"/>
            </c:ext>
          </c:extLst>
        </c:ser>
        <c:dLbls>
          <c:dLblPos val="outEnd"/>
          <c:showLegendKey val="0"/>
          <c:showVal val="1"/>
          <c:showCatName val="0"/>
          <c:showSerName val="0"/>
          <c:showPercent val="0"/>
          <c:showBubbleSize val="0"/>
        </c:dLbls>
        <c:gapWidth val="0"/>
        <c:overlap val="80"/>
        <c:axId val="373128176"/>
        <c:axId val="373124256"/>
      </c:barChart>
      <c:catAx>
        <c:axId val="373128176"/>
        <c:scaling>
          <c:orientation val="maxMin"/>
        </c:scaling>
        <c:delete val="0"/>
        <c:axPos val="b"/>
        <c:title>
          <c:tx>
            <c:rich>
              <a:bodyPr/>
              <a:lstStyle/>
              <a:p>
                <a:pPr>
                  <a:defRPr b="0">
                    <a:solidFill>
                      <a:schemeClr val="tx2"/>
                    </a:solidFill>
                  </a:defRPr>
                </a:pPr>
                <a:r>
                  <a:rPr lang="en-US" b="0">
                    <a:solidFill>
                      <a:schemeClr val="tx2"/>
                    </a:solidFill>
                  </a:rPr>
                  <a:t>%GAINS/LOSSES</a:t>
                </a:r>
              </a:p>
            </c:rich>
          </c:tx>
          <c:layout>
            <c:manualLayout>
              <c:xMode val="edge"/>
              <c:yMode val="edge"/>
              <c:x val="0.42115196368400526"/>
              <c:y val="0.89997498634818296"/>
            </c:manualLayout>
          </c:layout>
          <c:overlay val="0"/>
        </c:title>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2700000" spcFirstLastPara="1" vertOverflow="ellipsis" vert="horz" wrap="square" anchor="ctr" anchorCtr="1"/>
          <a:lstStyle/>
          <a:p>
            <a:pPr>
              <a:defRPr sz="800" b="0" i="0" u="none" strike="noStrike" kern="1200" baseline="0">
                <a:solidFill>
                  <a:schemeClr val="tx2"/>
                </a:solidFill>
                <a:latin typeface="Arial Narrow" panose="020B0606020202030204" pitchFamily="34" charset="0"/>
                <a:ea typeface="+mn-ea"/>
                <a:cs typeface="Arial" panose="020B0604020202020204" pitchFamily="34" charset="0"/>
              </a:defRPr>
            </a:pPr>
            <a:endParaRPr lang="en-US"/>
          </a:p>
        </c:txPr>
        <c:crossAx val="373124256"/>
        <c:crosses val="autoZero"/>
        <c:auto val="1"/>
        <c:lblAlgn val="ctr"/>
        <c:lblOffset val="100"/>
        <c:noMultiLvlLbl val="0"/>
      </c:catAx>
      <c:valAx>
        <c:axId val="373124256"/>
        <c:scaling>
          <c:orientation val="minMax"/>
        </c:scaling>
        <c:delete val="1"/>
        <c:axPos val="r"/>
        <c:title>
          <c:tx>
            <c:strRef>
              <c:f>DASHBOARD!$AT$2</c:f>
              <c:strCache>
                <c:ptCount val="1"/>
                <c:pt idx="0">
                  <c:v>NUMBER OF TRADES</c:v>
                </c:pt>
              </c:strCache>
            </c:strRef>
          </c:tx>
          <c:layout>
            <c:manualLayout>
              <c:xMode val="edge"/>
              <c:yMode val="edge"/>
              <c:x val="2.4883116655493184E-2"/>
              <c:y val="0.12395317245879586"/>
            </c:manualLayout>
          </c:layout>
          <c:overlay val="0"/>
          <c:txPr>
            <a:bodyPr/>
            <a:lstStyle/>
            <a:p>
              <a:pPr>
                <a:defRPr sz="1000" b="0">
                  <a:solidFill>
                    <a:schemeClr val="tx2"/>
                  </a:solidFill>
                  <a:latin typeface="+mn-lt"/>
                  <a:cs typeface="Arial" panose="020B0604020202020204" pitchFamily="34" charset="0"/>
                </a:defRPr>
              </a:pPr>
              <a:endParaRPr lang="en-US"/>
            </a:p>
          </c:txPr>
        </c:title>
        <c:numFmt formatCode="_(* #,##0_);_(* \(#,##0\);_(* &quot;-&quot;_);_(@_)" sourceLinked="0"/>
        <c:majorTickMark val="none"/>
        <c:minorTickMark val="none"/>
        <c:tickLblPos val="nextTo"/>
        <c:crossAx val="373128176"/>
        <c:crosses val="autoZero"/>
        <c:crossBetween val="between"/>
      </c:valAx>
      <c:spPr>
        <a:gradFill>
          <a:gsLst>
            <a:gs pos="15000">
              <a:schemeClr val="accent6">
                <a:alpha val="50000"/>
              </a:schemeClr>
            </a:gs>
            <a:gs pos="100000">
              <a:schemeClr val="accent6">
                <a:alpha val="0"/>
              </a:schemeClr>
            </a:gs>
          </a:gsLst>
          <a:lin ang="16200000" scaled="1"/>
        </a:gradFill>
        <a:ln>
          <a:noFill/>
        </a:ln>
      </c:spPr>
    </c:plotArea>
    <c:legend>
      <c:legendPos val="r"/>
      <c:legendEntry>
        <c:idx val="0"/>
        <c:txPr>
          <a:bodyPr/>
          <a:lstStyle/>
          <a:p>
            <a:pPr>
              <a:defRPr sz="900">
                <a:solidFill>
                  <a:schemeClr val="tx2"/>
                </a:solidFill>
              </a:defRPr>
            </a:pPr>
            <a:endParaRPr lang="en-US"/>
          </a:p>
        </c:txPr>
      </c:legendEntry>
      <c:legendEntry>
        <c:idx val="1"/>
        <c:txPr>
          <a:bodyPr/>
          <a:lstStyle/>
          <a:p>
            <a:pPr>
              <a:defRPr sz="900">
                <a:solidFill>
                  <a:schemeClr val="tx2"/>
                </a:solidFill>
              </a:defRPr>
            </a:pPr>
            <a:endParaRPr lang="en-US"/>
          </a:p>
        </c:txPr>
      </c:legendEntry>
      <c:layout>
        <c:manualLayout>
          <c:xMode val="edge"/>
          <c:yMode val="edge"/>
          <c:x val="0.80476455148988735"/>
          <c:y val="0"/>
          <c:w val="0.17447420283537221"/>
          <c:h val="0.10350898445386633"/>
        </c:manualLayout>
      </c:layout>
      <c:overlay val="0"/>
      <c:txPr>
        <a:bodyPr/>
        <a:lstStyle/>
        <a:p>
          <a:pPr>
            <a:defRPr sz="900">
              <a:solidFill>
                <a:schemeClr val="tx2"/>
              </a:solidFill>
            </a:defRPr>
          </a:pPr>
          <a:endParaRPr lang="en-US"/>
        </a:p>
      </c:txPr>
    </c:legend>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4544895624042"/>
          <c:y val="2.8060347418404762E-2"/>
          <c:w val="0.78100825788490824"/>
          <c:h val="0.59061563507093262"/>
        </c:manualLayout>
      </c:layout>
      <c:lineChart>
        <c:grouping val="stacked"/>
        <c:varyColors val="0"/>
        <c:ser>
          <c:idx val="0"/>
          <c:order val="0"/>
          <c:spPr>
            <a:ln w="19050" cap="rnd" cmpd="sng" algn="ctr">
              <a:gradFill>
                <a:gsLst>
                  <a:gs pos="20000">
                    <a:schemeClr val="accent1"/>
                  </a:gs>
                  <a:gs pos="80000">
                    <a:schemeClr val="accent2"/>
                  </a:gs>
                </a:gsLst>
                <a:lin ang="5400000" scaled="1"/>
              </a:gradFill>
              <a:round/>
            </a:ln>
            <a:effectLst>
              <a:outerShdw blurRad="40000" dist="20000" dir="5400000" rotWithShape="0">
                <a:srgbClr val="14688E">
                  <a:alpha val="39000"/>
                </a:srgbClr>
              </a:outerShdw>
            </a:effectLst>
          </c:spPr>
          <c:marker>
            <c:symbol val="none"/>
          </c:marker>
          <c:cat>
            <c:numRef>
              <c:f>DASHBOARD!$AF$5:$AF$17</c:f>
              <c:numCache>
                <c:formatCode>m/d/yyyy</c:formatCode>
                <c:ptCount val="13"/>
                <c:pt idx="0">
                  <c:v>45030</c:v>
                </c:pt>
                <c:pt idx="1">
                  <c:v>45023</c:v>
                </c:pt>
                <c:pt idx="2">
                  <c:v>45016</c:v>
                </c:pt>
                <c:pt idx="3">
                  <c:v>45009</c:v>
                </c:pt>
                <c:pt idx="4">
                  <c:v>45002</c:v>
                </c:pt>
                <c:pt idx="5">
                  <c:v>44995</c:v>
                </c:pt>
                <c:pt idx="6">
                  <c:v>44988</c:v>
                </c:pt>
                <c:pt idx="7">
                  <c:v>44981</c:v>
                </c:pt>
                <c:pt idx="8">
                  <c:v>44974</c:v>
                </c:pt>
                <c:pt idx="9">
                  <c:v>44967</c:v>
                </c:pt>
                <c:pt idx="10">
                  <c:v>44960</c:v>
                </c:pt>
                <c:pt idx="11">
                  <c:v>44953</c:v>
                </c:pt>
                <c:pt idx="12">
                  <c:v>44946</c:v>
                </c:pt>
              </c:numCache>
            </c:numRef>
          </c:cat>
          <c:val>
            <c:numRef>
              <c:f>DASHBOARD!$AG$5:$AG$17</c:f>
              <c:numCache>
                <c:formatCode>_(* #,##0_);_(* \(#,##0\);_(* "-"??_);_(@_)</c:formatCode>
                <c:ptCount val="13"/>
                <c:pt idx="0">
                  <c:v>54271.42</c:v>
                </c:pt>
                <c:pt idx="1">
                  <c:v>54271.42</c:v>
                </c:pt>
                <c:pt idx="2">
                  <c:v>54271.42</c:v>
                </c:pt>
                <c:pt idx="3">
                  <c:v>54271.42</c:v>
                </c:pt>
                <c:pt idx="4">
                  <c:v>54271.42</c:v>
                </c:pt>
                <c:pt idx="5">
                  <c:v>54271.42</c:v>
                </c:pt>
                <c:pt idx="6">
                  <c:v>54271.42</c:v>
                </c:pt>
                <c:pt idx="7">
                  <c:v>54271.42</c:v>
                </c:pt>
                <c:pt idx="8">
                  <c:v>54271.42</c:v>
                </c:pt>
                <c:pt idx="9">
                  <c:v>54271.42</c:v>
                </c:pt>
                <c:pt idx="10">
                  <c:v>54271.42</c:v>
                </c:pt>
                <c:pt idx="11">
                  <c:v>54271.42</c:v>
                </c:pt>
                <c:pt idx="12">
                  <c:v>54271.42</c:v>
                </c:pt>
              </c:numCache>
            </c:numRef>
          </c:val>
          <c:smooth val="1"/>
          <c:extLst>
            <c:ext xmlns:c16="http://schemas.microsoft.com/office/drawing/2014/chart" uri="{C3380CC4-5D6E-409C-BE32-E72D297353CC}">
              <c16:uniqueId val="{00000000-4964-4E6A-A88E-E4728DB9976A}"/>
            </c:ext>
          </c:extLst>
        </c:ser>
        <c:dLbls>
          <c:showLegendKey val="0"/>
          <c:showVal val="0"/>
          <c:showCatName val="0"/>
          <c:showSerName val="0"/>
          <c:showPercent val="0"/>
          <c:showBubbleSize val="0"/>
        </c:dLbls>
        <c:smooth val="0"/>
        <c:axId val="604348512"/>
        <c:axId val="604349496"/>
      </c:lineChart>
      <c:dateAx>
        <c:axId val="604348512"/>
        <c:scaling>
          <c:orientation val="minMax"/>
        </c:scaling>
        <c:delete val="0"/>
        <c:axPos val="b"/>
        <c:numFmt formatCode="m/d/yyyy" sourceLinked="1"/>
        <c:majorTickMark val="none"/>
        <c:minorTickMark val="none"/>
        <c:tickLblPos val="nextTo"/>
        <c:spPr>
          <a:noFill/>
          <a:ln w="9525" cap="flat" cmpd="sng" algn="ctr">
            <a:solidFill>
              <a:schemeClr val="accent3"/>
            </a:solidFill>
            <a:round/>
          </a:ln>
          <a:effectLst/>
        </c:spPr>
        <c:txPr>
          <a:bodyPr rot="-2700000" spcFirstLastPara="1" vertOverflow="ellipsis" wrap="square" anchor="ctr" anchorCtr="1"/>
          <a:lstStyle/>
          <a:p>
            <a:pPr>
              <a:defRPr sz="700" b="0" i="0" u="none" strike="noStrike" kern="1200" spc="20" baseline="0">
                <a:solidFill>
                  <a:schemeClr val="tx2"/>
                </a:solidFill>
                <a:latin typeface="+mn-lt"/>
                <a:ea typeface="+mn-ea"/>
                <a:cs typeface="+mn-cs"/>
              </a:defRPr>
            </a:pPr>
            <a:endParaRPr lang="en-US"/>
          </a:p>
        </c:txPr>
        <c:crossAx val="604349496"/>
        <c:crosses val="autoZero"/>
        <c:auto val="1"/>
        <c:lblOffset val="100"/>
        <c:baseTimeUnit val="days"/>
      </c:dateAx>
      <c:valAx>
        <c:axId val="604349496"/>
        <c:scaling>
          <c:orientation val="minMax"/>
          <c:max val="55899.562599999997"/>
          <c:min val="52643.277399999999"/>
        </c:scaling>
        <c:delete val="1"/>
        <c:axPos val="l"/>
        <c:numFmt formatCode="_(* #,##0_);_(* \(#,##0\);_(* &quot;-&quot;??_);_(@_)" sourceLinked="1"/>
        <c:majorTickMark val="out"/>
        <c:minorTickMark val="none"/>
        <c:tickLblPos val="nextTo"/>
        <c:crossAx val="604348512"/>
        <c:crosses val="autoZero"/>
        <c:crossBetween val="between"/>
        <c:majorUnit val="2"/>
      </c:valAx>
      <c:spPr>
        <a:gradFill flip="none" rotWithShape="1">
          <a:gsLst>
            <a:gs pos="0">
              <a:schemeClr val="accent6">
                <a:alpha val="50000"/>
              </a:schemeClr>
            </a:gs>
            <a:gs pos="100000">
              <a:schemeClr val="accent6">
                <a:alpha val="0"/>
              </a:schemeClr>
            </a:gs>
          </a:gsLst>
          <a:lin ang="16200000" scaled="1"/>
          <a:tileRect/>
        </a:grad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145593869731802E-2"/>
          <c:y val="0.33333253798010504"/>
          <c:w val="0.91570881226053635"/>
          <c:h val="0.42424379803436402"/>
        </c:manualLayout>
      </c:layout>
      <c:barChart>
        <c:barDir val="bar"/>
        <c:grouping val="percentStacked"/>
        <c:varyColors val="0"/>
        <c:ser>
          <c:idx val="0"/>
          <c:order val="0"/>
          <c:spPr>
            <a:gradFill flip="none" rotWithShape="1">
              <a:gsLst>
                <a:gs pos="57800">
                  <a:schemeClr val="accent1"/>
                </a:gs>
                <a:gs pos="100000">
                  <a:schemeClr val="accent1">
                    <a:lumMod val="50000"/>
                  </a:schemeClr>
                </a:gs>
              </a:gsLst>
              <a:lin ang="10800000" scaled="1"/>
              <a:tileRect/>
            </a:gradFill>
            <a:ln w="19050" cap="flat" cmpd="sng" algn="ctr">
              <a:solidFill>
                <a:schemeClr val="accent5"/>
              </a:solidFill>
              <a:prstDash val="solid"/>
              <a:round/>
              <a:headEnd type="none" w="med" len="med"/>
              <a:tailEnd type="none" w="med" len="med"/>
            </a:ln>
            <a:effectLst/>
          </c:spPr>
          <c:invertIfNegative val="0"/>
          <c:dPt>
            <c:idx val="0"/>
            <c:invertIfNegative val="0"/>
            <c:bubble3D val="0"/>
            <c:spPr>
              <a:solidFill>
                <a:schemeClr val="accent1"/>
              </a:solidFill>
              <a:ln w="19050"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1-7473-44DE-9466-A525118F2502}"/>
              </c:ext>
            </c:extLst>
          </c:dPt>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6"/>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DASHBOARD!$AA$2</c:f>
              <c:numCache>
                <c:formatCode>_(* #,##0_);_(* \(#,##0\);_(* "-"??_);_(@_)</c:formatCode>
                <c:ptCount val="1"/>
                <c:pt idx="0">
                  <c:v>13805.110000000002</c:v>
                </c:pt>
              </c:numCache>
            </c:numRef>
          </c:val>
          <c:extLst>
            <c:ext xmlns:c16="http://schemas.microsoft.com/office/drawing/2014/chart" uri="{C3380CC4-5D6E-409C-BE32-E72D297353CC}">
              <c16:uniqueId val="{00000002-7473-44DE-9466-A525118F2502}"/>
            </c:ext>
          </c:extLst>
        </c:ser>
        <c:ser>
          <c:idx val="1"/>
          <c:order val="1"/>
          <c:spPr>
            <a:gradFill flip="none" rotWithShape="1">
              <a:gsLst>
                <a:gs pos="79000">
                  <a:schemeClr val="accent5">
                    <a:alpha val="69000"/>
                  </a:schemeClr>
                </a:gs>
                <a:gs pos="27000">
                  <a:schemeClr val="accent2"/>
                </a:gs>
              </a:gsLst>
              <a:lin ang="0" scaled="1"/>
              <a:tileRect/>
            </a:gradFill>
            <a:ln w="28575" cap="flat" cmpd="sng" algn="ctr">
              <a:solidFill>
                <a:schemeClr val="accent5"/>
              </a:solidFill>
              <a:prstDash val="solid"/>
              <a:round/>
              <a:headEnd type="none" w="med" len="med"/>
              <a:tailEnd type="none" w="med" len="med"/>
            </a:ln>
            <a:effectLst/>
          </c:spPr>
          <c:invertIfNegative val="0"/>
          <c:dPt>
            <c:idx val="0"/>
            <c:invertIfNegative val="0"/>
            <c:bubble3D val="0"/>
            <c:spPr>
              <a:solidFill>
                <a:schemeClr val="accent2"/>
              </a:soli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2-BF36-446D-9A05-007C1259EB21}"/>
              </c:ext>
            </c:extLst>
          </c:dPt>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DASHBOARD!$AA$3</c:f>
              <c:numCache>
                <c:formatCode>_(* #,##0_);_(* \(#,##0\);_(* "-"??_);_(@_)</c:formatCode>
                <c:ptCount val="1"/>
                <c:pt idx="0">
                  <c:v>9533.6899999999969</c:v>
                </c:pt>
              </c:numCache>
            </c:numRef>
          </c:val>
          <c:extLst>
            <c:ext xmlns:c16="http://schemas.microsoft.com/office/drawing/2014/chart" uri="{C3380CC4-5D6E-409C-BE32-E72D297353CC}">
              <c16:uniqueId val="{00000003-7473-44DE-9466-A525118F2502}"/>
            </c:ext>
          </c:extLst>
        </c:ser>
        <c:dLbls>
          <c:dLblPos val="ctr"/>
          <c:showLegendKey val="0"/>
          <c:showVal val="1"/>
          <c:showCatName val="0"/>
          <c:showSerName val="0"/>
          <c:showPercent val="0"/>
          <c:showBubbleSize val="0"/>
        </c:dLbls>
        <c:gapWidth val="0"/>
        <c:overlap val="100"/>
        <c:axId val="373121904"/>
        <c:axId val="373129352"/>
      </c:barChart>
      <c:catAx>
        <c:axId val="373121904"/>
        <c:scaling>
          <c:orientation val="minMax"/>
        </c:scaling>
        <c:delete val="1"/>
        <c:axPos val="l"/>
        <c:majorTickMark val="none"/>
        <c:minorTickMark val="none"/>
        <c:tickLblPos val="nextTo"/>
        <c:crossAx val="373129352"/>
        <c:crosses val="autoZero"/>
        <c:auto val="1"/>
        <c:lblAlgn val="ctr"/>
        <c:lblOffset val="100"/>
        <c:noMultiLvlLbl val="0"/>
      </c:catAx>
      <c:valAx>
        <c:axId val="373129352"/>
        <c:scaling>
          <c:orientation val="minMax"/>
          <c:max val="1"/>
        </c:scaling>
        <c:delete val="1"/>
        <c:axPos val="b"/>
        <c:numFmt formatCode="0%" sourceLinked="0"/>
        <c:majorTickMark val="out"/>
        <c:minorTickMark val="none"/>
        <c:tickLblPos val="nextTo"/>
        <c:crossAx val="373121904"/>
        <c:crosses val="autoZero"/>
        <c:crossBetween val="between"/>
        <c:majorUnit val="0.5"/>
      </c:valAx>
      <c:spPr>
        <a:noFill/>
        <a:ln>
          <a:solidFill>
            <a:schemeClr val="bg2">
              <a:lumMod val="10000"/>
            </a:schemeClr>
          </a:solidFill>
        </a:ln>
        <a:effectLst/>
      </c:spPr>
    </c:plotArea>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632755177699852E-2"/>
          <c:y val="4.6446298173124401E-2"/>
          <c:w val="0.91150516064174825"/>
          <c:h val="0.68972986069049058"/>
        </c:manualLayout>
      </c:layout>
      <c:lineChart>
        <c:grouping val="standard"/>
        <c:varyColors val="0"/>
        <c:ser>
          <c:idx val="0"/>
          <c:order val="0"/>
          <c:spPr>
            <a:ln w="25400" cap="rnd">
              <a:gradFill flip="none" rotWithShape="1">
                <a:gsLst>
                  <a:gs pos="28000">
                    <a:schemeClr val="accent1"/>
                  </a:gs>
                  <a:gs pos="100000">
                    <a:schemeClr val="accent2"/>
                  </a:gs>
                </a:gsLst>
                <a:lin ang="5400000" scaled="1"/>
                <a:tileRect/>
              </a:gra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Arial Narrow" panose="020B060602020203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minus"/>
            <c:errValType val="percentage"/>
            <c:noEndCap val="1"/>
            <c:val val="100"/>
            <c:spPr>
              <a:noFill/>
              <a:ln w="9525" cap="flat" cmpd="sng" algn="ctr">
                <a:solidFill>
                  <a:srgbClr val="BFBFBF">
                    <a:alpha val="15686"/>
                  </a:srgbClr>
                </a:solidFill>
                <a:round/>
              </a:ln>
              <a:effectLst/>
            </c:spPr>
          </c:errBars>
          <c:cat>
            <c:numRef>
              <c:f>DASHBOARD!$AK$45:$BD$45</c:f>
              <c:numCache>
                <c:formatCode>General</c:formatCode>
                <c:ptCount val="20"/>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c:v>53</c:v>
                </c:pt>
                <c:pt idx="17">
                  <c:v>54</c:v>
                </c:pt>
                <c:pt idx="18">
                  <c:v>55</c:v>
                </c:pt>
                <c:pt idx="19">
                  <c:v>56</c:v>
                </c:pt>
              </c:numCache>
            </c:numRef>
          </c:cat>
          <c:val>
            <c:numRef>
              <c:f>DASHBOARD!$AK$46:$BD$46</c:f>
              <c:numCache>
                <c:formatCode>General</c:formatCode>
                <c:ptCount val="20"/>
                <c:pt idx="0">
                  <c:v>12</c:v>
                </c:pt>
                <c:pt idx="1">
                  <c:v>12</c:v>
                </c:pt>
                <c:pt idx="2">
                  <c:v>12</c:v>
                </c:pt>
                <c:pt idx="3">
                  <c:v>12</c:v>
                </c:pt>
                <c:pt idx="4">
                  <c:v>10</c:v>
                </c:pt>
                <c:pt idx="5">
                  <c:v>8</c:v>
                </c:pt>
                <c:pt idx="6">
                  <c:v>8</c:v>
                </c:pt>
                <c:pt idx="7">
                  <c:v>8</c:v>
                </c:pt>
                <c:pt idx="8">
                  <c:v>8</c:v>
                </c:pt>
                <c:pt idx="9">
                  <c:v>8</c:v>
                </c:pt>
                <c:pt idx="10">
                  <c:v>8</c:v>
                </c:pt>
                <c:pt idx="11">
                  <c:v>8</c:v>
                </c:pt>
                <c:pt idx="12">
                  <c:v>8</c:v>
                </c:pt>
                <c:pt idx="13">
                  <c:v>8</c:v>
                </c:pt>
                <c:pt idx="14">
                  <c:v>8</c:v>
                </c:pt>
                <c:pt idx="15">
                  <c:v>8</c:v>
                </c:pt>
                <c:pt idx="16">
                  <c:v>8</c:v>
                </c:pt>
                <c:pt idx="17">
                  <c:v>10</c:v>
                </c:pt>
                <c:pt idx="18">
                  <c:v>10</c:v>
                </c:pt>
                <c:pt idx="19">
                  <c:v>12</c:v>
                </c:pt>
              </c:numCache>
            </c:numRef>
          </c:val>
          <c:smooth val="1"/>
          <c:extLst>
            <c:ext xmlns:c16="http://schemas.microsoft.com/office/drawing/2014/chart" uri="{C3380CC4-5D6E-409C-BE32-E72D297353CC}">
              <c16:uniqueId val="{00000000-BA67-42A2-862D-28589A04ABFB}"/>
            </c:ext>
          </c:extLst>
        </c:ser>
        <c:ser>
          <c:idx val="1"/>
          <c:order val="1"/>
          <c:tx>
            <c:v>base</c:v>
          </c:tx>
          <c:spPr>
            <a:ln w="12700" cap="rnd">
              <a:solidFill>
                <a:schemeClr val="tx2"/>
              </a:solidFill>
              <a:round/>
            </a:ln>
            <a:effectLst/>
          </c:spPr>
          <c:marker>
            <c:symbol val="none"/>
          </c:marker>
          <c:cat>
            <c:numRef>
              <c:f>DASHBOARD!$AK$45:$BD$45</c:f>
              <c:numCache>
                <c:formatCode>General</c:formatCode>
                <c:ptCount val="20"/>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c:v>53</c:v>
                </c:pt>
                <c:pt idx="17">
                  <c:v>54</c:v>
                </c:pt>
                <c:pt idx="18">
                  <c:v>55</c:v>
                </c:pt>
                <c:pt idx="19">
                  <c:v>56</c:v>
                </c:pt>
              </c:numCache>
            </c:numRef>
          </c:cat>
          <c:val>
            <c:numRef>
              <c:f>DASHBOARD!$AK$44:$BD$44</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BA67-42A2-862D-28589A04ABFB}"/>
            </c:ext>
          </c:extLst>
        </c:ser>
        <c:dLbls>
          <c:showLegendKey val="0"/>
          <c:showVal val="0"/>
          <c:showCatName val="0"/>
          <c:showSerName val="0"/>
          <c:showPercent val="0"/>
          <c:showBubbleSize val="0"/>
        </c:dLbls>
        <c:smooth val="0"/>
        <c:axId val="725031272"/>
        <c:axId val="725029304"/>
      </c:lineChart>
      <c:catAx>
        <c:axId val="72503127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Arial" panose="020B0604020202020204" pitchFamily="34" charset="0"/>
                  </a:defRPr>
                </a:pPr>
                <a:r>
                  <a:rPr lang="en-US" sz="900">
                    <a:latin typeface="+mn-lt"/>
                    <a:cs typeface="Arial" panose="020B0604020202020204" pitchFamily="34" charset="0"/>
                  </a:rPr>
                  <a:t>Last</a:t>
                </a:r>
                <a:r>
                  <a:rPr lang="en-US" sz="900" baseline="0">
                    <a:latin typeface="+mn-lt"/>
                    <a:cs typeface="Arial" panose="020B0604020202020204" pitchFamily="34" charset="0"/>
                  </a:rPr>
                  <a:t> 20 Trades</a:t>
                </a:r>
                <a:endParaRPr lang="en-US" sz="900">
                  <a:latin typeface="+mn-lt"/>
                  <a:cs typeface="Arial" panose="020B0604020202020204" pitchFamily="34" charset="0"/>
                </a:endParaRPr>
              </a:p>
            </c:rich>
          </c:tx>
          <c:layout>
            <c:manualLayout>
              <c:xMode val="edge"/>
              <c:yMode val="edge"/>
              <c:x val="0.43185087132739247"/>
              <c:y val="0.9064572126503989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Arial" panose="020B0604020202020204" pitchFamily="34" charset="0"/>
                </a:defRPr>
              </a:pPr>
              <a:endParaRPr lang="en-US"/>
            </a:p>
          </c:txPr>
        </c:title>
        <c:numFmt formatCode="General" sourceLinked="1"/>
        <c:majorTickMark val="out"/>
        <c:minorTickMark val="none"/>
        <c:tickLblPos val="low"/>
        <c:spPr>
          <a:noFill/>
          <a:ln w="0" cap="flat" cmpd="sng" algn="ctr">
            <a:noFill/>
            <a:round/>
          </a:ln>
          <a:effectLst/>
        </c:spPr>
        <c:txPr>
          <a:bodyPr rot="-2700000" spcFirstLastPara="1" vertOverflow="ellipsis" wrap="square" anchor="ctr" anchorCtr="1"/>
          <a:lstStyle/>
          <a:p>
            <a:pPr>
              <a:defRPr sz="800" b="0" i="0" u="none" strike="noStrike" kern="1200" baseline="0">
                <a:solidFill>
                  <a:schemeClr val="tx1">
                    <a:lumMod val="50000"/>
                    <a:lumOff val="50000"/>
                  </a:schemeClr>
                </a:solidFill>
                <a:latin typeface="Arial Narrow" panose="020B0606020202030204" pitchFamily="34" charset="0"/>
                <a:ea typeface="+mn-ea"/>
                <a:cs typeface="+mn-cs"/>
              </a:defRPr>
            </a:pPr>
            <a:endParaRPr lang="en-US"/>
          </a:p>
        </c:txPr>
        <c:crossAx val="725029304"/>
        <c:crosses val="autoZero"/>
        <c:auto val="1"/>
        <c:lblAlgn val="ctr"/>
        <c:lblOffset val="0"/>
        <c:noMultiLvlLbl val="0"/>
      </c:catAx>
      <c:valAx>
        <c:axId val="725029304"/>
        <c:scaling>
          <c:orientation val="minMax"/>
          <c:max val="14"/>
          <c:min val="7"/>
        </c:scaling>
        <c:delete val="1"/>
        <c:axPos val="l"/>
        <c:title>
          <c:tx>
            <c:rich>
              <a:bodyPr rot="-54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Arial" panose="020B0604020202020204" pitchFamily="34" charset="0"/>
                  </a:defRPr>
                </a:pPr>
                <a:r>
                  <a:rPr lang="en-US" sz="900" b="0">
                    <a:solidFill>
                      <a:schemeClr val="tx1">
                        <a:lumMod val="50000"/>
                        <a:lumOff val="50000"/>
                      </a:schemeClr>
                    </a:solidFill>
                    <a:latin typeface="+mn-lt"/>
                    <a:cs typeface="Arial" panose="020B0604020202020204" pitchFamily="34" charset="0"/>
                  </a:rPr>
                  <a:t>Cumulative Evaluation Score</a:t>
                </a:r>
              </a:p>
            </c:rich>
          </c:tx>
          <c:layout>
            <c:manualLayout>
              <c:xMode val="edge"/>
              <c:yMode val="edge"/>
              <c:x val="1.4942889504496513E-2"/>
              <c:y val="0.1256541580951029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Arial" panose="020B0604020202020204" pitchFamily="34" charset="0"/>
                </a:defRPr>
              </a:pPr>
              <a:endParaRPr lang="en-US"/>
            </a:p>
          </c:txPr>
        </c:title>
        <c:numFmt formatCode="General" sourceLinked="1"/>
        <c:majorTickMark val="out"/>
        <c:minorTickMark val="none"/>
        <c:tickLblPos val="nextTo"/>
        <c:crossAx val="725031272"/>
        <c:crosses val="autoZero"/>
        <c:crossBetween val="between"/>
      </c:valAx>
      <c:spPr>
        <a:gradFill>
          <a:gsLst>
            <a:gs pos="0">
              <a:schemeClr val="accent6">
                <a:alpha val="50000"/>
              </a:schemeClr>
            </a:gs>
            <a:gs pos="100000">
              <a:schemeClr val="accent6">
                <a:alpha val="0"/>
              </a:schemeClr>
            </a:gs>
          </a:gsLst>
          <a:lin ang="16200000" scaled="1"/>
        </a:grad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479329588920836E-2"/>
          <c:y val="3.0491964678075748E-2"/>
          <c:w val="0.86985604615122769"/>
          <c:h val="0.76827458106198276"/>
        </c:manualLayout>
      </c:layout>
      <c:scatterChart>
        <c:scatterStyle val="lineMarker"/>
        <c:varyColors val="0"/>
        <c:ser>
          <c:idx val="2"/>
          <c:order val="0"/>
          <c:tx>
            <c:v>Performance</c:v>
          </c:tx>
          <c:spPr>
            <a:ln w="19050" cap="flat" cmpd="sng" algn="ctr">
              <a:gradFill>
                <a:gsLst>
                  <a:gs pos="0">
                    <a:schemeClr val="accent1">
                      <a:lumMod val="60000"/>
                      <a:lumOff val="40000"/>
                    </a:schemeClr>
                  </a:gs>
                  <a:gs pos="100000">
                    <a:schemeClr val="accent1">
                      <a:lumMod val="50000"/>
                    </a:schemeClr>
                  </a:gs>
                </a:gsLst>
                <a:lin ang="5400000" scaled="1"/>
              </a:gradFill>
              <a:prstDash val="solid"/>
              <a:round/>
              <a:headEnd type="none" w="med" len="med"/>
              <a:tailEnd type="none" w="med" len="med"/>
            </a:ln>
            <a:effectLst/>
          </c:spPr>
          <c:marker>
            <c:symbol val="none"/>
          </c:marker>
          <c:trendline>
            <c:name>20 MA (Performance)</c:name>
            <c:spPr>
              <a:ln w="9525" cap="rnd">
                <a:solidFill>
                  <a:schemeClr val="accent2"/>
                </a:solidFill>
              </a:ln>
              <a:effectLst/>
            </c:spPr>
            <c:trendlineType val="movingAvg"/>
            <c:period val="20"/>
            <c:dispRSqr val="0"/>
            <c:dispEq val="0"/>
          </c:trendline>
          <c:xVal>
            <c:strRef>
              <c:f>'TRADE LOG'!$BF$15:$BF$733</c:f>
              <c:strCache>
                <c:ptCount val="5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strCache>
            </c:strRef>
          </c:xVal>
          <c:yVal>
            <c:numRef>
              <c:f>'TRADE LOG'!$BG$15:$BG$733</c:f>
              <c:numCache>
                <c:formatCode>General</c:formatCode>
                <c:ptCount val="719"/>
                <c:pt idx="0" formatCode="#,##0.00">
                  <c:v>50000</c:v>
                </c:pt>
                <c:pt idx="1">
                  <c:v>49832.35</c:v>
                </c:pt>
                <c:pt idx="2">
                  <c:v>49532.35</c:v>
                </c:pt>
                <c:pt idx="3">
                  <c:v>49318.82</c:v>
                </c:pt>
                <c:pt idx="4">
                  <c:v>49122.29</c:v>
                </c:pt>
                <c:pt idx="5">
                  <c:v>48984.639999999999</c:v>
                </c:pt>
                <c:pt idx="6">
                  <c:v>49101.99</c:v>
                </c:pt>
                <c:pt idx="7">
                  <c:v>49409.34</c:v>
                </c:pt>
                <c:pt idx="8">
                  <c:v>49071.689999999995</c:v>
                </c:pt>
                <c:pt idx="9">
                  <c:v>49504.039999999994</c:v>
                </c:pt>
                <c:pt idx="10">
                  <c:v>50166.389999999992</c:v>
                </c:pt>
                <c:pt idx="11">
                  <c:v>50338.739999999991</c:v>
                </c:pt>
                <c:pt idx="12">
                  <c:v>50386.089999999989</c:v>
                </c:pt>
                <c:pt idx="13">
                  <c:v>50463.439999999988</c:v>
                </c:pt>
                <c:pt idx="14">
                  <c:v>50355.789999999986</c:v>
                </c:pt>
                <c:pt idx="15">
                  <c:v>49978.139999999985</c:v>
                </c:pt>
                <c:pt idx="16">
                  <c:v>49760.489999999983</c:v>
                </c:pt>
                <c:pt idx="17">
                  <c:v>50127.839999999982</c:v>
                </c:pt>
                <c:pt idx="18">
                  <c:v>50610.189999999981</c:v>
                </c:pt>
                <c:pt idx="19">
                  <c:v>50827.539999999979</c:v>
                </c:pt>
                <c:pt idx="20">
                  <c:v>50302.239999999976</c:v>
                </c:pt>
                <c:pt idx="21">
                  <c:v>49466.939999999973</c:v>
                </c:pt>
                <c:pt idx="22">
                  <c:v>49169.289999999972</c:v>
                </c:pt>
                <c:pt idx="23">
                  <c:v>50433.989999999969</c:v>
                </c:pt>
                <c:pt idx="24">
                  <c:v>50276.339999999967</c:v>
                </c:pt>
                <c:pt idx="25">
                  <c:v>50183.009999999966</c:v>
                </c:pt>
                <c:pt idx="26">
                  <c:v>50445.359999999964</c:v>
                </c:pt>
                <c:pt idx="27">
                  <c:v>50677.709999999963</c:v>
                </c:pt>
                <c:pt idx="28">
                  <c:v>51332.40999999996</c:v>
                </c:pt>
                <c:pt idx="29">
                  <c:v>52755.90999999996</c:v>
                </c:pt>
                <c:pt idx="30">
                  <c:v>52405.309999999961</c:v>
                </c:pt>
                <c:pt idx="31">
                  <c:v>52518.779999999962</c:v>
                </c:pt>
                <c:pt idx="32">
                  <c:v>52176.129999999961</c:v>
                </c:pt>
                <c:pt idx="33">
                  <c:v>52427.629999999961</c:v>
                </c:pt>
                <c:pt idx="34">
                  <c:v>52829.97999999996</c:v>
                </c:pt>
                <c:pt idx="35">
                  <c:v>53799.149999999958</c:v>
                </c:pt>
                <c:pt idx="36">
                  <c:v>53168.049999999959</c:v>
                </c:pt>
                <c:pt idx="37">
                  <c:v>52459.379999999961</c:v>
                </c:pt>
                <c:pt idx="38">
                  <c:v>52053.47999999996</c:v>
                </c:pt>
                <c:pt idx="39">
                  <c:v>53033.399999999958</c:v>
                </c:pt>
                <c:pt idx="40">
                  <c:v>52295.169999999955</c:v>
                </c:pt>
                <c:pt idx="41">
                  <c:v>51619.269999999953</c:v>
                </c:pt>
                <c:pt idx="42">
                  <c:v>53892.769999999953</c:v>
                </c:pt>
                <c:pt idx="43">
                  <c:v>53767.679999999957</c:v>
                </c:pt>
                <c:pt idx="44">
                  <c:v>53472.379999999954</c:v>
                </c:pt>
                <c:pt idx="45">
                  <c:v>53248.519999999953</c:v>
                </c:pt>
                <c:pt idx="46">
                  <c:v>52983.21999999995</c:v>
                </c:pt>
                <c:pt idx="47">
                  <c:v>53397.919999999947</c:v>
                </c:pt>
                <c:pt idx="48">
                  <c:v>53232.619999999944</c:v>
                </c:pt>
                <c:pt idx="49">
                  <c:v>53032.619999999944</c:v>
                </c:pt>
                <c:pt idx="50">
                  <c:v>53142.619999999944</c:v>
                </c:pt>
                <c:pt idx="51">
                  <c:v>52887.319999999942</c:v>
                </c:pt>
                <c:pt idx="52">
                  <c:v>52722.019999999939</c:v>
                </c:pt>
                <c:pt idx="53">
                  <c:v>52702.019999999939</c:v>
                </c:pt>
                <c:pt idx="54">
                  <c:v>53716.719999999936</c:v>
                </c:pt>
                <c:pt idx="55">
                  <c:v>54271.419999999933</c:v>
                </c:pt>
                <c:pt idx="56">
                  <c:v>0</c:v>
                </c:pt>
                <c:pt idx="57">
                  <c:v>0</c:v>
                </c:pt>
                <c:pt idx="58">
                  <c:v>0</c:v>
                </c:pt>
                <c:pt idx="59">
                  <c:v>0</c:v>
                </c:pt>
              </c:numCache>
            </c:numRef>
          </c:yVal>
          <c:smooth val="0"/>
          <c:extLst>
            <c:ext xmlns:c16="http://schemas.microsoft.com/office/drawing/2014/chart" uri="{C3380CC4-5D6E-409C-BE32-E72D297353CC}">
              <c16:uniqueId val="{00000008-F3F4-461B-A1F3-638B8050291B}"/>
            </c:ext>
          </c:extLst>
        </c:ser>
        <c:dLbls>
          <c:showLegendKey val="0"/>
          <c:showVal val="0"/>
          <c:showCatName val="0"/>
          <c:showSerName val="0"/>
          <c:showPercent val="0"/>
          <c:showBubbleSize val="0"/>
        </c:dLbls>
        <c:axId val="533317464"/>
        <c:axId val="533323368"/>
      </c:scatterChart>
      <c:valAx>
        <c:axId val="533317464"/>
        <c:scaling>
          <c:orientation val="minMax"/>
          <c:max val="56"/>
          <c:min val="6"/>
        </c:scaling>
        <c:delete val="1"/>
        <c:axPos val="b"/>
        <c:numFmt formatCode="General" sourceLinked="1"/>
        <c:majorTickMark val="out"/>
        <c:minorTickMark val="none"/>
        <c:tickLblPos val="nextTo"/>
        <c:crossAx val="533323368"/>
        <c:crosses val="autoZero"/>
        <c:crossBetween val="midCat"/>
      </c:valAx>
      <c:valAx>
        <c:axId val="533323368"/>
        <c:scaling>
          <c:orientation val="minMax"/>
          <c:max val="54280"/>
          <c:min val="48980"/>
        </c:scaling>
        <c:delete val="0"/>
        <c:axPos val="r"/>
        <c:numFmt formatCode="_(* #,##0_);_(* \(#,##0\);_(* &quot;-&quot;_);_(@_)" sourceLinked="0"/>
        <c:majorTickMark val="out"/>
        <c:minorTickMark val="none"/>
        <c:tickLblPos val="nextTo"/>
        <c:spPr>
          <a:noFill/>
          <a:ln w="9525" cap="rnd">
            <a:solidFill>
              <a:schemeClr val="accent3"/>
            </a:solidFill>
            <a:round/>
          </a:ln>
          <a:effectLst/>
        </c:spPr>
        <c:txPr>
          <a:bodyPr rot="-60000000" spcFirstLastPara="1" vertOverflow="ellipsis" vert="horz" wrap="square" anchor="ctr" anchorCtr="1"/>
          <a:lstStyle/>
          <a:p>
            <a:pPr>
              <a:defRPr sz="700" b="0" i="0" u="none" strike="noStrike" kern="1200" spc="0" baseline="0">
                <a:solidFill>
                  <a:schemeClr val="tx2"/>
                </a:solidFill>
                <a:latin typeface="+mn-lt"/>
                <a:ea typeface="+mn-ea"/>
                <a:cs typeface="+mn-cs"/>
              </a:defRPr>
            </a:pPr>
            <a:endParaRPr lang="en-US"/>
          </a:p>
        </c:txPr>
        <c:crossAx val="533317464"/>
        <c:crosses val="max"/>
        <c:crossBetween val="midCat"/>
      </c:valAx>
      <c:spPr>
        <a:gradFill>
          <a:gsLst>
            <a:gs pos="0">
              <a:schemeClr val="accent6">
                <a:alpha val="50000"/>
              </a:schemeClr>
            </a:gs>
            <a:gs pos="100000">
              <a:schemeClr val="accent6">
                <a:alpha val="0"/>
              </a:schemeClr>
            </a:gs>
          </a:gsLst>
          <a:lin ang="16200000" scaled="1"/>
        </a:gradFill>
        <a:ln>
          <a:noFill/>
        </a:ln>
        <a:effectLst/>
      </c:spPr>
    </c:plotArea>
    <c:legend>
      <c:legendPos val="b"/>
      <c:layout>
        <c:manualLayout>
          <c:xMode val="edge"/>
          <c:yMode val="edge"/>
          <c:x val="0.26094651099647026"/>
          <c:y val="0.85296776364492899"/>
          <c:w val="0.47651232162532586"/>
          <c:h val="9.9168988491823123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2"/>
              </a:solidFill>
              <a:latin typeface="+mn-lt"/>
              <a:ea typeface="+mn-ea"/>
              <a:cs typeface="+mn-cs"/>
            </a:defRPr>
          </a:pPr>
          <a:endParaRPr lang="en-US"/>
        </a:p>
      </c:txPr>
    </c:legend>
    <c:plotVisOnly val="0"/>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68942968029458"/>
          <c:y val="7.7058788704043563E-2"/>
          <c:w val="0.74567718097069691"/>
          <c:h val="0.53017307047145423"/>
        </c:manualLayout>
      </c:layout>
      <c:barChart>
        <c:barDir val="col"/>
        <c:grouping val="clustered"/>
        <c:varyColors val="0"/>
        <c:ser>
          <c:idx val="4"/>
          <c:order val="0"/>
          <c:tx>
            <c:v>Profitable %</c:v>
          </c:tx>
          <c:spPr>
            <a:gradFill>
              <a:gsLst>
                <a:gs pos="0">
                  <a:schemeClr val="accent1"/>
                </a:gs>
                <a:gs pos="50000">
                  <a:srgbClr val="22A3BC"/>
                </a:gs>
                <a:gs pos="100000">
                  <a:schemeClr val="accent5"/>
                </a:gs>
              </a:gsLst>
              <a:lin ang="5400000" scaled="1"/>
            </a:gradFill>
            <a:ln w="28575" cap="flat" cmpd="sng" algn="ctr">
              <a:solidFill>
                <a:schemeClr val="accent5"/>
              </a:solidFill>
              <a:prstDash val="solid"/>
              <a:round/>
              <a:headEnd type="none" w="med" len="med"/>
              <a:tailEnd type="none" w="med" len="med"/>
            </a:ln>
            <a:effectLst/>
          </c:spPr>
          <c:invertIfNegative val="0"/>
          <c:dPt>
            <c:idx val="0"/>
            <c:invertIfNegative val="0"/>
            <c:bubble3D val="0"/>
            <c:spPr>
              <a:gradFill>
                <a:gsLst>
                  <a:gs pos="0">
                    <a:schemeClr val="accent1"/>
                  </a:gs>
                  <a:gs pos="50000">
                    <a:srgbClr val="22A3BC"/>
                  </a:gs>
                  <a:gs pos="100000">
                    <a:schemeClr val="accent5"/>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1-ACAB-47B6-AE50-E023477AD05E}"/>
              </c:ext>
            </c:extLst>
          </c:dPt>
          <c:dPt>
            <c:idx val="1"/>
            <c:invertIfNegative val="0"/>
            <c:bubble3D val="0"/>
            <c:spPr>
              <a:gradFill>
                <a:gsLst>
                  <a:gs pos="0">
                    <a:schemeClr val="accent1"/>
                  </a:gs>
                  <a:gs pos="50000">
                    <a:srgbClr val="22A3BC"/>
                  </a:gs>
                  <a:gs pos="100000">
                    <a:schemeClr val="accent5"/>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3-ACAB-47B6-AE50-E023477AD05E}"/>
              </c:ext>
            </c:extLst>
          </c:dPt>
          <c:dPt>
            <c:idx val="2"/>
            <c:invertIfNegative val="0"/>
            <c:bubble3D val="0"/>
            <c:spPr>
              <a:gradFill>
                <a:gsLst>
                  <a:gs pos="0">
                    <a:schemeClr val="accent1"/>
                  </a:gs>
                  <a:gs pos="50000">
                    <a:srgbClr val="22A3BC"/>
                  </a:gs>
                  <a:gs pos="100000">
                    <a:schemeClr val="accent5"/>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5-ACAB-47B6-AE50-E023477AD05E}"/>
              </c:ext>
            </c:extLst>
          </c:dPt>
          <c:dPt>
            <c:idx val="3"/>
            <c:invertIfNegative val="0"/>
            <c:bubble3D val="0"/>
            <c:spPr>
              <a:gradFill>
                <a:gsLst>
                  <a:gs pos="0">
                    <a:schemeClr val="accent1"/>
                  </a:gs>
                  <a:gs pos="50000">
                    <a:srgbClr val="22A3BC"/>
                  </a:gs>
                  <a:gs pos="100000">
                    <a:schemeClr val="accent5"/>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7-ACAB-47B6-AE50-E023477AD05E}"/>
              </c:ext>
            </c:extLst>
          </c:dPt>
          <c:dPt>
            <c:idx val="4"/>
            <c:invertIfNegative val="0"/>
            <c:bubble3D val="0"/>
            <c:spPr>
              <a:gradFill>
                <a:gsLst>
                  <a:gs pos="0">
                    <a:schemeClr val="accent1"/>
                  </a:gs>
                  <a:gs pos="50000">
                    <a:srgbClr val="22A3BC"/>
                  </a:gs>
                  <a:gs pos="100000">
                    <a:schemeClr val="accent5"/>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9-ACAB-47B6-AE50-E023477AD05E}"/>
              </c:ext>
            </c:extLst>
          </c:dPt>
          <c:dPt>
            <c:idx val="5"/>
            <c:invertIfNegative val="0"/>
            <c:bubble3D val="0"/>
            <c:spPr>
              <a:gradFill>
                <a:gsLst>
                  <a:gs pos="0">
                    <a:schemeClr val="accent1"/>
                  </a:gs>
                  <a:gs pos="50000">
                    <a:srgbClr val="22A3BC"/>
                  </a:gs>
                  <a:gs pos="100000">
                    <a:schemeClr val="accent5"/>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B-ACAB-47B6-AE50-E023477AD05E}"/>
              </c:ext>
            </c:extLst>
          </c:dPt>
          <c:cat>
            <c:strRef>
              <c:f>SETTINGS!$R$11:$R$21</c:f>
              <c:strCache>
                <c:ptCount val="11"/>
                <c:pt idx="0">
                  <c:v>NO SETUP</c:v>
                </c:pt>
                <c:pt idx="1">
                  <c:v> Momentum </c:v>
                </c:pt>
                <c:pt idx="2">
                  <c:v> Bounce </c:v>
                </c:pt>
                <c:pt idx="3">
                  <c:v> Trend Follow </c:v>
                </c:pt>
                <c:pt idx="4">
                  <c:v> Swing Trade </c:v>
                </c:pt>
                <c:pt idx="5">
                  <c:v> Bottom fishing </c:v>
                </c:pt>
                <c:pt idx="6">
                  <c:v> My Setup 1 </c:v>
                </c:pt>
                <c:pt idx="7">
                  <c:v> My Setup 2 </c:v>
                </c:pt>
                <c:pt idx="8">
                  <c:v> My Setup 3 </c:v>
                </c:pt>
                <c:pt idx="9">
                  <c:v> My Setup 4 </c:v>
                </c:pt>
                <c:pt idx="10">
                  <c:v> My Setup 5 </c:v>
                </c:pt>
              </c:strCache>
            </c:strRef>
          </c:cat>
          <c:val>
            <c:numRef>
              <c:f>'TRADE LOG'!$DZ$2:$DZ$12</c:f>
              <c:numCache>
                <c:formatCode>General</c:formatCode>
                <c:ptCount val="11"/>
                <c:pt idx="0">
                  <c:v>1</c:v>
                </c:pt>
                <c:pt idx="1">
                  <c:v>1</c:v>
                </c:pt>
                <c:pt idx="2">
                  <c:v>1</c:v>
                </c:pt>
                <c:pt idx="3">
                  <c:v>0</c:v>
                </c:pt>
                <c:pt idx="4">
                  <c:v>1</c:v>
                </c:pt>
                <c:pt idx="5">
                  <c:v>0</c:v>
                </c:pt>
                <c:pt idx="6">
                  <c:v>0</c:v>
                </c:pt>
                <c:pt idx="7">
                  <c:v>0</c:v>
                </c:pt>
                <c:pt idx="8">
                  <c:v>0</c:v>
                </c:pt>
                <c:pt idx="9">
                  <c:v>0</c:v>
                </c:pt>
                <c:pt idx="10">
                  <c:v>0</c:v>
                </c:pt>
              </c:numCache>
            </c:numRef>
          </c:val>
          <c:extLst>
            <c:ext xmlns:c16="http://schemas.microsoft.com/office/drawing/2014/chart" uri="{C3380CC4-5D6E-409C-BE32-E72D297353CC}">
              <c16:uniqueId val="{0000000C-ACAB-47B6-AE50-E023477AD05E}"/>
            </c:ext>
          </c:extLst>
        </c:ser>
        <c:ser>
          <c:idx val="0"/>
          <c:order val="1"/>
          <c:tx>
            <c:v>Unprofitable%</c:v>
          </c:tx>
          <c:spPr>
            <a:gradFill>
              <a:gsLst>
                <a:gs pos="100000">
                  <a:schemeClr val="accent2">
                    <a:alpha val="50000"/>
                  </a:schemeClr>
                </a:gs>
                <a:gs pos="50000">
                  <a:schemeClr val="accent2"/>
                </a:gs>
              </a:gsLst>
              <a:lin ang="5400000" scaled="1"/>
            </a:gradFill>
            <a:ln w="28575" cap="flat" cmpd="sng" algn="ctr">
              <a:solidFill>
                <a:schemeClr val="accent5"/>
              </a:solidFill>
              <a:prstDash val="solid"/>
              <a:round/>
              <a:headEnd type="none" w="med" len="med"/>
              <a:tailEnd type="none" w="med" len="med"/>
            </a:ln>
            <a:effectLst/>
          </c:spPr>
          <c:invertIfNegative val="0"/>
          <c:dPt>
            <c:idx val="0"/>
            <c:invertIfNegative val="0"/>
            <c:bubble3D val="0"/>
            <c:spPr>
              <a:gradFill>
                <a:gsLst>
                  <a:gs pos="100000">
                    <a:schemeClr val="accent2">
                      <a:alpha val="50000"/>
                    </a:schemeClr>
                  </a:gs>
                  <a:gs pos="50000">
                    <a:schemeClr val="accent2"/>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16-25C9-4922-88F5-1B783487C286}"/>
              </c:ext>
            </c:extLst>
          </c:dPt>
          <c:dPt>
            <c:idx val="1"/>
            <c:invertIfNegative val="0"/>
            <c:bubble3D val="0"/>
            <c:spPr>
              <a:gradFill>
                <a:gsLst>
                  <a:gs pos="100000">
                    <a:schemeClr val="accent2">
                      <a:alpha val="50000"/>
                    </a:schemeClr>
                  </a:gs>
                  <a:gs pos="50000">
                    <a:schemeClr val="accent2"/>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E-ACAB-47B6-AE50-E023477AD05E}"/>
              </c:ext>
            </c:extLst>
          </c:dPt>
          <c:dPt>
            <c:idx val="2"/>
            <c:invertIfNegative val="0"/>
            <c:bubble3D val="0"/>
            <c:spPr>
              <a:gradFill>
                <a:gsLst>
                  <a:gs pos="100000">
                    <a:schemeClr val="accent2">
                      <a:alpha val="50000"/>
                    </a:schemeClr>
                  </a:gs>
                  <a:gs pos="50000">
                    <a:schemeClr val="accent2"/>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10-ACAB-47B6-AE50-E023477AD05E}"/>
              </c:ext>
            </c:extLst>
          </c:dPt>
          <c:dPt>
            <c:idx val="3"/>
            <c:invertIfNegative val="0"/>
            <c:bubble3D val="0"/>
            <c:spPr>
              <a:gradFill>
                <a:gsLst>
                  <a:gs pos="100000">
                    <a:schemeClr val="accent2">
                      <a:alpha val="50000"/>
                    </a:schemeClr>
                  </a:gs>
                  <a:gs pos="50000">
                    <a:schemeClr val="accent2"/>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12-ACAB-47B6-AE50-E023477AD05E}"/>
              </c:ext>
            </c:extLst>
          </c:dPt>
          <c:dPt>
            <c:idx val="4"/>
            <c:invertIfNegative val="0"/>
            <c:bubble3D val="0"/>
            <c:spPr>
              <a:gradFill>
                <a:gsLst>
                  <a:gs pos="100000">
                    <a:schemeClr val="accent2">
                      <a:alpha val="50000"/>
                    </a:schemeClr>
                  </a:gs>
                  <a:gs pos="50000">
                    <a:schemeClr val="accent2"/>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14-ACAB-47B6-AE50-E023477AD05E}"/>
              </c:ext>
            </c:extLst>
          </c:dPt>
          <c:dPt>
            <c:idx val="5"/>
            <c:invertIfNegative val="0"/>
            <c:bubble3D val="0"/>
            <c:spPr>
              <a:gradFill>
                <a:gsLst>
                  <a:gs pos="100000">
                    <a:schemeClr val="accent2">
                      <a:alpha val="50000"/>
                    </a:schemeClr>
                  </a:gs>
                  <a:gs pos="50000">
                    <a:schemeClr val="accent2"/>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16-ACAB-47B6-AE50-E023477AD05E}"/>
              </c:ext>
            </c:extLst>
          </c:dPt>
          <c:cat>
            <c:strRef>
              <c:f>SETTINGS!$R$11:$R$21</c:f>
              <c:strCache>
                <c:ptCount val="11"/>
                <c:pt idx="0">
                  <c:v>NO SETUP</c:v>
                </c:pt>
                <c:pt idx="1">
                  <c:v> Momentum </c:v>
                </c:pt>
                <c:pt idx="2">
                  <c:v> Bounce </c:v>
                </c:pt>
                <c:pt idx="3">
                  <c:v> Trend Follow </c:v>
                </c:pt>
                <c:pt idx="4">
                  <c:v> Swing Trade </c:v>
                </c:pt>
                <c:pt idx="5">
                  <c:v> Bottom fishing </c:v>
                </c:pt>
                <c:pt idx="6">
                  <c:v> My Setup 1 </c:v>
                </c:pt>
                <c:pt idx="7">
                  <c:v> My Setup 2 </c:v>
                </c:pt>
                <c:pt idx="8">
                  <c:v> My Setup 3 </c:v>
                </c:pt>
                <c:pt idx="9">
                  <c:v> My Setup 4 </c:v>
                </c:pt>
                <c:pt idx="10">
                  <c:v> My Setup 5 </c:v>
                </c:pt>
              </c:strCache>
            </c:strRef>
          </c:cat>
          <c:val>
            <c:numRef>
              <c:f>'TRADE LOG'!$DY$2:$DY$12</c:f>
              <c:numCache>
                <c:formatCode>General</c:formatCode>
                <c:ptCount val="11"/>
                <c:pt idx="0">
                  <c:v>0.29478105672307459</c:v>
                </c:pt>
                <c:pt idx="1">
                  <c:v>0.11885592218925627</c:v>
                </c:pt>
                <c:pt idx="2">
                  <c:v>0.42959410807274073</c:v>
                </c:pt>
                <c:pt idx="3">
                  <c:v>0</c:v>
                </c:pt>
                <c:pt idx="4">
                  <c:v>0.57403001247608154</c:v>
                </c:pt>
                <c:pt idx="5">
                  <c:v>0</c:v>
                </c:pt>
                <c:pt idx="6">
                  <c:v>0</c:v>
                </c:pt>
                <c:pt idx="7">
                  <c:v>0</c:v>
                </c:pt>
                <c:pt idx="8">
                  <c:v>0</c:v>
                </c:pt>
                <c:pt idx="9">
                  <c:v>0</c:v>
                </c:pt>
                <c:pt idx="10">
                  <c:v>0</c:v>
                </c:pt>
              </c:numCache>
            </c:numRef>
          </c:val>
          <c:extLst>
            <c:ext xmlns:c16="http://schemas.microsoft.com/office/drawing/2014/chart" uri="{C3380CC4-5D6E-409C-BE32-E72D297353CC}">
              <c16:uniqueId val="{00000017-ACAB-47B6-AE50-E023477AD05E}"/>
            </c:ext>
          </c:extLst>
        </c:ser>
        <c:dLbls>
          <c:showLegendKey val="0"/>
          <c:showVal val="0"/>
          <c:showCatName val="0"/>
          <c:showSerName val="0"/>
          <c:showPercent val="0"/>
          <c:showBubbleSize val="0"/>
        </c:dLbls>
        <c:gapWidth val="0"/>
        <c:overlap val="100"/>
        <c:axId val="478901432"/>
        <c:axId val="478905040"/>
      </c:barChart>
      <c:lineChart>
        <c:grouping val="standard"/>
        <c:varyColors val="0"/>
        <c:ser>
          <c:idx val="3"/>
          <c:order val="2"/>
          <c:tx>
            <c:v>Win Rate%</c:v>
          </c:tx>
          <c:spPr>
            <a:ln w="19050" cap="rnd">
              <a:noFill/>
              <a:round/>
            </a:ln>
            <a:effectLst>
              <a:outerShdw blurRad="25400" dist="25400" dir="5400000" algn="ctr" rotWithShape="0">
                <a:schemeClr val="tx1">
                  <a:lumMod val="95000"/>
                  <a:lumOff val="5000"/>
                </a:schemeClr>
              </a:outerShdw>
            </a:effectLst>
          </c:spPr>
          <c:marker>
            <c:symbol val="dash"/>
            <c:size val="5"/>
            <c:spPr>
              <a:solidFill>
                <a:schemeClr val="bg1"/>
              </a:solidFill>
              <a:ln w="12700">
                <a:solidFill>
                  <a:schemeClr val="bg1"/>
                </a:solidFill>
              </a:ln>
              <a:effectLst>
                <a:outerShdw blurRad="25400" dist="25400" dir="5400000" algn="ctr" rotWithShape="0">
                  <a:schemeClr val="tx1">
                    <a:lumMod val="95000"/>
                    <a:lumOff val="5000"/>
                  </a:scheme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ln w="3175">
                      <a:noFill/>
                    </a:ln>
                    <a:solidFill>
                      <a:schemeClr val="accent5"/>
                    </a:solidFill>
                    <a:latin typeface="Arial Narrow" panose="020B060602020203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fixedVal"/>
            <c:noEndCap val="1"/>
            <c:val val="0"/>
            <c:spPr>
              <a:noFill/>
              <a:ln w="9525" cap="flat" cmpd="sng" algn="ctr">
                <a:solidFill>
                  <a:schemeClr val="tx1">
                    <a:lumMod val="65000"/>
                    <a:lumOff val="35000"/>
                  </a:schemeClr>
                </a:solidFill>
                <a:round/>
              </a:ln>
              <a:effectLst/>
            </c:spPr>
          </c:errBars>
          <c:cat>
            <c:strRef>
              <c:f>SETTINGS!$R$11:$R$21</c:f>
              <c:strCache>
                <c:ptCount val="11"/>
                <c:pt idx="0">
                  <c:v>NO SETUP</c:v>
                </c:pt>
                <c:pt idx="1">
                  <c:v> Momentum </c:v>
                </c:pt>
                <c:pt idx="2">
                  <c:v> Bounce </c:v>
                </c:pt>
                <c:pt idx="3">
                  <c:v> Trend Follow </c:v>
                </c:pt>
                <c:pt idx="4">
                  <c:v> Swing Trade </c:v>
                </c:pt>
                <c:pt idx="5">
                  <c:v> Bottom fishing </c:v>
                </c:pt>
                <c:pt idx="6">
                  <c:v> My Setup 1 </c:v>
                </c:pt>
                <c:pt idx="7">
                  <c:v> My Setup 2 </c:v>
                </c:pt>
                <c:pt idx="8">
                  <c:v> My Setup 3 </c:v>
                </c:pt>
                <c:pt idx="9">
                  <c:v> My Setup 4 </c:v>
                </c:pt>
                <c:pt idx="10">
                  <c:v> My Setup 5 </c:v>
                </c:pt>
              </c:strCache>
            </c:strRef>
          </c:cat>
          <c:val>
            <c:numRef>
              <c:f>'TRADE LOG'!$DU$2:$DU$12</c:f>
              <c:numCache>
                <c:formatCode>0%</c:formatCode>
                <c:ptCount val="11"/>
                <c:pt idx="0">
                  <c:v>0.43333333333333335</c:v>
                </c:pt>
                <c:pt idx="1">
                  <c:v>0.66666666666666663</c:v>
                </c:pt>
                <c:pt idx="2">
                  <c:v>0.41666666666666669</c:v>
                </c:pt>
                <c:pt idx="3">
                  <c:v>0</c:v>
                </c:pt>
                <c:pt idx="4">
                  <c:v>0.42857142857142855</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18-ACAB-47B6-AE50-E023477AD05E}"/>
            </c:ext>
          </c:extLst>
        </c:ser>
        <c:dLbls>
          <c:showLegendKey val="0"/>
          <c:showVal val="0"/>
          <c:showCatName val="0"/>
          <c:showSerName val="0"/>
          <c:showPercent val="0"/>
          <c:showBubbleSize val="0"/>
        </c:dLbls>
        <c:marker val="1"/>
        <c:smooth val="0"/>
        <c:axId val="478901432"/>
        <c:axId val="478905040"/>
      </c:lineChart>
      <c:catAx>
        <c:axId val="478901432"/>
        <c:scaling>
          <c:orientation val="minMax"/>
        </c:scaling>
        <c:delete val="0"/>
        <c:axPos val="b"/>
        <c:numFmt formatCode="General" sourceLinked="1"/>
        <c:majorTickMark val="none"/>
        <c:minorTickMark val="out"/>
        <c:tickLblPos val="nextTo"/>
        <c:spPr>
          <a:noFill/>
          <a:ln w="9525" cap="flat" cmpd="sng" algn="ctr">
            <a:solidFill>
              <a:schemeClr val="tx1">
                <a:lumMod val="75000"/>
                <a:lumOff val="25000"/>
              </a:schemeClr>
            </a:solidFill>
            <a:round/>
          </a:ln>
          <a:effectLst/>
        </c:spPr>
        <c:txPr>
          <a:bodyPr rot="-2700000" spcFirstLastPara="1" vertOverflow="ellipsis" wrap="square" anchor="ctr" anchorCtr="1"/>
          <a:lstStyle/>
          <a:p>
            <a:pPr>
              <a:defRPr sz="800" b="0" i="0" u="none" strike="noStrike" kern="1200" baseline="0">
                <a:solidFill>
                  <a:schemeClr val="tx2"/>
                </a:solidFill>
                <a:latin typeface="Bahnschrift SemiLight SemiConde" panose="020B0502040204020203" pitchFamily="34" charset="0"/>
                <a:ea typeface="+mn-ea"/>
                <a:cs typeface="Arial" panose="020B0604020202020204" pitchFamily="34" charset="0"/>
              </a:defRPr>
            </a:pPr>
            <a:endParaRPr lang="en-US"/>
          </a:p>
        </c:txPr>
        <c:crossAx val="478905040"/>
        <c:crossesAt val="0"/>
        <c:auto val="0"/>
        <c:lblAlgn val="ctr"/>
        <c:lblOffset val="50"/>
        <c:tickMarkSkip val="1"/>
        <c:noMultiLvlLbl val="0"/>
      </c:catAx>
      <c:valAx>
        <c:axId val="478905040"/>
        <c:scaling>
          <c:orientation val="minMax"/>
          <c:max val="1"/>
        </c:scaling>
        <c:delete val="0"/>
        <c:axPos val="r"/>
        <c:numFmt formatCode="&quot;&quot;"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478901432"/>
        <c:crosses val="max"/>
        <c:crossBetween val="between"/>
        <c:minorUnit val="0.2"/>
      </c:valAx>
      <c:spPr>
        <a:noFill/>
        <a:ln>
          <a:noFill/>
        </a:ln>
        <a:effectLst/>
      </c:spPr>
    </c:plotArea>
    <c:legend>
      <c:legendPos val="r"/>
      <c:layout>
        <c:manualLayout>
          <c:xMode val="edge"/>
          <c:yMode val="edge"/>
          <c:x val="3.6494314936128674E-2"/>
          <c:y val="0.89640676494385574"/>
          <c:w val="0.89670341300637058"/>
          <c:h val="9.90983256218492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Arial" panose="020B0604020202020204" pitchFamily="34" charset="0"/>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35828189780116"/>
          <c:y val="0.11412481456712381"/>
          <c:w val="0.80823295407712958"/>
          <c:h val="0.64188174080657134"/>
        </c:manualLayout>
      </c:layout>
      <c:barChart>
        <c:barDir val="col"/>
        <c:grouping val="clustered"/>
        <c:varyColors val="0"/>
        <c:ser>
          <c:idx val="0"/>
          <c:order val="0"/>
          <c:spPr>
            <a:gradFill flip="none" rotWithShape="1">
              <a:gsLst>
                <a:gs pos="79000">
                  <a:schemeClr val="accent3">
                    <a:alpha val="67000"/>
                  </a:schemeClr>
                </a:gs>
                <a:gs pos="27000">
                  <a:schemeClr val="accent2"/>
                </a:gs>
              </a:gsLst>
              <a:lin ang="5400000" scaled="1"/>
              <a:tileRect/>
            </a:gradFill>
            <a:ln>
              <a:noFill/>
            </a:ln>
            <a:effectLst/>
          </c:spPr>
          <c:invertIfNegative val="0"/>
          <c:dPt>
            <c:idx val="0"/>
            <c:invertIfNegative val="0"/>
            <c:bubble3D val="0"/>
            <c:spPr>
              <a:gradFill flip="none" rotWithShape="1">
                <a:gsLst>
                  <a:gs pos="100000">
                    <a:schemeClr val="accent3"/>
                  </a:gs>
                  <a:gs pos="50000">
                    <a:schemeClr val="accent2"/>
                  </a:gs>
                </a:gsLst>
                <a:lin ang="5400000" scaled="1"/>
                <a:tileRect/>
              </a:gradFill>
              <a:ln>
                <a:noFill/>
              </a:ln>
              <a:effectLst/>
            </c:spPr>
            <c:extLst>
              <c:ext xmlns:c16="http://schemas.microsoft.com/office/drawing/2014/chart" uri="{C3380CC4-5D6E-409C-BE32-E72D297353CC}">
                <c16:uniqueId val="{00000005-03F0-415E-923B-DFDF0944E9E4}"/>
              </c:ext>
            </c:extLst>
          </c:dPt>
          <c:dPt>
            <c:idx val="1"/>
            <c:invertIfNegative val="0"/>
            <c:bubble3D val="0"/>
            <c:spPr>
              <a:gradFill flip="none" rotWithShape="1">
                <a:gsLst>
                  <a:gs pos="100000">
                    <a:schemeClr val="accent3"/>
                  </a:gs>
                  <a:gs pos="50000">
                    <a:schemeClr val="accent2"/>
                  </a:gs>
                </a:gsLst>
                <a:lin ang="5400000" scaled="1"/>
                <a:tileRect/>
              </a:gradFill>
              <a:ln>
                <a:noFill/>
              </a:ln>
              <a:effectLst/>
            </c:spPr>
            <c:extLst>
              <c:ext xmlns:c16="http://schemas.microsoft.com/office/drawing/2014/chart" uri="{C3380CC4-5D6E-409C-BE32-E72D297353CC}">
                <c16:uniqueId val="{00000006-03F0-415E-923B-DFDF0944E9E4}"/>
              </c:ext>
            </c:extLst>
          </c:dPt>
          <c:dPt>
            <c:idx val="2"/>
            <c:invertIfNegative val="0"/>
            <c:bubble3D val="0"/>
            <c:spPr>
              <a:gradFill flip="none" rotWithShape="1">
                <a:gsLst>
                  <a:gs pos="100000">
                    <a:schemeClr val="accent3"/>
                  </a:gs>
                  <a:gs pos="50000">
                    <a:schemeClr val="accent2"/>
                  </a:gs>
                </a:gsLst>
                <a:lin ang="5400000" scaled="1"/>
                <a:tileRect/>
              </a:gradFill>
              <a:ln>
                <a:noFill/>
              </a:ln>
              <a:effectLst/>
            </c:spPr>
            <c:extLst>
              <c:ext xmlns:c16="http://schemas.microsoft.com/office/drawing/2014/chart" uri="{C3380CC4-5D6E-409C-BE32-E72D297353CC}">
                <c16:uniqueId val="{00000002-03F0-415E-923B-DFDF0944E9E4}"/>
              </c:ext>
            </c:extLst>
          </c:dPt>
          <c:dPt>
            <c:idx val="3"/>
            <c:invertIfNegative val="0"/>
            <c:bubble3D val="0"/>
            <c:spPr>
              <a:gradFill flip="none" rotWithShape="1">
                <a:gsLst>
                  <a:gs pos="100000">
                    <a:schemeClr val="accent3"/>
                  </a:gs>
                  <a:gs pos="50000">
                    <a:schemeClr val="tx2"/>
                  </a:gs>
                </a:gsLst>
                <a:lin ang="5400000" scaled="1"/>
                <a:tileRect/>
              </a:gradFill>
              <a:ln>
                <a:noFill/>
              </a:ln>
              <a:effectLst/>
            </c:spPr>
            <c:extLst>
              <c:ext xmlns:c16="http://schemas.microsoft.com/office/drawing/2014/chart" uri="{C3380CC4-5D6E-409C-BE32-E72D297353CC}">
                <c16:uniqueId val="{00000008-03F0-415E-923B-DFDF0944E9E4}"/>
              </c:ext>
            </c:extLst>
          </c:dPt>
          <c:dPt>
            <c:idx val="4"/>
            <c:invertIfNegative val="0"/>
            <c:bubble3D val="0"/>
            <c:spPr>
              <a:gradFill flip="none" rotWithShape="1">
                <a:gsLst>
                  <a:gs pos="100000">
                    <a:schemeClr val="accent3"/>
                  </a:gs>
                  <a:gs pos="50000">
                    <a:schemeClr val="accent1"/>
                  </a:gs>
                </a:gsLst>
                <a:lin ang="5400000" scaled="1"/>
                <a:tileRect/>
              </a:gradFill>
              <a:ln>
                <a:noFill/>
              </a:ln>
              <a:effectLst/>
            </c:spPr>
            <c:extLst>
              <c:ext xmlns:c16="http://schemas.microsoft.com/office/drawing/2014/chart" uri="{C3380CC4-5D6E-409C-BE32-E72D297353CC}">
                <c16:uniqueId val="{00000008-9047-433A-BD28-D0F33D67332C}"/>
              </c:ext>
            </c:extLst>
          </c:dPt>
          <c:dPt>
            <c:idx val="5"/>
            <c:invertIfNegative val="0"/>
            <c:bubble3D val="0"/>
            <c:spPr>
              <a:gradFill>
                <a:gsLst>
                  <a:gs pos="100000">
                    <a:schemeClr val="accent3"/>
                  </a:gs>
                  <a:gs pos="50000">
                    <a:schemeClr val="accent1"/>
                  </a:gs>
                </a:gsLst>
                <a:lin ang="5400000" scaled="1"/>
              </a:gradFill>
              <a:ln>
                <a:noFill/>
              </a:ln>
              <a:effectLst/>
            </c:spPr>
            <c:extLst>
              <c:ext xmlns:c16="http://schemas.microsoft.com/office/drawing/2014/chart" uri="{C3380CC4-5D6E-409C-BE32-E72D297353CC}">
                <c16:uniqueId val="{0000000C-E520-4167-BA51-54E9620BE395}"/>
              </c:ext>
            </c:extLst>
          </c:dPt>
          <c:dPt>
            <c:idx val="6"/>
            <c:invertIfNegative val="0"/>
            <c:bubble3D val="0"/>
            <c:spPr>
              <a:gradFill flip="none" rotWithShape="1">
                <a:gsLst>
                  <a:gs pos="100000">
                    <a:schemeClr val="accent3"/>
                  </a:gs>
                  <a:gs pos="50000">
                    <a:schemeClr val="accent1"/>
                  </a:gs>
                </a:gsLst>
                <a:lin ang="5400000" scaled="1"/>
                <a:tileRect/>
              </a:gradFill>
              <a:ln>
                <a:noFill/>
              </a:ln>
              <a:effectLst/>
            </c:spPr>
            <c:extLst>
              <c:ext xmlns:c16="http://schemas.microsoft.com/office/drawing/2014/chart" uri="{C3380CC4-5D6E-409C-BE32-E72D297353CC}">
                <c16:uniqueId val="{00000009-9047-433A-BD28-D0F33D67332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DASHBOARD!$AD$33:$AD$39</c:f>
              <c:strCache>
                <c:ptCount val="7"/>
                <c:pt idx="0">
                  <c:v>&lt; -1R</c:v>
                </c:pt>
                <c:pt idx="1">
                  <c:v>-1R</c:v>
                </c:pt>
                <c:pt idx="2">
                  <c:v>0R to -1R</c:v>
                </c:pt>
                <c:pt idx="3">
                  <c:v>0R</c:v>
                </c:pt>
                <c:pt idx="4">
                  <c:v>0R to 2R</c:v>
                </c:pt>
                <c:pt idx="5">
                  <c:v>2R</c:v>
                </c:pt>
                <c:pt idx="6">
                  <c:v>&gt;2R</c:v>
                </c:pt>
              </c:strCache>
            </c:strRef>
          </c:cat>
          <c:val>
            <c:numRef>
              <c:f>DASHBOARD!$AH$33:$AH$39</c:f>
              <c:numCache>
                <c:formatCode>0%</c:formatCode>
                <c:ptCount val="7"/>
                <c:pt idx="0">
                  <c:v>9.0909090909090912E-2</c:v>
                </c:pt>
                <c:pt idx="1">
                  <c:v>1.8181818181818181E-2</c:v>
                </c:pt>
                <c:pt idx="2">
                  <c:v>0.41818181818181815</c:v>
                </c:pt>
                <c:pt idx="3">
                  <c:v>3.6363636363636362E-2</c:v>
                </c:pt>
                <c:pt idx="4">
                  <c:v>0.36363636363636365</c:v>
                </c:pt>
                <c:pt idx="5">
                  <c:v>1.8181818181818181E-2</c:v>
                </c:pt>
                <c:pt idx="6">
                  <c:v>5.4545454545454543E-2</c:v>
                </c:pt>
              </c:numCache>
            </c:numRef>
          </c:val>
          <c:extLst>
            <c:ext xmlns:c16="http://schemas.microsoft.com/office/drawing/2014/chart" uri="{C3380CC4-5D6E-409C-BE32-E72D297353CC}">
              <c16:uniqueId val="{00000000-03F0-415E-923B-DFDF0944E9E4}"/>
            </c:ext>
          </c:extLst>
        </c:ser>
        <c:dLbls>
          <c:dLblPos val="outEnd"/>
          <c:showLegendKey val="0"/>
          <c:showVal val="1"/>
          <c:showCatName val="0"/>
          <c:showSerName val="0"/>
          <c:showPercent val="0"/>
          <c:showBubbleSize val="0"/>
        </c:dLbls>
        <c:gapWidth val="20"/>
        <c:overlap val="7"/>
        <c:axId val="423112920"/>
        <c:axId val="423111280"/>
      </c:barChart>
      <c:catAx>
        <c:axId val="423112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crossAx val="423111280"/>
        <c:crosses val="autoZero"/>
        <c:auto val="1"/>
        <c:lblAlgn val="ctr"/>
        <c:lblOffset val="100"/>
        <c:noMultiLvlLbl val="0"/>
      </c:catAx>
      <c:valAx>
        <c:axId val="423111280"/>
        <c:scaling>
          <c:orientation val="minMax"/>
        </c:scaling>
        <c:delete val="1"/>
        <c:axPos val="l"/>
        <c:title>
          <c:tx>
            <c:rich>
              <a:bodyPr rot="-5400000" spcFirstLastPara="1" vertOverflow="ellipsis" vert="horz" wrap="square" anchor="ctr" anchorCtr="1"/>
              <a:lstStyle/>
              <a:p>
                <a:pPr>
                  <a:defRPr sz="800" b="0" i="0" u="none" strike="noStrike" kern="1200" baseline="0">
                    <a:solidFill>
                      <a:schemeClr val="tx2"/>
                    </a:solidFill>
                    <a:latin typeface="Arial" panose="020B0604020202020204" pitchFamily="34" charset="0"/>
                    <a:ea typeface="+mn-ea"/>
                    <a:cs typeface="Arial" panose="020B0604020202020204" pitchFamily="34" charset="0"/>
                  </a:defRPr>
                </a:pPr>
                <a:r>
                  <a:rPr lang="en-US" sz="800" i="0">
                    <a:solidFill>
                      <a:schemeClr val="tx2"/>
                    </a:solidFill>
                    <a:latin typeface="Arial" panose="020B0604020202020204" pitchFamily="34" charset="0"/>
                    <a:cs typeface="Arial" panose="020B0604020202020204" pitchFamily="34" charset="0"/>
                  </a:rPr>
                  <a:t>Total trades %</a:t>
                </a:r>
              </a:p>
            </c:rich>
          </c:tx>
          <c:layout>
            <c:manualLayout>
              <c:xMode val="edge"/>
              <c:yMode val="edge"/>
              <c:x val="3.8204382012534649E-2"/>
              <c:y val="0.12429378531073447"/>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crossAx val="423112920"/>
        <c:crosses val="autoZero"/>
        <c:crossBetween val="between"/>
      </c:valAx>
      <c:spPr>
        <a:gradFill>
          <a:gsLst>
            <a:gs pos="15000">
              <a:schemeClr val="accent6">
                <a:alpha val="50000"/>
              </a:schemeClr>
            </a:gs>
            <a:gs pos="100000">
              <a:schemeClr val="accent6">
                <a:alpha val="0"/>
              </a:schemeClr>
            </a:gs>
          </a:gsLst>
          <a:lin ang="16200000" scaled="1"/>
        </a:grad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097481046846832E-2"/>
          <c:y val="3.0175823996563447E-2"/>
          <c:w val="0.9579044619422572"/>
          <c:h val="0.93998864525632564"/>
        </c:manualLayout>
      </c:layout>
      <c:doughnutChart>
        <c:varyColors val="1"/>
        <c:ser>
          <c:idx val="0"/>
          <c:order val="0"/>
          <c:spPr>
            <a:ln w="25400" cap="flat" cmpd="sng" algn="ctr">
              <a:noFill/>
              <a:prstDash val="solid"/>
              <a:round/>
              <a:headEnd type="none" w="med" len="med"/>
              <a:tailEnd type="none" w="med" len="med"/>
            </a:ln>
            <a:effectLst/>
          </c:spPr>
          <c:dPt>
            <c:idx val="0"/>
            <c:bubble3D val="0"/>
            <c:spPr>
              <a:gradFill flip="none" rotWithShape="1">
                <a:gsLst>
                  <a:gs pos="80000">
                    <a:schemeClr val="accent2"/>
                  </a:gs>
                  <a:gs pos="23000">
                    <a:schemeClr val="accent1"/>
                  </a:gs>
                </a:gsLst>
                <a:lin ang="16200000" scaled="1"/>
                <a:tileRect/>
              </a:gradFill>
              <a:ln w="25400" cap="flat" cmpd="sng" algn="ctr">
                <a:noFill/>
                <a:prstDash val="solid"/>
                <a:round/>
                <a:headEnd type="none" w="med" len="med"/>
                <a:tailEnd type="none" w="med" len="med"/>
              </a:ln>
              <a:effectLst/>
            </c:spPr>
            <c:extLst>
              <c:ext xmlns:c16="http://schemas.microsoft.com/office/drawing/2014/chart" uri="{C3380CC4-5D6E-409C-BE32-E72D297353CC}">
                <c16:uniqueId val="{00000001-0763-46BE-9FC6-D97CDF0579CA}"/>
              </c:ext>
            </c:extLst>
          </c:dPt>
          <c:dPt>
            <c:idx val="1"/>
            <c:bubble3D val="0"/>
            <c:spPr>
              <a:solidFill>
                <a:schemeClr val="accent3">
                  <a:alpha val="64000"/>
                </a:schemeClr>
              </a:solidFill>
              <a:ln w="25400" cap="flat" cmpd="sng" algn="ctr">
                <a:noFill/>
                <a:prstDash val="solid"/>
                <a:round/>
                <a:headEnd type="none" w="med" len="med"/>
                <a:tailEnd type="none" w="med" len="med"/>
              </a:ln>
              <a:effectLst/>
            </c:spPr>
            <c:extLst>
              <c:ext xmlns:c16="http://schemas.microsoft.com/office/drawing/2014/chart" uri="{C3380CC4-5D6E-409C-BE32-E72D297353CC}">
                <c16:uniqueId val="{00000003-0763-46BE-9FC6-D97CDF0579CA}"/>
              </c:ext>
            </c:extLst>
          </c:dPt>
          <c:val>
            <c:numRef>
              <c:f>DASHBOARD!$P$13:$Q$13</c:f>
              <c:numCache>
                <c:formatCode>0</c:formatCode>
                <c:ptCount val="2"/>
                <c:pt idx="0">
                  <c:v>25</c:v>
                </c:pt>
                <c:pt idx="1">
                  <c:v>30</c:v>
                </c:pt>
              </c:numCache>
            </c:numRef>
          </c:val>
          <c:extLst>
            <c:ext xmlns:c16="http://schemas.microsoft.com/office/drawing/2014/chart" uri="{C3380CC4-5D6E-409C-BE32-E72D297353CC}">
              <c16:uniqueId val="{00000004-0763-46BE-9FC6-D97CDF0579CA}"/>
            </c:ext>
          </c:extLst>
        </c:ser>
        <c:dLbls>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6.png"/><Relationship Id="rId18" Type="http://schemas.openxmlformats.org/officeDocument/2006/relationships/image" Target="../media/image7.emf"/><Relationship Id="rId3" Type="http://schemas.openxmlformats.org/officeDocument/2006/relationships/chart" Target="../charts/chart3.xml"/><Relationship Id="rId7" Type="http://schemas.microsoft.com/office/2007/relationships/hdphoto" Target="../media/hdphoto2.wdp"/><Relationship Id="rId12" Type="http://schemas.openxmlformats.org/officeDocument/2006/relationships/hyperlink" Target="#SETTINGS!A1"/><Relationship Id="rId17" Type="http://schemas.openxmlformats.org/officeDocument/2006/relationships/chart" Target="../charts/chart10.xml"/><Relationship Id="rId2" Type="http://schemas.openxmlformats.org/officeDocument/2006/relationships/chart" Target="../charts/chart2.xml"/><Relationship Id="rId16" Type="http://schemas.openxmlformats.org/officeDocument/2006/relationships/chart" Target="../charts/chart9.xml"/><Relationship Id="rId1" Type="http://schemas.openxmlformats.org/officeDocument/2006/relationships/chart" Target="../charts/chart1.xml"/><Relationship Id="rId6" Type="http://schemas.openxmlformats.org/officeDocument/2006/relationships/image" Target="../media/image4.png"/><Relationship Id="rId11" Type="http://schemas.openxmlformats.org/officeDocument/2006/relationships/image" Target="../media/image5.png"/><Relationship Id="rId5" Type="http://schemas.openxmlformats.org/officeDocument/2006/relationships/hyperlink" Target="#'Trade Log'!D15"/><Relationship Id="rId15" Type="http://schemas.openxmlformats.org/officeDocument/2006/relationships/chart" Target="../charts/chart8.xml"/><Relationship Id="rId10" Type="http://schemas.openxmlformats.org/officeDocument/2006/relationships/chart" Target="../charts/chart7.xml"/><Relationship Id="rId19" Type="http://schemas.openxmlformats.org/officeDocument/2006/relationships/image" Target="../media/image8.png"/><Relationship Id="rId4" Type="http://schemas.openxmlformats.org/officeDocument/2006/relationships/chart" Target="../charts/chart4.xml"/><Relationship Id="rId9" Type="http://schemas.openxmlformats.org/officeDocument/2006/relationships/chart" Target="../charts/chart6.xml"/><Relationship Id="rId14" Type="http://schemas.microsoft.com/office/2007/relationships/hdphoto" Target="../media/hdphoto3.wdp"/></Relationships>
</file>

<file path=xl/drawings/_rels/drawing4.xml.rels><?xml version="1.0" encoding="UTF-8" standalone="yes"?>
<Relationships xmlns="http://schemas.openxmlformats.org/package/2006/relationships"><Relationship Id="rId8" Type="http://schemas.openxmlformats.org/officeDocument/2006/relationships/image" Target="../media/image14.png"/><Relationship Id="rId13" Type="http://schemas.openxmlformats.org/officeDocument/2006/relationships/image" Target="../media/image17.png"/><Relationship Id="rId18" Type="http://schemas.openxmlformats.org/officeDocument/2006/relationships/image" Target="../media/image19.png"/><Relationship Id="rId3" Type="http://schemas.openxmlformats.org/officeDocument/2006/relationships/chart" Target="../charts/chart11.xml"/><Relationship Id="rId7" Type="http://schemas.openxmlformats.org/officeDocument/2006/relationships/hyperlink" Target="#SETTINGS!A1"/><Relationship Id="rId12" Type="http://schemas.microsoft.com/office/2007/relationships/hdphoto" Target="../media/hdphoto4.wdp"/><Relationship Id="rId17" Type="http://schemas.openxmlformats.org/officeDocument/2006/relationships/image" Target="../media/image18.png"/><Relationship Id="rId2" Type="http://schemas.openxmlformats.org/officeDocument/2006/relationships/image" Target="../media/image11.png"/><Relationship Id="rId16" Type="http://schemas.openxmlformats.org/officeDocument/2006/relationships/image" Target="../media/image7.emf"/><Relationship Id="rId1" Type="http://schemas.openxmlformats.org/officeDocument/2006/relationships/image" Target="../media/image10.png"/><Relationship Id="rId6" Type="http://schemas.openxmlformats.org/officeDocument/2006/relationships/image" Target="../media/image13.png"/><Relationship Id="rId11" Type="http://schemas.openxmlformats.org/officeDocument/2006/relationships/image" Target="../media/image16.png"/><Relationship Id="rId5" Type="http://schemas.openxmlformats.org/officeDocument/2006/relationships/image" Target="../media/image5.png"/><Relationship Id="rId15" Type="http://schemas.microsoft.com/office/2007/relationships/hdphoto" Target="../media/hdphoto2.wdp"/><Relationship Id="rId10" Type="http://schemas.openxmlformats.org/officeDocument/2006/relationships/image" Target="../media/image15.png"/><Relationship Id="rId19" Type="http://schemas.openxmlformats.org/officeDocument/2006/relationships/image" Target="../media/image20.png"/><Relationship Id="rId4" Type="http://schemas.openxmlformats.org/officeDocument/2006/relationships/image" Target="../media/image12.png"/><Relationship Id="rId9" Type="http://schemas.openxmlformats.org/officeDocument/2006/relationships/chart" Target="../charts/chart12.xml"/><Relationship Id="rId1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hyperlink" Target="#SETTINGS!A1"/><Relationship Id="rId2" Type="http://schemas.openxmlformats.org/officeDocument/2006/relationships/image" Target="../media/image13.png"/><Relationship Id="rId1" Type="http://schemas.openxmlformats.org/officeDocument/2006/relationships/image" Target="../media/image5.png"/><Relationship Id="rId6" Type="http://schemas.openxmlformats.org/officeDocument/2006/relationships/image" Target="../media/image21.png"/><Relationship Id="rId5" Type="http://schemas.openxmlformats.org/officeDocument/2006/relationships/chart" Target="../charts/chart13.xml"/><Relationship Id="rId4" Type="http://schemas.openxmlformats.org/officeDocument/2006/relationships/image" Target="../media/image14.png"/></Relationships>
</file>

<file path=xl/drawings/_rels/drawing7.xml.rels><?xml version="1.0" encoding="UTF-8" standalone="yes"?>
<Relationships xmlns="http://schemas.openxmlformats.org/package/2006/relationships"><Relationship Id="rId8" Type="http://schemas.openxmlformats.org/officeDocument/2006/relationships/image" Target="../media/image22.png"/><Relationship Id="rId3" Type="http://schemas.openxmlformats.org/officeDocument/2006/relationships/chart" Target="../charts/chart16.xml"/><Relationship Id="rId7" Type="http://schemas.openxmlformats.org/officeDocument/2006/relationships/image" Target="../media/image14.png"/><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hyperlink" Target="#SETTINGS!A1"/><Relationship Id="rId5" Type="http://schemas.openxmlformats.org/officeDocument/2006/relationships/image" Target="../media/image13.png"/><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5.png"/><Relationship Id="rId1" Type="http://schemas.openxmlformats.org/officeDocument/2006/relationships/image" Target="../media/image23.png"/><Relationship Id="rId5" Type="http://schemas.openxmlformats.org/officeDocument/2006/relationships/image" Target="../media/image14.png"/><Relationship Id="rId4" Type="http://schemas.openxmlformats.org/officeDocument/2006/relationships/hyperlink" Target="#SETTINGS!A1"/></Relationships>
</file>

<file path=xl/drawings/_rels/drawing9.xml.rels><?xml version="1.0" encoding="UTF-8" standalone="yes"?>
<Relationships xmlns="http://schemas.openxmlformats.org/package/2006/relationships"><Relationship Id="rId8" Type="http://schemas.openxmlformats.org/officeDocument/2006/relationships/image" Target="../media/image27.png"/><Relationship Id="rId3" Type="http://schemas.openxmlformats.org/officeDocument/2006/relationships/image" Target="../media/image14.png"/><Relationship Id="rId7" Type="http://schemas.openxmlformats.org/officeDocument/2006/relationships/image" Target="../media/image26.png"/><Relationship Id="rId2" Type="http://schemas.openxmlformats.org/officeDocument/2006/relationships/image" Target="../media/image13.png"/><Relationship Id="rId1" Type="http://schemas.openxmlformats.org/officeDocument/2006/relationships/image" Target="../media/image5.png"/><Relationship Id="rId6" Type="http://schemas.openxmlformats.org/officeDocument/2006/relationships/image" Target="../media/image25.png"/><Relationship Id="rId11" Type="http://schemas.openxmlformats.org/officeDocument/2006/relationships/image" Target="../media/image17.png"/><Relationship Id="rId5" Type="http://schemas.openxmlformats.org/officeDocument/2006/relationships/image" Target="../media/image24.png"/><Relationship Id="rId10" Type="http://schemas.openxmlformats.org/officeDocument/2006/relationships/image" Target="../media/image28.png"/><Relationship Id="rId4" Type="http://schemas.openxmlformats.org/officeDocument/2006/relationships/chart" Target="../charts/chart17.xml"/><Relationship Id="rId9" Type="http://schemas.microsoft.com/office/2007/relationships/hdphoto" Target="../media/hdphoto5.wdp"/></Relationships>
</file>

<file path=xl/drawings/_rels/vmlDrawing1.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absolute">
    <xdr:from>
      <xdr:col>6</xdr:col>
      <xdr:colOff>119063</xdr:colOff>
      <xdr:row>8</xdr:row>
      <xdr:rowOff>78105</xdr:rowOff>
    </xdr:from>
    <xdr:to>
      <xdr:col>6</xdr:col>
      <xdr:colOff>4270058</xdr:colOff>
      <xdr:row>11</xdr:row>
      <xdr:rowOff>40005</xdr:rowOff>
    </xdr:to>
    <xdr:sp macro="[0]!aFormb" textlink="">
      <xdr:nvSpPr>
        <xdr:cNvPr id="2" name="activateB">
          <a:extLst>
            <a:ext uri="{FF2B5EF4-FFF2-40B4-BE49-F238E27FC236}">
              <a16:creationId xmlns:a16="http://schemas.microsoft.com/office/drawing/2014/main" id="{00000000-0008-0000-0000-000002000000}"/>
            </a:ext>
          </a:extLst>
        </xdr:cNvPr>
        <xdr:cNvSpPr/>
      </xdr:nvSpPr>
      <xdr:spPr>
        <a:xfrm>
          <a:off x="4443413" y="3516630"/>
          <a:ext cx="4150995" cy="495300"/>
        </a:xfrm>
        <a:prstGeom prst="roundRect">
          <a:avLst>
            <a:gd name="adj" fmla="val 50000"/>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Bahnschrift SemiBold" panose="020B0502040204020203" pitchFamily="34" charset="0"/>
            </a:rPr>
            <a:t>A C T I V A T E</a:t>
          </a:r>
        </a:p>
      </xdr:txBody>
    </xdr:sp>
    <xdr:clientData/>
  </xdr:twoCellAnchor>
  <xdr:twoCellAnchor editAs="absolute">
    <xdr:from>
      <xdr:col>6</xdr:col>
      <xdr:colOff>119063</xdr:colOff>
      <xdr:row>8</xdr:row>
      <xdr:rowOff>78105</xdr:rowOff>
    </xdr:from>
    <xdr:to>
      <xdr:col>6</xdr:col>
      <xdr:colOff>4270058</xdr:colOff>
      <xdr:row>11</xdr:row>
      <xdr:rowOff>40005</xdr:rowOff>
    </xdr:to>
    <xdr:sp macro="[0]!ThisWorkbook.reActivate" textlink="">
      <xdr:nvSpPr>
        <xdr:cNvPr id="3" name="reActivateB" hidden="1">
          <a:extLst>
            <a:ext uri="{FF2B5EF4-FFF2-40B4-BE49-F238E27FC236}">
              <a16:creationId xmlns:a16="http://schemas.microsoft.com/office/drawing/2014/main" id="{00000000-0008-0000-0000-000003000000}"/>
            </a:ext>
          </a:extLst>
        </xdr:cNvPr>
        <xdr:cNvSpPr/>
      </xdr:nvSpPr>
      <xdr:spPr>
        <a:xfrm>
          <a:off x="4443413" y="3516630"/>
          <a:ext cx="4150995" cy="495300"/>
        </a:xfrm>
        <a:prstGeom prst="roundRect">
          <a:avLst>
            <a:gd name="adj" fmla="val 50000"/>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Bahnschrift SemiBold" panose="020B0502040204020203" pitchFamily="34" charset="0"/>
            </a:rPr>
            <a:t>R</a:t>
          </a:r>
          <a:r>
            <a:rPr lang="en-US" sz="1600" b="1" baseline="0">
              <a:latin typeface="Bahnschrift SemiBold" panose="020B0502040204020203" pitchFamily="34" charset="0"/>
            </a:rPr>
            <a:t> E </a:t>
          </a:r>
          <a:r>
            <a:rPr lang="en-US" sz="1600" b="1">
              <a:latin typeface="Bahnschrift SemiBold" panose="020B0502040204020203" pitchFamily="34" charset="0"/>
            </a:rPr>
            <a:t>A C T I V A T E</a:t>
          </a:r>
        </a:p>
      </xdr:txBody>
    </xdr:sp>
    <xdr:clientData/>
  </xdr:twoCellAnchor>
  <xdr:twoCellAnchor editAs="absolute">
    <xdr:from>
      <xdr:col>6</xdr:col>
      <xdr:colOff>119063</xdr:colOff>
      <xdr:row>8</xdr:row>
      <xdr:rowOff>78105</xdr:rowOff>
    </xdr:from>
    <xdr:to>
      <xdr:col>6</xdr:col>
      <xdr:colOff>4270058</xdr:colOff>
      <xdr:row>11</xdr:row>
      <xdr:rowOff>40005</xdr:rowOff>
    </xdr:to>
    <xdr:sp macro="[0]!Access" textlink="">
      <xdr:nvSpPr>
        <xdr:cNvPr id="4" name="eAccessB" hidden="1">
          <a:extLst>
            <a:ext uri="{FF2B5EF4-FFF2-40B4-BE49-F238E27FC236}">
              <a16:creationId xmlns:a16="http://schemas.microsoft.com/office/drawing/2014/main" id="{00000000-0008-0000-0000-000004000000}"/>
            </a:ext>
          </a:extLst>
        </xdr:cNvPr>
        <xdr:cNvSpPr/>
      </xdr:nvSpPr>
      <xdr:spPr>
        <a:xfrm>
          <a:off x="4443413" y="3516630"/>
          <a:ext cx="4150995" cy="495300"/>
        </a:xfrm>
        <a:prstGeom prst="roundRect">
          <a:avLst>
            <a:gd name="adj" fmla="val 50000"/>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Bahnschrift SemiBold" panose="020B0502040204020203" pitchFamily="34" charset="0"/>
            </a:rPr>
            <a:t>T</a:t>
          </a:r>
          <a:r>
            <a:rPr lang="en-US" sz="1600" b="1" baseline="0">
              <a:latin typeface="Bahnschrift SemiBold" panose="020B0502040204020203" pitchFamily="34" charset="0"/>
            </a:rPr>
            <a:t> E M P O R A R Y    A C C E S S</a:t>
          </a:r>
          <a:endParaRPr lang="en-US" sz="1600" b="1">
            <a:latin typeface="Bahnschrift SemiBold" panose="020B0502040204020203" pitchFamily="34" charset="0"/>
          </a:endParaRPr>
        </a:p>
      </xdr:txBody>
    </xdr:sp>
    <xdr:clientData/>
  </xdr:twoCellAnchor>
  <xdr:twoCellAnchor editAs="oneCell">
    <xdr:from>
      <xdr:col>6</xdr:col>
      <xdr:colOff>1546860</xdr:colOff>
      <xdr:row>0</xdr:row>
      <xdr:rowOff>171450</xdr:rowOff>
    </xdr:from>
    <xdr:to>
      <xdr:col>6</xdr:col>
      <xdr:colOff>2804160</xdr:colOff>
      <xdr:row>0</xdr:row>
      <xdr:rowOff>702945</xdr:rowOff>
    </xdr:to>
    <xdr:pic>
      <xdr:nvPicPr>
        <xdr:cNvPr id="6" name="Picture 5">
          <a:extLst>
            <a:ext uri="{FF2B5EF4-FFF2-40B4-BE49-F238E27FC236}">
              <a16:creationId xmlns:a16="http://schemas.microsoft.com/office/drawing/2014/main" id="{9FFD654F-9033-E09B-8BAD-A00FC9492E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1210" y="171450"/>
          <a:ext cx="1257300" cy="531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266700</xdr:colOff>
      <xdr:row>3</xdr:row>
      <xdr:rowOff>90488</xdr:rowOff>
    </xdr:from>
    <xdr:to>
      <xdr:col>11</xdr:col>
      <xdr:colOff>306030</xdr:colOff>
      <xdr:row>6</xdr:row>
      <xdr:rowOff>33338</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3100" y="1252538"/>
          <a:ext cx="1258530" cy="457200"/>
        </a:xfrm>
        <a:prstGeom prst="rect">
          <a:avLst/>
        </a:prstGeom>
      </xdr:spPr>
    </xdr:pic>
    <xdr:clientData/>
  </xdr:twoCellAnchor>
  <xdr:twoCellAnchor editAs="oneCell">
    <xdr:from>
      <xdr:col>5</xdr:col>
      <xdr:colOff>466725</xdr:colOff>
      <xdr:row>0</xdr:row>
      <xdr:rowOff>38100</xdr:rowOff>
    </xdr:from>
    <xdr:to>
      <xdr:col>15</xdr:col>
      <xdr:colOff>326048</xdr:colOff>
      <xdr:row>0</xdr:row>
      <xdr:rowOff>377714</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rightnessContrast bright="-100000"/>
                  </a14:imgEffect>
                </a14:imgLayer>
              </a14:imgProps>
            </a:ext>
            <a:ext uri="{28A0092B-C50C-407E-A947-70E740481C1C}">
              <a14:useLocalDpi xmlns:a14="http://schemas.microsoft.com/office/drawing/2010/main" val="0"/>
            </a:ext>
          </a:extLst>
        </a:blip>
        <a:srcRect l="1194" t="2120" r="2210" b="-5986"/>
        <a:stretch/>
      </xdr:blipFill>
      <xdr:spPr>
        <a:xfrm>
          <a:off x="3514725" y="38100"/>
          <a:ext cx="5955323" cy="3396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10</xdr:col>
      <xdr:colOff>123825</xdr:colOff>
      <xdr:row>18</xdr:row>
      <xdr:rowOff>314326</xdr:rowOff>
    </xdr:from>
    <xdr:to>
      <xdr:col>13</xdr:col>
      <xdr:colOff>638175</xdr:colOff>
      <xdr:row>20</xdr:row>
      <xdr:rowOff>171450</xdr:rowOff>
    </xdr:to>
    <mc:AlternateContent xmlns:mc="http://schemas.openxmlformats.org/markup-compatibility/2006" xmlns:a14="http://schemas.microsoft.com/office/drawing/2010/main">
      <mc:Choice Requires="a14">
        <xdr:graphicFrame macro="">
          <xdr:nvGraphicFramePr>
            <xdr:cNvPr id="42" name="ChartSet">
              <a:extLst>
                <a:ext uri="{FF2B5EF4-FFF2-40B4-BE49-F238E27FC236}">
                  <a16:creationId xmlns:a16="http://schemas.microsoft.com/office/drawing/2014/main" id="{EB650CA6-88FB-FACA-1501-73ED8EACA14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hartSet"/>
            </a:graphicData>
          </a:graphic>
        </xdr:graphicFrame>
      </mc:Choice>
      <mc:Fallback xmlns="">
        <xdr:sp macro="" textlink="">
          <xdr:nvSpPr>
            <xdr:cNvPr id="0" name=""/>
            <xdr:cNvSpPr>
              <a:spLocks noTextEdit="1"/>
            </xdr:cNvSpPr>
          </xdr:nvSpPr>
          <xdr:spPr>
            <a:xfrm>
              <a:off x="6629400" y="4371976"/>
              <a:ext cx="2533650" cy="4095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9</xdr:col>
      <xdr:colOff>857250</xdr:colOff>
      <xdr:row>3</xdr:row>
      <xdr:rowOff>390525</xdr:rowOff>
    </xdr:from>
    <xdr:to>
      <xdr:col>14</xdr:col>
      <xdr:colOff>9526</xdr:colOff>
      <xdr:row>5</xdr:row>
      <xdr:rowOff>116586</xdr:rowOff>
    </xdr:to>
    <mc:AlternateContent xmlns:mc="http://schemas.openxmlformats.org/markup-compatibility/2006" xmlns:a14="http://schemas.microsoft.com/office/drawing/2010/main">
      <mc:Choice Requires="a14">
        <xdr:graphicFrame macro="">
          <xdr:nvGraphicFramePr>
            <xdr:cNvPr id="35" name="selection 1">
              <a:extLst>
                <a:ext uri="{FF2B5EF4-FFF2-40B4-BE49-F238E27FC236}">
                  <a16:creationId xmlns:a16="http://schemas.microsoft.com/office/drawing/2014/main" id="{C07B9D1F-9B64-426D-8FF8-86C276537599}"/>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selection 1"/>
            </a:graphicData>
          </a:graphic>
        </xdr:graphicFrame>
      </mc:Choice>
      <mc:Fallback xmlns="">
        <xdr:sp macro="" textlink="">
          <xdr:nvSpPr>
            <xdr:cNvPr id="0" name=""/>
            <xdr:cNvSpPr>
              <a:spLocks noTextEdit="1"/>
            </xdr:cNvSpPr>
          </xdr:nvSpPr>
          <xdr:spPr>
            <a:xfrm>
              <a:off x="6496050" y="1181100"/>
              <a:ext cx="2695576" cy="4023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0</xdr:col>
      <xdr:colOff>1</xdr:colOff>
      <xdr:row>3</xdr:row>
      <xdr:rowOff>9525</xdr:rowOff>
    </xdr:from>
    <xdr:to>
      <xdr:col>20</xdr:col>
      <xdr:colOff>57150</xdr:colOff>
      <xdr:row>57</xdr:row>
      <xdr:rowOff>600075</xdr:rowOff>
    </xdr:to>
    <xdr:sp macro="" textlink="">
      <xdr:nvSpPr>
        <xdr:cNvPr id="3" name="Freeform: Shape 2">
          <a:extLst>
            <a:ext uri="{FF2B5EF4-FFF2-40B4-BE49-F238E27FC236}">
              <a16:creationId xmlns:a16="http://schemas.microsoft.com/office/drawing/2014/main" id="{AB7050EE-884E-F073-D81D-42500DDD35CF}"/>
            </a:ext>
          </a:extLst>
        </xdr:cNvPr>
        <xdr:cNvSpPr/>
      </xdr:nvSpPr>
      <xdr:spPr>
        <a:xfrm>
          <a:off x="1" y="800100"/>
          <a:ext cx="12868274" cy="12344400"/>
        </a:xfrm>
        <a:custGeom>
          <a:avLst/>
          <a:gdLst>
            <a:gd name="connsiteX0" fmla="*/ 9458993 w 12912538"/>
            <a:gd name="connsiteY0" fmla="*/ 9264446 h 12272282"/>
            <a:gd name="connsiteX1" fmla="*/ 9331369 w 12912538"/>
            <a:gd name="connsiteY1" fmla="*/ 9404694 h 12272282"/>
            <a:gd name="connsiteX2" fmla="*/ 9331369 w 12912538"/>
            <a:gd name="connsiteY2" fmla="*/ 11348230 h 12272282"/>
            <a:gd name="connsiteX3" fmla="*/ 9458993 w 12912538"/>
            <a:gd name="connsiteY3" fmla="*/ 11488478 h 12272282"/>
            <a:gd name="connsiteX4" fmla="*/ 12514722 w 12912538"/>
            <a:gd name="connsiteY4" fmla="*/ 11488478 h 12272282"/>
            <a:gd name="connsiteX5" fmla="*/ 12642345 w 12912538"/>
            <a:gd name="connsiteY5" fmla="*/ 11348230 h 12272282"/>
            <a:gd name="connsiteX6" fmla="*/ 12642345 w 12912538"/>
            <a:gd name="connsiteY6" fmla="*/ 9404694 h 12272282"/>
            <a:gd name="connsiteX7" fmla="*/ 12514722 w 12912538"/>
            <a:gd name="connsiteY7" fmla="*/ 9264446 h 12272282"/>
            <a:gd name="connsiteX8" fmla="*/ 3752819 w 12912538"/>
            <a:gd name="connsiteY8" fmla="*/ 9264446 h 12272282"/>
            <a:gd name="connsiteX9" fmla="*/ 3625196 w 12912538"/>
            <a:gd name="connsiteY9" fmla="*/ 9404694 h 12272282"/>
            <a:gd name="connsiteX10" fmla="*/ 3625196 w 12912538"/>
            <a:gd name="connsiteY10" fmla="*/ 11348230 h 12272282"/>
            <a:gd name="connsiteX11" fmla="*/ 3752819 w 12912538"/>
            <a:gd name="connsiteY11" fmla="*/ 11488478 h 12272282"/>
            <a:gd name="connsiteX12" fmla="*/ 9099360 w 12912538"/>
            <a:gd name="connsiteY12" fmla="*/ 11488478 h 12272282"/>
            <a:gd name="connsiteX13" fmla="*/ 9226984 w 12912538"/>
            <a:gd name="connsiteY13" fmla="*/ 11348230 h 12272282"/>
            <a:gd name="connsiteX14" fmla="*/ 9226984 w 12912538"/>
            <a:gd name="connsiteY14" fmla="*/ 9404694 h 12272282"/>
            <a:gd name="connsiteX15" fmla="*/ 9099360 w 12912538"/>
            <a:gd name="connsiteY15" fmla="*/ 9264446 h 12272282"/>
            <a:gd name="connsiteX16" fmla="*/ 337460 w 12912538"/>
            <a:gd name="connsiteY16" fmla="*/ 9264446 h 12272282"/>
            <a:gd name="connsiteX17" fmla="*/ 209836 w 12912538"/>
            <a:gd name="connsiteY17" fmla="*/ 9404694 h 12272282"/>
            <a:gd name="connsiteX18" fmla="*/ 209836 w 12912538"/>
            <a:gd name="connsiteY18" fmla="*/ 11348230 h 12272282"/>
            <a:gd name="connsiteX19" fmla="*/ 337460 w 12912538"/>
            <a:gd name="connsiteY19" fmla="*/ 11488478 h 12272282"/>
            <a:gd name="connsiteX20" fmla="*/ 3393190 w 12912538"/>
            <a:gd name="connsiteY20" fmla="*/ 11488478 h 12272282"/>
            <a:gd name="connsiteX21" fmla="*/ 3520814 w 12912538"/>
            <a:gd name="connsiteY21" fmla="*/ 11348230 h 12272282"/>
            <a:gd name="connsiteX22" fmla="*/ 3520814 w 12912538"/>
            <a:gd name="connsiteY22" fmla="*/ 9404694 h 12272282"/>
            <a:gd name="connsiteX23" fmla="*/ 3393190 w 12912538"/>
            <a:gd name="connsiteY23" fmla="*/ 9264446 h 12272282"/>
            <a:gd name="connsiteX24" fmla="*/ 9493733 w 12912538"/>
            <a:gd name="connsiteY24" fmla="*/ 6115585 h 12272282"/>
            <a:gd name="connsiteX25" fmla="*/ 9331369 w 12912538"/>
            <a:gd name="connsiteY25" fmla="*/ 6294009 h 12272282"/>
            <a:gd name="connsiteX26" fmla="*/ 9331369 w 12912538"/>
            <a:gd name="connsiteY26" fmla="*/ 8766588 h 12272282"/>
            <a:gd name="connsiteX27" fmla="*/ 9493733 w 12912538"/>
            <a:gd name="connsiteY27" fmla="*/ 8945012 h 12272282"/>
            <a:gd name="connsiteX28" fmla="*/ 12479982 w 12912538"/>
            <a:gd name="connsiteY28" fmla="*/ 8945012 h 12272282"/>
            <a:gd name="connsiteX29" fmla="*/ 12642345 w 12912538"/>
            <a:gd name="connsiteY29" fmla="*/ 8766588 h 12272282"/>
            <a:gd name="connsiteX30" fmla="*/ 12642345 w 12912538"/>
            <a:gd name="connsiteY30" fmla="*/ 6294009 h 12272282"/>
            <a:gd name="connsiteX31" fmla="*/ 12479982 w 12912538"/>
            <a:gd name="connsiteY31" fmla="*/ 6115585 h 12272282"/>
            <a:gd name="connsiteX32" fmla="*/ 3787561 w 12912538"/>
            <a:gd name="connsiteY32" fmla="*/ 6115585 h 12272282"/>
            <a:gd name="connsiteX33" fmla="*/ 3625198 w 12912538"/>
            <a:gd name="connsiteY33" fmla="*/ 6294009 h 12272282"/>
            <a:gd name="connsiteX34" fmla="*/ 3625198 w 12912538"/>
            <a:gd name="connsiteY34" fmla="*/ 8766588 h 12272282"/>
            <a:gd name="connsiteX35" fmla="*/ 3787561 w 12912538"/>
            <a:gd name="connsiteY35" fmla="*/ 8945012 h 12272282"/>
            <a:gd name="connsiteX36" fmla="*/ 9064621 w 12912538"/>
            <a:gd name="connsiteY36" fmla="*/ 8945012 h 12272282"/>
            <a:gd name="connsiteX37" fmla="*/ 9226984 w 12912538"/>
            <a:gd name="connsiteY37" fmla="*/ 8766588 h 12272282"/>
            <a:gd name="connsiteX38" fmla="*/ 9226984 w 12912538"/>
            <a:gd name="connsiteY38" fmla="*/ 6294009 h 12272282"/>
            <a:gd name="connsiteX39" fmla="*/ 9064621 w 12912538"/>
            <a:gd name="connsiteY39" fmla="*/ 6115585 h 12272282"/>
            <a:gd name="connsiteX40" fmla="*/ 372199 w 12912538"/>
            <a:gd name="connsiteY40" fmla="*/ 6115585 h 12272282"/>
            <a:gd name="connsiteX41" fmla="*/ 209835 w 12912538"/>
            <a:gd name="connsiteY41" fmla="*/ 6294009 h 12272282"/>
            <a:gd name="connsiteX42" fmla="*/ 209835 w 12912538"/>
            <a:gd name="connsiteY42" fmla="*/ 8766588 h 12272282"/>
            <a:gd name="connsiteX43" fmla="*/ 372199 w 12912538"/>
            <a:gd name="connsiteY43" fmla="*/ 8945012 h 12272282"/>
            <a:gd name="connsiteX44" fmla="*/ 3358450 w 12912538"/>
            <a:gd name="connsiteY44" fmla="*/ 8945012 h 12272282"/>
            <a:gd name="connsiteX45" fmla="*/ 3520811 w 12912538"/>
            <a:gd name="connsiteY45" fmla="*/ 8766588 h 12272282"/>
            <a:gd name="connsiteX46" fmla="*/ 3520811 w 12912538"/>
            <a:gd name="connsiteY46" fmla="*/ 6294009 h 12272282"/>
            <a:gd name="connsiteX47" fmla="*/ 3358450 w 12912538"/>
            <a:gd name="connsiteY47" fmla="*/ 6115585 h 12272282"/>
            <a:gd name="connsiteX48" fmla="*/ 9458994 w 12912538"/>
            <a:gd name="connsiteY48" fmla="*/ 3572119 h 12272282"/>
            <a:gd name="connsiteX49" fmla="*/ 9331370 w 12912538"/>
            <a:gd name="connsiteY49" fmla="*/ 3712367 h 12272282"/>
            <a:gd name="connsiteX50" fmla="*/ 9331370 w 12912538"/>
            <a:gd name="connsiteY50" fmla="*/ 5655903 h 12272282"/>
            <a:gd name="connsiteX51" fmla="*/ 9458994 w 12912538"/>
            <a:gd name="connsiteY51" fmla="*/ 5796151 h 12272282"/>
            <a:gd name="connsiteX52" fmla="*/ 12514723 w 12912538"/>
            <a:gd name="connsiteY52" fmla="*/ 5796151 h 12272282"/>
            <a:gd name="connsiteX53" fmla="*/ 12642346 w 12912538"/>
            <a:gd name="connsiteY53" fmla="*/ 5655903 h 12272282"/>
            <a:gd name="connsiteX54" fmla="*/ 12642346 w 12912538"/>
            <a:gd name="connsiteY54" fmla="*/ 3712367 h 12272282"/>
            <a:gd name="connsiteX55" fmla="*/ 12514723 w 12912538"/>
            <a:gd name="connsiteY55" fmla="*/ 3572119 h 12272282"/>
            <a:gd name="connsiteX56" fmla="*/ 3773018 w 12912538"/>
            <a:gd name="connsiteY56" fmla="*/ 3572119 h 12272282"/>
            <a:gd name="connsiteX57" fmla="*/ 3625198 w 12912538"/>
            <a:gd name="connsiteY57" fmla="*/ 3734563 h 12272282"/>
            <a:gd name="connsiteX58" fmla="*/ 3625198 w 12912538"/>
            <a:gd name="connsiteY58" fmla="*/ 5633708 h 12272282"/>
            <a:gd name="connsiteX59" fmla="*/ 3773018 w 12912538"/>
            <a:gd name="connsiteY59" fmla="*/ 5796151 h 12272282"/>
            <a:gd name="connsiteX60" fmla="*/ 9079164 w 12912538"/>
            <a:gd name="connsiteY60" fmla="*/ 5796151 h 12272282"/>
            <a:gd name="connsiteX61" fmla="*/ 9226984 w 12912538"/>
            <a:gd name="connsiteY61" fmla="*/ 5633708 h 12272282"/>
            <a:gd name="connsiteX62" fmla="*/ 9226984 w 12912538"/>
            <a:gd name="connsiteY62" fmla="*/ 3734563 h 12272282"/>
            <a:gd name="connsiteX63" fmla="*/ 9079164 w 12912538"/>
            <a:gd name="connsiteY63" fmla="*/ 3572119 h 12272282"/>
            <a:gd name="connsiteX64" fmla="*/ 337462 w 12912538"/>
            <a:gd name="connsiteY64" fmla="*/ 3572119 h 12272282"/>
            <a:gd name="connsiteX65" fmla="*/ 209838 w 12912538"/>
            <a:gd name="connsiteY65" fmla="*/ 3712367 h 12272282"/>
            <a:gd name="connsiteX66" fmla="*/ 209838 w 12912538"/>
            <a:gd name="connsiteY66" fmla="*/ 5655903 h 12272282"/>
            <a:gd name="connsiteX67" fmla="*/ 337462 w 12912538"/>
            <a:gd name="connsiteY67" fmla="*/ 5796151 h 12272282"/>
            <a:gd name="connsiteX68" fmla="*/ 3393193 w 12912538"/>
            <a:gd name="connsiteY68" fmla="*/ 5796151 h 12272282"/>
            <a:gd name="connsiteX69" fmla="*/ 3520815 w 12912538"/>
            <a:gd name="connsiteY69" fmla="*/ 5655903 h 12272282"/>
            <a:gd name="connsiteX70" fmla="*/ 3520815 w 12912538"/>
            <a:gd name="connsiteY70" fmla="*/ 3712367 h 12272282"/>
            <a:gd name="connsiteX71" fmla="*/ 3393193 w 12912538"/>
            <a:gd name="connsiteY71" fmla="*/ 3572119 h 12272282"/>
            <a:gd name="connsiteX72" fmla="*/ 9493733 w 12912538"/>
            <a:gd name="connsiteY72" fmla="*/ 423258 h 12272282"/>
            <a:gd name="connsiteX73" fmla="*/ 9331370 w 12912538"/>
            <a:gd name="connsiteY73" fmla="*/ 601682 h 12272282"/>
            <a:gd name="connsiteX74" fmla="*/ 9331370 w 12912538"/>
            <a:gd name="connsiteY74" fmla="*/ 3074261 h 12272282"/>
            <a:gd name="connsiteX75" fmla="*/ 9493733 w 12912538"/>
            <a:gd name="connsiteY75" fmla="*/ 3252685 h 12272282"/>
            <a:gd name="connsiteX76" fmla="*/ 12479983 w 12912538"/>
            <a:gd name="connsiteY76" fmla="*/ 3252685 h 12272282"/>
            <a:gd name="connsiteX77" fmla="*/ 12642346 w 12912538"/>
            <a:gd name="connsiteY77" fmla="*/ 3074261 h 12272282"/>
            <a:gd name="connsiteX78" fmla="*/ 12642346 w 12912538"/>
            <a:gd name="connsiteY78" fmla="*/ 601682 h 12272282"/>
            <a:gd name="connsiteX79" fmla="*/ 12479983 w 12912538"/>
            <a:gd name="connsiteY79" fmla="*/ 423258 h 12272282"/>
            <a:gd name="connsiteX80" fmla="*/ 3787563 w 12912538"/>
            <a:gd name="connsiteY80" fmla="*/ 423258 h 12272282"/>
            <a:gd name="connsiteX81" fmla="*/ 3625198 w 12912538"/>
            <a:gd name="connsiteY81" fmla="*/ 601682 h 12272282"/>
            <a:gd name="connsiteX82" fmla="*/ 3625198 w 12912538"/>
            <a:gd name="connsiteY82" fmla="*/ 3074261 h 12272282"/>
            <a:gd name="connsiteX83" fmla="*/ 3787563 w 12912538"/>
            <a:gd name="connsiteY83" fmla="*/ 3252685 h 12272282"/>
            <a:gd name="connsiteX84" fmla="*/ 9064622 w 12912538"/>
            <a:gd name="connsiteY84" fmla="*/ 3252685 h 12272282"/>
            <a:gd name="connsiteX85" fmla="*/ 9226985 w 12912538"/>
            <a:gd name="connsiteY85" fmla="*/ 3074261 h 12272282"/>
            <a:gd name="connsiteX86" fmla="*/ 9226985 w 12912538"/>
            <a:gd name="connsiteY86" fmla="*/ 601682 h 12272282"/>
            <a:gd name="connsiteX87" fmla="*/ 9064622 w 12912538"/>
            <a:gd name="connsiteY87" fmla="*/ 423258 h 12272282"/>
            <a:gd name="connsiteX88" fmla="*/ 372201 w 12912538"/>
            <a:gd name="connsiteY88" fmla="*/ 423258 h 12272282"/>
            <a:gd name="connsiteX89" fmla="*/ 209838 w 12912538"/>
            <a:gd name="connsiteY89" fmla="*/ 601682 h 12272282"/>
            <a:gd name="connsiteX90" fmla="*/ 209838 w 12912538"/>
            <a:gd name="connsiteY90" fmla="*/ 3074261 h 12272282"/>
            <a:gd name="connsiteX91" fmla="*/ 372201 w 12912538"/>
            <a:gd name="connsiteY91" fmla="*/ 3252685 h 12272282"/>
            <a:gd name="connsiteX92" fmla="*/ 3358453 w 12912538"/>
            <a:gd name="connsiteY92" fmla="*/ 3252685 h 12272282"/>
            <a:gd name="connsiteX93" fmla="*/ 3520815 w 12912538"/>
            <a:gd name="connsiteY93" fmla="*/ 3074261 h 12272282"/>
            <a:gd name="connsiteX94" fmla="*/ 3520815 w 12912538"/>
            <a:gd name="connsiteY94" fmla="*/ 601682 h 12272282"/>
            <a:gd name="connsiteX95" fmla="*/ 3358453 w 12912538"/>
            <a:gd name="connsiteY95" fmla="*/ 423258 h 12272282"/>
            <a:gd name="connsiteX96" fmla="*/ 0 w 12912538"/>
            <a:gd name="connsiteY96" fmla="*/ 0 h 12272282"/>
            <a:gd name="connsiteX97" fmla="*/ 12912538 w 12912538"/>
            <a:gd name="connsiteY97" fmla="*/ 0 h 12272282"/>
            <a:gd name="connsiteX98" fmla="*/ 12912538 w 12912538"/>
            <a:gd name="connsiteY98" fmla="*/ 12272282 h 12272282"/>
            <a:gd name="connsiteX99" fmla="*/ 0 w 12912538"/>
            <a:gd name="connsiteY99" fmla="*/ 12272282 h 122722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Lst>
          <a:rect l="l" t="t" r="r" b="b"/>
          <a:pathLst>
            <a:path w="12912538" h="12272282">
              <a:moveTo>
                <a:pt x="9458993" y="9264446"/>
              </a:moveTo>
              <a:cubicBezTo>
                <a:pt x="9388508" y="9264446"/>
                <a:pt x="9331369" y="9327237"/>
                <a:pt x="9331369" y="9404694"/>
              </a:cubicBezTo>
              <a:lnTo>
                <a:pt x="9331369" y="11348230"/>
              </a:lnTo>
              <a:cubicBezTo>
                <a:pt x="9331369" y="11425687"/>
                <a:pt x="9388508" y="11488478"/>
                <a:pt x="9458993" y="11488478"/>
              </a:cubicBezTo>
              <a:lnTo>
                <a:pt x="12514722" y="11488478"/>
              </a:lnTo>
              <a:cubicBezTo>
                <a:pt x="12585206" y="11488478"/>
                <a:pt x="12642345" y="11425687"/>
                <a:pt x="12642345" y="11348230"/>
              </a:cubicBezTo>
              <a:lnTo>
                <a:pt x="12642345" y="9404694"/>
              </a:lnTo>
              <a:cubicBezTo>
                <a:pt x="12642345" y="9327237"/>
                <a:pt x="12585206" y="9264446"/>
                <a:pt x="12514722" y="9264446"/>
              </a:cubicBezTo>
              <a:close/>
              <a:moveTo>
                <a:pt x="3752819" y="9264446"/>
              </a:moveTo>
              <a:cubicBezTo>
                <a:pt x="3682334" y="9264446"/>
                <a:pt x="3625196" y="9327237"/>
                <a:pt x="3625196" y="9404694"/>
              </a:cubicBezTo>
              <a:lnTo>
                <a:pt x="3625196" y="11348230"/>
              </a:lnTo>
              <a:cubicBezTo>
                <a:pt x="3625196" y="11425687"/>
                <a:pt x="3682334" y="11488478"/>
                <a:pt x="3752819" y="11488478"/>
              </a:cubicBezTo>
              <a:lnTo>
                <a:pt x="9099360" y="11488478"/>
              </a:lnTo>
              <a:cubicBezTo>
                <a:pt x="9169845" y="11488478"/>
                <a:pt x="9226984" y="11425687"/>
                <a:pt x="9226984" y="11348230"/>
              </a:cubicBezTo>
              <a:lnTo>
                <a:pt x="9226984" y="9404694"/>
              </a:lnTo>
              <a:cubicBezTo>
                <a:pt x="9226984" y="9327237"/>
                <a:pt x="9169845" y="9264446"/>
                <a:pt x="9099360" y="9264446"/>
              </a:cubicBezTo>
              <a:close/>
              <a:moveTo>
                <a:pt x="337460" y="9264446"/>
              </a:moveTo>
              <a:cubicBezTo>
                <a:pt x="266975" y="9264446"/>
                <a:pt x="209836" y="9327237"/>
                <a:pt x="209836" y="9404694"/>
              </a:cubicBezTo>
              <a:lnTo>
                <a:pt x="209836" y="11348230"/>
              </a:lnTo>
              <a:cubicBezTo>
                <a:pt x="209836" y="11425687"/>
                <a:pt x="266975" y="11488478"/>
                <a:pt x="337460" y="11488478"/>
              </a:cubicBezTo>
              <a:lnTo>
                <a:pt x="3393190" y="11488478"/>
              </a:lnTo>
              <a:cubicBezTo>
                <a:pt x="3463674" y="11488478"/>
                <a:pt x="3520814" y="11425687"/>
                <a:pt x="3520814" y="11348230"/>
              </a:cubicBezTo>
              <a:lnTo>
                <a:pt x="3520814" y="9404694"/>
              </a:lnTo>
              <a:cubicBezTo>
                <a:pt x="3520814" y="9327237"/>
                <a:pt x="3463674" y="9264446"/>
                <a:pt x="3393190" y="9264446"/>
              </a:cubicBezTo>
              <a:close/>
              <a:moveTo>
                <a:pt x="9493733" y="6115585"/>
              </a:moveTo>
              <a:cubicBezTo>
                <a:pt x="9404062" y="6115585"/>
                <a:pt x="9331369" y="6195468"/>
                <a:pt x="9331369" y="6294009"/>
              </a:cubicBezTo>
              <a:lnTo>
                <a:pt x="9331369" y="8766588"/>
              </a:lnTo>
              <a:cubicBezTo>
                <a:pt x="9331369" y="8865129"/>
                <a:pt x="9404062" y="8945012"/>
                <a:pt x="9493733" y="8945012"/>
              </a:cubicBezTo>
              <a:lnTo>
                <a:pt x="12479982" y="8945012"/>
              </a:lnTo>
              <a:cubicBezTo>
                <a:pt x="12569653" y="8945012"/>
                <a:pt x="12642345" y="8865129"/>
                <a:pt x="12642345" y="8766588"/>
              </a:cubicBezTo>
              <a:lnTo>
                <a:pt x="12642345" y="6294009"/>
              </a:lnTo>
              <a:cubicBezTo>
                <a:pt x="12642345" y="6195468"/>
                <a:pt x="12569653" y="6115585"/>
                <a:pt x="12479982" y="6115585"/>
              </a:cubicBezTo>
              <a:close/>
              <a:moveTo>
                <a:pt x="3787561" y="6115585"/>
              </a:moveTo>
              <a:cubicBezTo>
                <a:pt x="3697889" y="6115585"/>
                <a:pt x="3625198" y="6195468"/>
                <a:pt x="3625198" y="6294009"/>
              </a:cubicBezTo>
              <a:lnTo>
                <a:pt x="3625198" y="8766588"/>
              </a:lnTo>
              <a:cubicBezTo>
                <a:pt x="3625198" y="8865129"/>
                <a:pt x="3697889" y="8945012"/>
                <a:pt x="3787561" y="8945012"/>
              </a:cubicBezTo>
              <a:lnTo>
                <a:pt x="9064621" y="8945012"/>
              </a:lnTo>
              <a:cubicBezTo>
                <a:pt x="9154292" y="8945012"/>
                <a:pt x="9226984" y="8865129"/>
                <a:pt x="9226984" y="8766588"/>
              </a:cubicBezTo>
              <a:lnTo>
                <a:pt x="9226984" y="6294009"/>
              </a:lnTo>
              <a:cubicBezTo>
                <a:pt x="9226984" y="6195468"/>
                <a:pt x="9154292" y="6115585"/>
                <a:pt x="9064621" y="6115585"/>
              </a:cubicBezTo>
              <a:close/>
              <a:moveTo>
                <a:pt x="372199" y="6115585"/>
              </a:moveTo>
              <a:cubicBezTo>
                <a:pt x="282528" y="6115585"/>
                <a:pt x="209835" y="6195468"/>
                <a:pt x="209835" y="6294009"/>
              </a:cubicBezTo>
              <a:lnTo>
                <a:pt x="209835" y="8766588"/>
              </a:lnTo>
              <a:cubicBezTo>
                <a:pt x="209835" y="8865129"/>
                <a:pt x="282528" y="8945012"/>
                <a:pt x="372199" y="8945012"/>
              </a:cubicBezTo>
              <a:lnTo>
                <a:pt x="3358450" y="8945012"/>
              </a:lnTo>
              <a:cubicBezTo>
                <a:pt x="3448119" y="8945012"/>
                <a:pt x="3520811" y="8865129"/>
                <a:pt x="3520811" y="8766588"/>
              </a:cubicBezTo>
              <a:lnTo>
                <a:pt x="3520811" y="6294009"/>
              </a:lnTo>
              <a:cubicBezTo>
                <a:pt x="3520811" y="6195468"/>
                <a:pt x="3448119" y="6115585"/>
                <a:pt x="3358450" y="6115585"/>
              </a:cubicBezTo>
              <a:close/>
              <a:moveTo>
                <a:pt x="9458994" y="3572119"/>
              </a:moveTo>
              <a:cubicBezTo>
                <a:pt x="9388509" y="3572119"/>
                <a:pt x="9331370" y="3634911"/>
                <a:pt x="9331370" y="3712367"/>
              </a:cubicBezTo>
              <a:lnTo>
                <a:pt x="9331370" y="5655903"/>
              </a:lnTo>
              <a:cubicBezTo>
                <a:pt x="9331370" y="5733360"/>
                <a:pt x="9388509" y="5796151"/>
                <a:pt x="9458994" y="5796151"/>
              </a:cubicBezTo>
              <a:lnTo>
                <a:pt x="12514723" y="5796151"/>
              </a:lnTo>
              <a:cubicBezTo>
                <a:pt x="12585207" y="5796151"/>
                <a:pt x="12642346" y="5733360"/>
                <a:pt x="12642346" y="5655903"/>
              </a:cubicBezTo>
              <a:lnTo>
                <a:pt x="12642346" y="3712367"/>
              </a:lnTo>
              <a:cubicBezTo>
                <a:pt x="12642346" y="3634911"/>
                <a:pt x="12585207" y="3572119"/>
                <a:pt x="12514723" y="3572119"/>
              </a:cubicBezTo>
              <a:close/>
              <a:moveTo>
                <a:pt x="3773018" y="3572119"/>
              </a:moveTo>
              <a:cubicBezTo>
                <a:pt x="3691379" y="3572119"/>
                <a:pt x="3625198" y="3644848"/>
                <a:pt x="3625198" y="3734563"/>
              </a:cubicBezTo>
              <a:lnTo>
                <a:pt x="3625198" y="5633708"/>
              </a:lnTo>
              <a:cubicBezTo>
                <a:pt x="3625198" y="5723423"/>
                <a:pt x="3691379" y="5796151"/>
                <a:pt x="3773018" y="5796151"/>
              </a:cubicBezTo>
              <a:lnTo>
                <a:pt x="9079164" y="5796151"/>
              </a:lnTo>
              <a:cubicBezTo>
                <a:pt x="9160803" y="5796151"/>
                <a:pt x="9226984" y="5723423"/>
                <a:pt x="9226984" y="5633708"/>
              </a:cubicBezTo>
              <a:lnTo>
                <a:pt x="9226984" y="3734563"/>
              </a:lnTo>
              <a:cubicBezTo>
                <a:pt x="9226984" y="3644848"/>
                <a:pt x="9160803" y="3572119"/>
                <a:pt x="9079164" y="3572119"/>
              </a:cubicBezTo>
              <a:close/>
              <a:moveTo>
                <a:pt x="337462" y="3572119"/>
              </a:moveTo>
              <a:cubicBezTo>
                <a:pt x="266977" y="3572119"/>
                <a:pt x="209838" y="3634911"/>
                <a:pt x="209838" y="3712367"/>
              </a:cubicBezTo>
              <a:lnTo>
                <a:pt x="209838" y="5655903"/>
              </a:lnTo>
              <a:cubicBezTo>
                <a:pt x="209838" y="5733360"/>
                <a:pt x="266977" y="5796151"/>
                <a:pt x="337462" y="5796151"/>
              </a:cubicBezTo>
              <a:lnTo>
                <a:pt x="3393193" y="5796151"/>
              </a:lnTo>
              <a:cubicBezTo>
                <a:pt x="3463676" y="5796151"/>
                <a:pt x="3520815" y="5733360"/>
                <a:pt x="3520815" y="5655903"/>
              </a:cubicBezTo>
              <a:lnTo>
                <a:pt x="3520815" y="3712367"/>
              </a:lnTo>
              <a:cubicBezTo>
                <a:pt x="3520815" y="3634911"/>
                <a:pt x="3463676" y="3572119"/>
                <a:pt x="3393193" y="3572119"/>
              </a:cubicBezTo>
              <a:close/>
              <a:moveTo>
                <a:pt x="9493733" y="423258"/>
              </a:moveTo>
              <a:cubicBezTo>
                <a:pt x="9404063" y="423258"/>
                <a:pt x="9331370" y="503141"/>
                <a:pt x="9331370" y="601682"/>
              </a:cubicBezTo>
              <a:lnTo>
                <a:pt x="9331370" y="3074261"/>
              </a:lnTo>
              <a:cubicBezTo>
                <a:pt x="9331370" y="3172802"/>
                <a:pt x="9404063" y="3252685"/>
                <a:pt x="9493733" y="3252685"/>
              </a:cubicBezTo>
              <a:lnTo>
                <a:pt x="12479983" y="3252685"/>
              </a:lnTo>
              <a:cubicBezTo>
                <a:pt x="12569654" y="3252685"/>
                <a:pt x="12642346" y="3172802"/>
                <a:pt x="12642346" y="3074261"/>
              </a:cubicBezTo>
              <a:lnTo>
                <a:pt x="12642346" y="601682"/>
              </a:lnTo>
              <a:cubicBezTo>
                <a:pt x="12642346" y="503141"/>
                <a:pt x="12569654" y="423258"/>
                <a:pt x="12479983" y="423258"/>
              </a:cubicBezTo>
              <a:close/>
              <a:moveTo>
                <a:pt x="3787563" y="423258"/>
              </a:moveTo>
              <a:cubicBezTo>
                <a:pt x="3697891" y="423258"/>
                <a:pt x="3625198" y="503141"/>
                <a:pt x="3625198" y="601682"/>
              </a:cubicBezTo>
              <a:lnTo>
                <a:pt x="3625198" y="3074261"/>
              </a:lnTo>
              <a:cubicBezTo>
                <a:pt x="3625198" y="3172802"/>
                <a:pt x="3697891" y="3252685"/>
                <a:pt x="3787563" y="3252685"/>
              </a:cubicBezTo>
              <a:lnTo>
                <a:pt x="9064622" y="3252685"/>
              </a:lnTo>
              <a:cubicBezTo>
                <a:pt x="9154293" y="3252685"/>
                <a:pt x="9226985" y="3172802"/>
                <a:pt x="9226985" y="3074261"/>
              </a:cubicBezTo>
              <a:lnTo>
                <a:pt x="9226985" y="601682"/>
              </a:lnTo>
              <a:cubicBezTo>
                <a:pt x="9226985" y="503141"/>
                <a:pt x="9154293" y="423258"/>
                <a:pt x="9064622" y="423258"/>
              </a:cubicBezTo>
              <a:close/>
              <a:moveTo>
                <a:pt x="372201" y="423258"/>
              </a:moveTo>
              <a:cubicBezTo>
                <a:pt x="282531" y="423258"/>
                <a:pt x="209838" y="503141"/>
                <a:pt x="209838" y="601682"/>
              </a:cubicBezTo>
              <a:lnTo>
                <a:pt x="209838" y="3074261"/>
              </a:lnTo>
              <a:cubicBezTo>
                <a:pt x="209838" y="3172802"/>
                <a:pt x="282531" y="3252685"/>
                <a:pt x="372201" y="3252685"/>
              </a:cubicBezTo>
              <a:lnTo>
                <a:pt x="3358453" y="3252685"/>
              </a:lnTo>
              <a:cubicBezTo>
                <a:pt x="3448124" y="3252685"/>
                <a:pt x="3520815" y="3172802"/>
                <a:pt x="3520815" y="3074261"/>
              </a:cubicBezTo>
              <a:lnTo>
                <a:pt x="3520815" y="601682"/>
              </a:lnTo>
              <a:cubicBezTo>
                <a:pt x="3520815" y="503141"/>
                <a:pt x="3448124" y="423258"/>
                <a:pt x="3358453" y="423258"/>
              </a:cubicBezTo>
              <a:close/>
              <a:moveTo>
                <a:pt x="0" y="0"/>
              </a:moveTo>
              <a:lnTo>
                <a:pt x="12912538" y="0"/>
              </a:lnTo>
              <a:lnTo>
                <a:pt x="12912538" y="12272282"/>
              </a:lnTo>
              <a:lnTo>
                <a:pt x="0" y="12272282"/>
              </a:lnTo>
              <a:close/>
            </a:path>
          </a:pathLst>
        </a:custGeom>
        <a:solidFill>
          <a:schemeClr val="accent6"/>
        </a:soli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17</xdr:col>
      <xdr:colOff>320489</xdr:colOff>
      <xdr:row>6</xdr:row>
      <xdr:rowOff>2</xdr:rowOff>
    </xdr:from>
    <xdr:to>
      <xdr:col>18</xdr:col>
      <xdr:colOff>634813</xdr:colOff>
      <xdr:row>11</xdr:row>
      <xdr:rowOff>114300</xdr:rowOff>
    </xdr:to>
    <xdr:graphicFrame macro="">
      <xdr:nvGraphicFramePr>
        <xdr:cNvPr id="18" name="Chart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161925</xdr:colOff>
      <xdr:row>5</xdr:row>
      <xdr:rowOff>95250</xdr:rowOff>
    </xdr:from>
    <xdr:to>
      <xdr:col>14</xdr:col>
      <xdr:colOff>0</xdr:colOff>
      <xdr:row>17</xdr:row>
      <xdr:rowOff>95250</xdr:rowOff>
    </xdr:to>
    <xdr:graphicFrame macro="">
      <xdr:nvGraphicFramePr>
        <xdr:cNvPr id="25" name="Chart 24">
          <a:extLst>
            <a:ext uri="{FF2B5EF4-FFF2-40B4-BE49-F238E27FC236}">
              <a16:creationId xmlns:a16="http://schemas.microsoft.com/office/drawing/2014/main" id="{00000000-0008-0000-0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14</xdr:col>
      <xdr:colOff>133350</xdr:colOff>
      <xdr:row>22</xdr:row>
      <xdr:rowOff>114300</xdr:rowOff>
    </xdr:from>
    <xdr:to>
      <xdr:col>19</xdr:col>
      <xdr:colOff>91889</xdr:colOff>
      <xdr:row>29</xdr:row>
      <xdr:rowOff>28575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228600</xdr:colOff>
      <xdr:row>7</xdr:row>
      <xdr:rowOff>200024</xdr:rowOff>
    </xdr:from>
    <xdr:to>
      <xdr:col>5</xdr:col>
      <xdr:colOff>28575</xdr:colOff>
      <xdr:row>10</xdr:row>
      <xdr:rowOff>19050</xdr:rowOff>
    </xdr:to>
    <xdr:graphicFrame macro="">
      <xdr:nvGraphicFramePr>
        <xdr:cNvPr id="17" name="Chart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15</xdr:col>
      <xdr:colOff>638623</xdr:colOff>
      <xdr:row>1</xdr:row>
      <xdr:rowOff>57149</xdr:rowOff>
    </xdr:from>
    <xdr:to>
      <xdr:col>16</xdr:col>
      <xdr:colOff>168088</xdr:colOff>
      <xdr:row>2</xdr:row>
      <xdr:rowOff>100964</xdr:rowOff>
    </xdr:to>
    <xdr:pic>
      <xdr:nvPicPr>
        <xdr:cNvPr id="10" name="Picture 9">
          <a:hlinkClick xmlns:r="http://schemas.openxmlformats.org/officeDocument/2006/relationships" r:id="rId5" tooltip="Trade Log"/>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6">
          <a:duotone>
            <a:prstClr val="black"/>
            <a:schemeClr val="accent3">
              <a:tint val="45000"/>
              <a:satMod val="400000"/>
            </a:schemeClr>
          </a:duotone>
          <a:extLst>
            <a:ext uri="{BEBA8EAE-BF5A-486C-A8C5-ECC9F3942E4B}">
              <a14:imgProps xmlns:a14="http://schemas.microsoft.com/office/drawing/2010/main">
                <a14:imgLayer r:embed="rId7">
                  <a14:imgEffect>
                    <a14:sharpenSoften amount="4000"/>
                  </a14:imgEffect>
                  <a14:imgEffect>
                    <a14:brightnessContrast bright="100000"/>
                  </a14:imgEffect>
                </a14:imgLayer>
              </a14:imgProps>
            </a:ext>
            <a:ext uri="{28A0092B-C50C-407E-A947-70E740481C1C}">
              <a14:useLocalDpi xmlns:a14="http://schemas.microsoft.com/office/drawing/2010/main" val="0"/>
            </a:ext>
          </a:extLst>
        </a:blip>
        <a:stretch>
          <a:fillRect/>
        </a:stretch>
      </xdr:blipFill>
      <xdr:spPr>
        <a:xfrm>
          <a:off x="9995535" y="333374"/>
          <a:ext cx="320040" cy="320040"/>
        </a:xfrm>
        <a:prstGeom prst="rect">
          <a:avLst/>
        </a:prstGeom>
      </xdr:spPr>
    </xdr:pic>
    <xdr:clientData/>
  </xdr:twoCellAnchor>
  <xdr:twoCellAnchor editAs="absolute">
    <xdr:from>
      <xdr:col>5</xdr:col>
      <xdr:colOff>266700</xdr:colOff>
      <xdr:row>46</xdr:row>
      <xdr:rowOff>66674</xdr:rowOff>
    </xdr:from>
    <xdr:to>
      <xdr:col>13</xdr:col>
      <xdr:colOff>571500</xdr:colOff>
      <xdr:row>55</xdr:row>
      <xdr:rowOff>123824</xdr:rowOff>
    </xdr:to>
    <xdr:graphicFrame macro="">
      <xdr:nvGraphicFramePr>
        <xdr:cNvPr id="9" name="Chart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5</xdr:col>
      <xdr:colOff>95250</xdr:colOff>
      <xdr:row>20</xdr:row>
      <xdr:rowOff>190499</xdr:rowOff>
    </xdr:from>
    <xdr:to>
      <xdr:col>14</xdr:col>
      <xdr:colOff>9525</xdr:colOff>
      <xdr:row>29</xdr:row>
      <xdr:rowOff>57149</xdr:rowOff>
    </xdr:to>
    <xdr:graphicFrame macro="">
      <xdr:nvGraphicFramePr>
        <xdr:cNvPr id="29" name="Chart 28">
          <a:extLst>
            <a:ext uri="{FF2B5EF4-FFF2-40B4-BE49-F238E27FC236}">
              <a16:creationId xmlns:a16="http://schemas.microsoft.com/office/drawing/2014/main"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absolute">
    <xdr:from>
      <xdr:col>14</xdr:col>
      <xdr:colOff>25214</xdr:colOff>
      <xdr:row>31</xdr:row>
      <xdr:rowOff>95249</xdr:rowOff>
    </xdr:from>
    <xdr:to>
      <xdr:col>19</xdr:col>
      <xdr:colOff>142875</xdr:colOff>
      <xdr:row>43</xdr:row>
      <xdr:rowOff>142874</xdr:rowOff>
    </xdr:to>
    <xdr:graphicFrame macro="">
      <xdr:nvGraphicFramePr>
        <xdr:cNvPr id="24" name="Chart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absolute">
    <xdr:from>
      <xdr:col>16</xdr:col>
      <xdr:colOff>417643</xdr:colOff>
      <xdr:row>1</xdr:row>
      <xdr:rowOff>57149</xdr:rowOff>
    </xdr:from>
    <xdr:to>
      <xdr:col>16</xdr:col>
      <xdr:colOff>737683</xdr:colOff>
      <xdr:row>2</xdr:row>
      <xdr:rowOff>100964</xdr:rowOff>
    </xdr:to>
    <xdr:sp macro="[0]!dashLAST" textlink="">
      <xdr:nvSpPr>
        <xdr:cNvPr id="27" name="Oval 26">
          <a:extLst>
            <a:ext uri="{FF2B5EF4-FFF2-40B4-BE49-F238E27FC236}">
              <a16:creationId xmlns:a16="http://schemas.microsoft.com/office/drawing/2014/main" id="{00000000-0008-0000-0300-00001B000000}"/>
            </a:ext>
          </a:extLst>
        </xdr:cNvPr>
        <xdr:cNvSpPr/>
      </xdr:nvSpPr>
      <xdr:spPr>
        <a:xfrm>
          <a:off x="10574655" y="333374"/>
          <a:ext cx="320040" cy="320040"/>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a:solidFill>
                <a:schemeClr val="bg1"/>
              </a:solidFill>
            </a:rPr>
            <a:t>↓</a:t>
          </a:r>
        </a:p>
      </xdr:txBody>
    </xdr:sp>
    <xdr:clientData/>
  </xdr:twoCellAnchor>
  <xdr:twoCellAnchor editAs="absolute">
    <xdr:from>
      <xdr:col>17</xdr:col>
      <xdr:colOff>206188</xdr:colOff>
      <xdr:row>1</xdr:row>
      <xdr:rowOff>57149</xdr:rowOff>
    </xdr:from>
    <xdr:to>
      <xdr:col>17</xdr:col>
      <xdr:colOff>526228</xdr:colOff>
      <xdr:row>2</xdr:row>
      <xdr:rowOff>100964</xdr:rowOff>
    </xdr:to>
    <xdr:sp macro="[0]!dashup" textlink="">
      <xdr:nvSpPr>
        <xdr:cNvPr id="30" name="Oval 29">
          <a:extLst>
            <a:ext uri="{FF2B5EF4-FFF2-40B4-BE49-F238E27FC236}">
              <a16:creationId xmlns:a16="http://schemas.microsoft.com/office/drawing/2014/main" id="{00000000-0008-0000-0300-00001E000000}"/>
            </a:ext>
          </a:extLst>
        </xdr:cNvPr>
        <xdr:cNvSpPr/>
      </xdr:nvSpPr>
      <xdr:spPr>
        <a:xfrm flipV="1">
          <a:off x="11153775" y="333374"/>
          <a:ext cx="320040" cy="320040"/>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a:solidFill>
                <a:schemeClr val="bg1"/>
              </a:solidFill>
            </a:rPr>
            <a:t>↓</a:t>
          </a:r>
        </a:p>
      </xdr:txBody>
    </xdr:sp>
    <xdr:clientData/>
  </xdr:twoCellAnchor>
  <xdr:twoCellAnchor editAs="absolute">
    <xdr:from>
      <xdr:col>18</xdr:col>
      <xdr:colOff>677336</xdr:colOff>
      <xdr:row>0</xdr:row>
      <xdr:rowOff>130677</xdr:rowOff>
    </xdr:from>
    <xdr:to>
      <xdr:col>19</xdr:col>
      <xdr:colOff>26981</xdr:colOff>
      <xdr:row>1</xdr:row>
      <xdr:rowOff>0</xdr:rowOff>
    </xdr:to>
    <xdr:pic macro="[0]!Maximize">
      <xdr:nvPicPr>
        <xdr:cNvPr id="20" name="Picture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1"/>
        <a:stretch>
          <a:fillRect/>
        </a:stretch>
      </xdr:blipFill>
      <xdr:spPr>
        <a:xfrm>
          <a:off x="12415498" y="130677"/>
          <a:ext cx="140220" cy="146317"/>
        </a:xfrm>
        <a:prstGeom prst="rect">
          <a:avLst/>
        </a:prstGeom>
      </xdr:spPr>
    </xdr:pic>
    <xdr:clientData/>
  </xdr:twoCellAnchor>
  <xdr:twoCellAnchor editAs="absolute">
    <xdr:from>
      <xdr:col>17</xdr:col>
      <xdr:colOff>758163</xdr:colOff>
      <xdr:row>0</xdr:row>
      <xdr:rowOff>112395</xdr:rowOff>
    </xdr:from>
    <xdr:to>
      <xdr:col>18</xdr:col>
      <xdr:colOff>154390</xdr:colOff>
      <xdr:row>1</xdr:row>
      <xdr:rowOff>19050</xdr:rowOff>
    </xdr:to>
    <xdr:pic>
      <xdr:nvPicPr>
        <xdr:cNvPr id="28" name="Picture 27">
          <a:hlinkClick xmlns:r="http://schemas.openxmlformats.org/officeDocument/2006/relationships" r:id="rId12" tooltip="SETTINGS"/>
          <a:extLst>
            <a:ext uri="{FF2B5EF4-FFF2-40B4-BE49-F238E27FC236}">
              <a16:creationId xmlns:a16="http://schemas.microsoft.com/office/drawing/2014/main" id="{00000000-0008-0000-0300-00001C000000}"/>
            </a:ext>
          </a:extLst>
        </xdr:cNvPr>
        <xdr:cNvPicPr>
          <a:picLocks/>
        </xdr:cNvPicPr>
      </xdr:nvPicPr>
      <xdr:blipFill>
        <a:blip xmlns:r="http://schemas.openxmlformats.org/officeDocument/2006/relationships" r:embed="rId13" cstate="print">
          <a:extLst>
            <a:ext uri="{BEBA8EAE-BF5A-486C-A8C5-ECC9F3942E4B}">
              <a14:imgProps xmlns:a14="http://schemas.microsoft.com/office/drawing/2010/main">
                <a14:imgLayer r:embed="rId14">
                  <a14:imgEffect>
                    <a14:brightnessContrast bright="100000" contrast="100000"/>
                  </a14:imgEffect>
                </a14:imgLayer>
              </a14:imgProps>
            </a:ext>
            <a:ext uri="{28A0092B-C50C-407E-A947-70E740481C1C}">
              <a14:useLocalDpi xmlns:a14="http://schemas.microsoft.com/office/drawing/2010/main" val="0"/>
            </a:ext>
          </a:extLst>
        </a:blip>
        <a:srcRect/>
        <a:stretch>
          <a:fillRect/>
        </a:stretch>
      </xdr:blipFill>
      <xdr:spPr bwMode="auto">
        <a:xfrm>
          <a:off x="11705750" y="112395"/>
          <a:ext cx="182880" cy="182880"/>
        </a:xfrm>
        <a:prstGeom prst="rect">
          <a:avLst/>
        </a:prstGeom>
        <a:noFill/>
      </xdr:spPr>
    </xdr:pic>
    <xdr:clientData/>
  </xdr:twoCellAnchor>
  <xdr:twoCellAnchor editAs="absolute">
    <xdr:from>
      <xdr:col>0</xdr:col>
      <xdr:colOff>200024</xdr:colOff>
      <xdr:row>49</xdr:row>
      <xdr:rowOff>142874</xdr:rowOff>
    </xdr:from>
    <xdr:to>
      <xdr:col>5</xdr:col>
      <xdr:colOff>9525</xdr:colOff>
      <xdr:row>54</xdr:row>
      <xdr:rowOff>95250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absolute">
    <xdr:from>
      <xdr:col>15</xdr:col>
      <xdr:colOff>129988</xdr:colOff>
      <xdr:row>4</xdr:row>
      <xdr:rowOff>238125</xdr:rowOff>
    </xdr:from>
    <xdr:to>
      <xdr:col>16</xdr:col>
      <xdr:colOff>742950</xdr:colOff>
      <xdr:row>12</xdr:row>
      <xdr:rowOff>47625</xdr:rowOff>
    </xdr:to>
    <xdr:grpSp>
      <xdr:nvGrpSpPr>
        <xdr:cNvPr id="38" name="Group 37">
          <a:extLst>
            <a:ext uri="{FF2B5EF4-FFF2-40B4-BE49-F238E27FC236}">
              <a16:creationId xmlns:a16="http://schemas.microsoft.com/office/drawing/2014/main" id="{00000000-0008-0000-0300-000026000000}"/>
            </a:ext>
          </a:extLst>
        </xdr:cNvPr>
        <xdr:cNvGrpSpPr/>
      </xdr:nvGrpSpPr>
      <xdr:grpSpPr>
        <a:xfrm>
          <a:off x="9493063" y="1428750"/>
          <a:ext cx="1403537" cy="1485900"/>
          <a:chOff x="9454963" y="1571624"/>
          <a:chExt cx="1280160" cy="1270635"/>
        </a:xfrm>
      </xdr:grpSpPr>
      <xdr:grpSp>
        <xdr:nvGrpSpPr>
          <xdr:cNvPr id="6" name="Group 5">
            <a:extLst>
              <a:ext uri="{FF2B5EF4-FFF2-40B4-BE49-F238E27FC236}">
                <a16:creationId xmlns:a16="http://schemas.microsoft.com/office/drawing/2014/main" id="{00000000-0008-0000-0300-000006000000}"/>
              </a:ext>
            </a:extLst>
          </xdr:cNvPr>
          <xdr:cNvGrpSpPr/>
        </xdr:nvGrpSpPr>
        <xdr:grpSpPr>
          <a:xfrm>
            <a:off x="9454963" y="1571624"/>
            <a:ext cx="1280160" cy="1270635"/>
            <a:chOff x="9467850" y="1447799"/>
            <a:chExt cx="1280160" cy="1280160"/>
          </a:xfrm>
        </xdr:grpSpPr>
        <xdr:sp macro="" textlink="">
          <xdr:nvSpPr>
            <xdr:cNvPr id="5" name="Oval 4">
              <a:extLst>
                <a:ext uri="{FF2B5EF4-FFF2-40B4-BE49-F238E27FC236}">
                  <a16:creationId xmlns:a16="http://schemas.microsoft.com/office/drawing/2014/main" id="{00000000-0008-0000-0300-000005000000}"/>
                </a:ext>
              </a:extLst>
            </xdr:cNvPr>
            <xdr:cNvSpPr/>
          </xdr:nvSpPr>
          <xdr:spPr>
            <a:xfrm>
              <a:off x="9467850" y="1447799"/>
              <a:ext cx="1280160" cy="1280160"/>
            </a:xfrm>
            <a:prstGeom prst="ellipse">
              <a:avLst/>
            </a:prstGeom>
            <a:gradFill flip="none" rotWithShape="1">
              <a:gsLst>
                <a:gs pos="70000">
                  <a:schemeClr val="accent3">
                    <a:alpha val="0"/>
                  </a:schemeClr>
                </a:gs>
                <a:gs pos="30000">
                  <a:schemeClr val="accent3">
                    <a:alpha val="50000"/>
                  </a:schemeClr>
                </a:gs>
              </a:gsLst>
              <a:path path="circle">
                <a:fillToRect l="50000" t="50000" r="50000" b="50000"/>
              </a:path>
              <a:tileRect/>
            </a:gradFill>
            <a:ln>
              <a:noFill/>
            </a:ln>
            <a:effectLst>
              <a:glow rad="50800">
                <a:schemeClr val="accent3">
                  <a:alpha val="4000"/>
                </a:schemeClr>
              </a:glow>
              <a:outerShdw blurRad="50800" dist="12700" dir="5400000" algn="ctr" rotWithShape="0">
                <a:srgbClr val="000000">
                  <a:alpha val="43137"/>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aphicFrame macro="">
          <xdr:nvGraphicFramePr>
            <xdr:cNvPr id="22" name="Chart 21">
              <a:extLst>
                <a:ext uri="{FF2B5EF4-FFF2-40B4-BE49-F238E27FC236}">
                  <a16:creationId xmlns:a16="http://schemas.microsoft.com/office/drawing/2014/main" id="{00000000-0008-0000-0300-000016000000}"/>
                </a:ext>
              </a:extLst>
            </xdr:cNvPr>
            <xdr:cNvGraphicFramePr>
              <a:graphicFrameLocks/>
            </xdr:cNvGraphicFramePr>
          </xdr:nvGraphicFramePr>
          <xdr:xfrm>
            <a:off x="9555481" y="1530668"/>
            <a:ext cx="1104899" cy="1114423"/>
          </xdr:xfrm>
          <a:graphic>
            <a:graphicData uri="http://schemas.openxmlformats.org/drawingml/2006/chart">
              <c:chart xmlns:c="http://schemas.openxmlformats.org/drawingml/2006/chart" xmlns:r="http://schemas.openxmlformats.org/officeDocument/2006/relationships" r:id="rId16"/>
            </a:graphicData>
          </a:graphic>
        </xdr:graphicFrame>
      </xdr:grpSp>
      <xdr:sp macro="" textlink="$I$32">
        <xdr:nvSpPr>
          <xdr:cNvPr id="15" name="TextBox 14">
            <a:extLst>
              <a:ext uri="{FF2B5EF4-FFF2-40B4-BE49-F238E27FC236}">
                <a16:creationId xmlns:a16="http://schemas.microsoft.com/office/drawing/2014/main" id="{00000000-0008-0000-0300-00000F000000}"/>
              </a:ext>
            </a:extLst>
          </xdr:cNvPr>
          <xdr:cNvSpPr txBox="1"/>
        </xdr:nvSpPr>
        <xdr:spPr>
          <a:xfrm>
            <a:off x="9640471" y="2055298"/>
            <a:ext cx="89081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2C54D856-4AC6-415B-8B58-3B82FB700DDE}" type="TxLink">
              <a:rPr lang="en-US" sz="1400" b="1" i="0" u="none" strike="noStrike">
                <a:solidFill>
                  <a:srgbClr val="BCBFC6"/>
                </a:solidFill>
                <a:latin typeface="Bahnschrift SemiBold" panose="020B0502040204020203" pitchFamily="34" charset="0"/>
                <a:cs typeface="Arial"/>
              </a:rPr>
              <a:pPr algn="ctr"/>
              <a:t>45.5%</a:t>
            </a:fld>
            <a:endParaRPr lang="en-US" sz="2400">
              <a:solidFill>
                <a:schemeClr val="bg2"/>
              </a:solidFill>
              <a:latin typeface="Bahnschrift SemiBold" panose="020B0502040204020203" pitchFamily="34" charset="0"/>
            </a:endParaRPr>
          </a:p>
        </xdr:txBody>
      </xdr:sp>
    </xdr:grpSp>
    <xdr:clientData/>
  </xdr:twoCellAnchor>
  <xdr:twoCellAnchor editAs="absolute">
    <xdr:from>
      <xdr:col>17</xdr:col>
      <xdr:colOff>53788</xdr:colOff>
      <xdr:row>4</xdr:row>
      <xdr:rowOff>238125</xdr:rowOff>
    </xdr:from>
    <xdr:to>
      <xdr:col>18</xdr:col>
      <xdr:colOff>666750</xdr:colOff>
      <xdr:row>12</xdr:row>
      <xdr:rowOff>47625</xdr:rowOff>
    </xdr:to>
    <xdr:grpSp>
      <xdr:nvGrpSpPr>
        <xdr:cNvPr id="40" name="Group 39">
          <a:extLst>
            <a:ext uri="{FF2B5EF4-FFF2-40B4-BE49-F238E27FC236}">
              <a16:creationId xmlns:a16="http://schemas.microsoft.com/office/drawing/2014/main" id="{00000000-0008-0000-0300-000028000000}"/>
            </a:ext>
          </a:extLst>
        </xdr:cNvPr>
        <xdr:cNvGrpSpPr/>
      </xdr:nvGrpSpPr>
      <xdr:grpSpPr>
        <a:xfrm>
          <a:off x="10998013" y="1428750"/>
          <a:ext cx="1403537" cy="1485900"/>
          <a:chOff x="11159938" y="1552575"/>
          <a:chExt cx="1280160" cy="1270635"/>
        </a:xfrm>
      </xdr:grpSpPr>
      <xdr:grpSp>
        <xdr:nvGrpSpPr>
          <xdr:cNvPr id="12" name="Group 11">
            <a:extLst>
              <a:ext uri="{FF2B5EF4-FFF2-40B4-BE49-F238E27FC236}">
                <a16:creationId xmlns:a16="http://schemas.microsoft.com/office/drawing/2014/main" id="{00000000-0008-0000-0300-00000C000000}"/>
              </a:ext>
            </a:extLst>
          </xdr:cNvPr>
          <xdr:cNvGrpSpPr/>
        </xdr:nvGrpSpPr>
        <xdr:grpSpPr>
          <a:xfrm>
            <a:off x="11159938" y="1552575"/>
            <a:ext cx="1280160" cy="1270635"/>
            <a:chOff x="9467850" y="1447799"/>
            <a:chExt cx="1280160" cy="1280160"/>
          </a:xfrm>
        </xdr:grpSpPr>
        <xdr:sp macro="" textlink="">
          <xdr:nvSpPr>
            <xdr:cNvPr id="13" name="Oval 12">
              <a:extLst>
                <a:ext uri="{FF2B5EF4-FFF2-40B4-BE49-F238E27FC236}">
                  <a16:creationId xmlns:a16="http://schemas.microsoft.com/office/drawing/2014/main" id="{00000000-0008-0000-0300-00000D000000}"/>
                </a:ext>
              </a:extLst>
            </xdr:cNvPr>
            <xdr:cNvSpPr/>
          </xdr:nvSpPr>
          <xdr:spPr>
            <a:xfrm>
              <a:off x="9467850" y="1447799"/>
              <a:ext cx="1280160" cy="1280160"/>
            </a:xfrm>
            <a:prstGeom prst="ellipse">
              <a:avLst/>
            </a:prstGeom>
            <a:gradFill flip="none" rotWithShape="1">
              <a:gsLst>
                <a:gs pos="70000">
                  <a:schemeClr val="accent4">
                    <a:lumMod val="100000"/>
                    <a:alpha val="0"/>
                  </a:schemeClr>
                </a:gs>
                <a:gs pos="30000">
                  <a:schemeClr val="accent3">
                    <a:alpha val="50000"/>
                  </a:schemeClr>
                </a:gs>
              </a:gsLst>
              <a:path path="circle">
                <a:fillToRect l="50000" t="50000" r="50000" b="50000"/>
              </a:path>
              <a:tileRect/>
            </a:gradFill>
            <a:ln>
              <a:noFill/>
            </a:ln>
            <a:effectLst>
              <a:glow rad="50800">
                <a:schemeClr val="accent3">
                  <a:alpha val="4000"/>
                </a:schemeClr>
              </a:glow>
              <a:outerShdw blurRad="50800" dist="12700" dir="5400000" algn="ctr" rotWithShape="0">
                <a:srgbClr val="000000">
                  <a:alpha val="43137"/>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aphicFrame macro="">
          <xdr:nvGraphicFramePr>
            <xdr:cNvPr id="14" name="Chart 13">
              <a:extLst>
                <a:ext uri="{FF2B5EF4-FFF2-40B4-BE49-F238E27FC236}">
                  <a16:creationId xmlns:a16="http://schemas.microsoft.com/office/drawing/2014/main" id="{00000000-0008-0000-0300-00000E000000}"/>
                </a:ext>
              </a:extLst>
            </xdr:cNvPr>
            <xdr:cNvGraphicFramePr>
              <a:graphicFrameLocks/>
            </xdr:cNvGraphicFramePr>
          </xdr:nvGraphicFramePr>
          <xdr:xfrm>
            <a:off x="9555481" y="1530668"/>
            <a:ext cx="1104899" cy="1114423"/>
          </xdr:xfrm>
          <a:graphic>
            <a:graphicData uri="http://schemas.openxmlformats.org/drawingml/2006/chart">
              <c:chart xmlns:c="http://schemas.openxmlformats.org/drawingml/2006/chart" xmlns:r="http://schemas.openxmlformats.org/officeDocument/2006/relationships" r:id="rId17"/>
            </a:graphicData>
          </a:graphic>
        </xdr:graphicFrame>
      </xdr:grpSp>
      <xdr:sp macro="" textlink="$X$11">
        <xdr:nvSpPr>
          <xdr:cNvPr id="16" name="TextBox 15">
            <a:extLst>
              <a:ext uri="{FF2B5EF4-FFF2-40B4-BE49-F238E27FC236}">
                <a16:creationId xmlns:a16="http://schemas.microsoft.com/office/drawing/2014/main" id="{00000000-0008-0000-0300-000010000000}"/>
              </a:ext>
            </a:extLst>
          </xdr:cNvPr>
          <xdr:cNvSpPr txBox="1"/>
        </xdr:nvSpPr>
        <xdr:spPr>
          <a:xfrm>
            <a:off x="11362822" y="2036249"/>
            <a:ext cx="88614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94476A38-E689-4EE8-BE7F-2972BA85D069}" type="TxLink">
              <a:rPr lang="en-US" sz="1400" b="0" i="0" u="none" strike="noStrike">
                <a:solidFill>
                  <a:srgbClr val="C4C8F2"/>
                </a:solidFill>
                <a:latin typeface="Bahnschrift SemiBold" panose="020B0502040204020203" pitchFamily="34" charset="0"/>
                <a:cs typeface="Calibri"/>
              </a:rPr>
              <a:pPr algn="ctr"/>
              <a:t>63.5%</a:t>
            </a:fld>
            <a:endParaRPr lang="en-US" sz="1800">
              <a:solidFill>
                <a:srgbClr val="C4C8F2"/>
              </a:solidFill>
              <a:latin typeface="Bahnschrift SemiBold" panose="020B0502040204020203" pitchFamily="34" charset="0"/>
            </a:endParaRPr>
          </a:p>
        </xdr:txBody>
      </xdr:sp>
    </xdr:grpSp>
    <xdr:clientData/>
  </xdr:twoCellAnchor>
  <xdr:twoCellAnchor editAs="absolute">
    <xdr:from>
      <xdr:col>7</xdr:col>
      <xdr:colOff>295275</xdr:colOff>
      <xdr:row>3</xdr:row>
      <xdr:rowOff>9525</xdr:rowOff>
    </xdr:from>
    <xdr:to>
      <xdr:col>13</xdr:col>
      <xdr:colOff>38100</xdr:colOff>
      <xdr:row>4</xdr:row>
      <xdr:rowOff>47625</xdr:rowOff>
    </xdr:to>
    <xdr:sp macro="" textlink="">
      <xdr:nvSpPr>
        <xdr:cNvPr id="26" name="TextBox 25">
          <a:extLst>
            <a:ext uri="{FF2B5EF4-FFF2-40B4-BE49-F238E27FC236}">
              <a16:creationId xmlns:a16="http://schemas.microsoft.com/office/drawing/2014/main" id="{00000000-0008-0000-0300-00001A000000}"/>
            </a:ext>
          </a:extLst>
        </xdr:cNvPr>
        <xdr:cNvSpPr txBox="1"/>
      </xdr:nvSpPr>
      <xdr:spPr>
        <a:xfrm>
          <a:off x="4638675" y="800100"/>
          <a:ext cx="37814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rPr>
            <a:t>O V E R A L L    S U M M A R Y</a:t>
          </a:r>
        </a:p>
      </xdr:txBody>
    </xdr:sp>
    <xdr:clientData/>
  </xdr:twoCellAnchor>
  <xdr:twoCellAnchor editAs="absolute">
    <xdr:from>
      <xdr:col>5</xdr:col>
      <xdr:colOff>133350</xdr:colOff>
      <xdr:row>18</xdr:row>
      <xdr:rowOff>0</xdr:rowOff>
    </xdr:from>
    <xdr:to>
      <xdr:col>14</xdr:col>
      <xdr:colOff>38100</xdr:colOff>
      <xdr:row>19</xdr:row>
      <xdr:rowOff>19050</xdr:rowOff>
    </xdr:to>
    <xdr:sp macro="" textlink="">
      <xdr:nvSpPr>
        <xdr:cNvPr id="33" name="TextBox 32">
          <a:extLst>
            <a:ext uri="{FF2B5EF4-FFF2-40B4-BE49-F238E27FC236}">
              <a16:creationId xmlns:a16="http://schemas.microsoft.com/office/drawing/2014/main" id="{00000000-0008-0000-0300-000021000000}"/>
            </a:ext>
          </a:extLst>
        </xdr:cNvPr>
        <xdr:cNvSpPr txBox="1"/>
      </xdr:nvSpPr>
      <xdr:spPr>
        <a:xfrm>
          <a:off x="3648075" y="4057650"/>
          <a:ext cx="55721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rPr>
            <a:t>P E R FO R M A N C E</a:t>
          </a:r>
        </a:p>
      </xdr:txBody>
    </xdr:sp>
    <xdr:clientData/>
  </xdr:twoCellAnchor>
  <xdr:twoCellAnchor editAs="absolute">
    <xdr:from>
      <xdr:col>5</xdr:col>
      <xdr:colOff>104776</xdr:colOff>
      <xdr:row>29</xdr:row>
      <xdr:rowOff>28575</xdr:rowOff>
    </xdr:from>
    <xdr:to>
      <xdr:col>14</xdr:col>
      <xdr:colOff>28575</xdr:colOff>
      <xdr:row>30</xdr:row>
      <xdr:rowOff>66675</xdr:rowOff>
    </xdr:to>
    <xdr:sp macro="" textlink="">
      <xdr:nvSpPr>
        <xdr:cNvPr id="34" name="TextBox 33">
          <a:extLst>
            <a:ext uri="{FF2B5EF4-FFF2-40B4-BE49-F238E27FC236}">
              <a16:creationId xmlns:a16="http://schemas.microsoft.com/office/drawing/2014/main" id="{00000000-0008-0000-0300-000022000000}"/>
            </a:ext>
          </a:extLst>
        </xdr:cNvPr>
        <xdr:cNvSpPr txBox="1"/>
      </xdr:nvSpPr>
      <xdr:spPr>
        <a:xfrm>
          <a:off x="3619501" y="6629400"/>
          <a:ext cx="5591174"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rPr>
            <a:t>A N A L Y T I C S</a:t>
          </a:r>
        </a:p>
      </xdr:txBody>
    </xdr:sp>
    <xdr:clientData/>
  </xdr:twoCellAnchor>
  <xdr:twoCellAnchor editAs="absolute">
    <xdr:from>
      <xdr:col>5</xdr:col>
      <xdr:colOff>104775</xdr:colOff>
      <xdr:row>44</xdr:row>
      <xdr:rowOff>19050</xdr:rowOff>
    </xdr:from>
    <xdr:to>
      <xdr:col>14</xdr:col>
      <xdr:colOff>38100</xdr:colOff>
      <xdr:row>45</xdr:row>
      <xdr:rowOff>0</xdr:rowOff>
    </xdr:to>
    <xdr:sp macro="" textlink="">
      <xdr:nvSpPr>
        <xdr:cNvPr id="36" name="TextBox 35">
          <a:extLst>
            <a:ext uri="{FF2B5EF4-FFF2-40B4-BE49-F238E27FC236}">
              <a16:creationId xmlns:a16="http://schemas.microsoft.com/office/drawing/2014/main" id="{00000000-0008-0000-0300-000024000000}"/>
            </a:ext>
          </a:extLst>
        </xdr:cNvPr>
        <xdr:cNvSpPr txBox="1"/>
      </xdr:nvSpPr>
      <xdr:spPr>
        <a:xfrm>
          <a:off x="3619500" y="9753600"/>
          <a:ext cx="56007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rPr>
            <a:t>E V</a:t>
          </a:r>
          <a:r>
            <a:rPr lang="en-US" sz="1400" baseline="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rPr>
            <a:t> A L U A T I O N</a:t>
          </a:r>
          <a:endParaRPr lang="en-US" sz="140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endParaRPr>
        </a:p>
      </xdr:txBody>
    </xdr:sp>
    <xdr:clientData/>
  </xdr:twoCellAnchor>
  <xdr:twoCellAnchor editAs="absolute">
    <xdr:from>
      <xdr:col>2</xdr:col>
      <xdr:colOff>238125</xdr:colOff>
      <xdr:row>1</xdr:row>
      <xdr:rowOff>38100</xdr:rowOff>
    </xdr:from>
    <xdr:to>
      <xdr:col>6</xdr:col>
      <xdr:colOff>171450</xdr:colOff>
      <xdr:row>2</xdr:row>
      <xdr:rowOff>38100</xdr:rowOff>
    </xdr:to>
    <xdr:sp macro="" textlink="$C$2">
      <xdr:nvSpPr>
        <xdr:cNvPr id="8" name="TextBox 7">
          <a:extLst>
            <a:ext uri="{FF2B5EF4-FFF2-40B4-BE49-F238E27FC236}">
              <a16:creationId xmlns:a16="http://schemas.microsoft.com/office/drawing/2014/main" id="{3DF53DE3-1AD1-E203-C751-9CDB77DAAC22}"/>
            </a:ext>
          </a:extLst>
        </xdr:cNvPr>
        <xdr:cNvSpPr txBox="1"/>
      </xdr:nvSpPr>
      <xdr:spPr>
        <a:xfrm>
          <a:off x="1752600" y="314325"/>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B6C0AA2-5D56-4122-998E-98E7B7D8399A}" type="TxLink">
            <a:rPr lang="en-US" sz="1050" b="1" i="0" u="none" strike="noStrike">
              <a:solidFill>
                <a:srgbClr val="BCBFC6"/>
              </a:solidFill>
              <a:latin typeface="Century Gothic"/>
            </a:rPr>
            <a:pPr/>
            <a:t>Rocketsheets</a:t>
          </a:fld>
          <a:endParaRPr lang="en-US" sz="1050"/>
        </a:p>
      </xdr:txBody>
    </xdr:sp>
    <xdr:clientData/>
  </xdr:twoCellAnchor>
  <xdr:twoCellAnchor editAs="absolute">
    <xdr:from>
      <xdr:col>15</xdr:col>
      <xdr:colOff>314326</xdr:colOff>
      <xdr:row>8</xdr:row>
      <xdr:rowOff>161925</xdr:rowOff>
    </xdr:from>
    <xdr:to>
      <xdr:col>16</xdr:col>
      <xdr:colOff>552451</xdr:colOff>
      <xdr:row>10</xdr:row>
      <xdr:rowOff>57150</xdr:rowOff>
    </xdr:to>
    <xdr:sp macro="" textlink="">
      <xdr:nvSpPr>
        <xdr:cNvPr id="19" name="TextBox 18">
          <a:extLst>
            <a:ext uri="{FF2B5EF4-FFF2-40B4-BE49-F238E27FC236}">
              <a16:creationId xmlns:a16="http://schemas.microsoft.com/office/drawing/2014/main" id="{AFFA9223-C9C6-CDE8-D032-E15D5A349AB5}"/>
            </a:ext>
          </a:extLst>
        </xdr:cNvPr>
        <xdr:cNvSpPr txBox="1"/>
      </xdr:nvSpPr>
      <xdr:spPr>
        <a:xfrm>
          <a:off x="9810751" y="2228850"/>
          <a:ext cx="10287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2">
                  <a:lumMod val="60000"/>
                  <a:lumOff val="40000"/>
                </a:schemeClr>
              </a:solidFill>
              <a:latin typeface="Bahnschrift Light SemiCondensed" panose="020B0502040204020203" pitchFamily="34" charset="0"/>
            </a:rPr>
            <a:t>Win Rate%</a:t>
          </a:r>
        </a:p>
      </xdr:txBody>
    </xdr:sp>
    <xdr:clientData/>
  </xdr:twoCellAnchor>
  <xdr:twoCellAnchor editAs="absolute">
    <xdr:from>
      <xdr:col>17</xdr:col>
      <xdr:colOff>238126</xdr:colOff>
      <xdr:row>8</xdr:row>
      <xdr:rowOff>152400</xdr:rowOff>
    </xdr:from>
    <xdr:to>
      <xdr:col>18</xdr:col>
      <xdr:colOff>476251</xdr:colOff>
      <xdr:row>10</xdr:row>
      <xdr:rowOff>47625</xdr:rowOff>
    </xdr:to>
    <xdr:sp macro="" textlink="">
      <xdr:nvSpPr>
        <xdr:cNvPr id="21" name="TextBox 20">
          <a:extLst>
            <a:ext uri="{FF2B5EF4-FFF2-40B4-BE49-F238E27FC236}">
              <a16:creationId xmlns:a16="http://schemas.microsoft.com/office/drawing/2014/main" id="{AD108D62-9D2C-404D-9462-346D9055B9A4}"/>
            </a:ext>
          </a:extLst>
        </xdr:cNvPr>
        <xdr:cNvSpPr txBox="1"/>
      </xdr:nvSpPr>
      <xdr:spPr>
        <a:xfrm>
          <a:off x="11315701" y="2219325"/>
          <a:ext cx="10287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2">
                  <a:lumMod val="60000"/>
                  <a:lumOff val="40000"/>
                </a:schemeClr>
              </a:solidFill>
              <a:latin typeface="Bahnschrift Light SemiCondensed" panose="020B0502040204020203" pitchFamily="34" charset="0"/>
            </a:rPr>
            <a:t>Profit Rate%</a:t>
          </a:r>
        </a:p>
      </xdr:txBody>
    </xdr:sp>
    <xdr:clientData/>
  </xdr:twoCellAnchor>
  <xdr:twoCellAnchor editAs="absolute">
    <xdr:from>
      <xdr:col>18</xdr:col>
      <xdr:colOff>342900</xdr:colOff>
      <xdr:row>0</xdr:row>
      <xdr:rowOff>200025</xdr:rowOff>
    </xdr:from>
    <xdr:to>
      <xdr:col>18</xdr:col>
      <xdr:colOff>495300</xdr:colOff>
      <xdr:row>0</xdr:row>
      <xdr:rowOff>227457</xdr:rowOff>
    </xdr:to>
    <xdr:sp macro="[0]!Minimize" textlink="">
      <xdr:nvSpPr>
        <xdr:cNvPr id="7" name="Rectangle 6">
          <a:extLst>
            <a:ext uri="{FF2B5EF4-FFF2-40B4-BE49-F238E27FC236}">
              <a16:creationId xmlns:a16="http://schemas.microsoft.com/office/drawing/2014/main" id="{A7397E9B-1CB8-4AD8-46A4-E7F034EDA277}"/>
            </a:ext>
          </a:extLst>
        </xdr:cNvPr>
        <xdr:cNvSpPr/>
      </xdr:nvSpPr>
      <xdr:spPr>
        <a:xfrm>
          <a:off x="12125325" y="200025"/>
          <a:ext cx="152400" cy="2743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absolute">
        <xdr:from>
          <xdr:col>1</xdr:col>
          <xdr:colOff>923926</xdr:colOff>
          <xdr:row>0</xdr:row>
          <xdr:rowOff>247651</xdr:rowOff>
        </xdr:from>
        <xdr:to>
          <xdr:col>2</xdr:col>
          <xdr:colOff>223869</xdr:colOff>
          <xdr:row>2</xdr:row>
          <xdr:rowOff>198121</xdr:rowOff>
        </xdr:to>
        <xdr:pic>
          <xdr:nvPicPr>
            <xdr:cNvPr id="11" name="Picture 10">
              <a:extLst>
                <a:ext uri="{FF2B5EF4-FFF2-40B4-BE49-F238E27FC236}">
                  <a16:creationId xmlns:a16="http://schemas.microsoft.com/office/drawing/2014/main" id="{82F3DC27-78BB-4985-A7F0-5B87955F9E86}"/>
                </a:ext>
              </a:extLst>
            </xdr:cNvPr>
            <xdr:cNvPicPr>
              <a:picLocks noChangeAspect="1" noChangeArrowheads="1"/>
              <a:extLst>
                <a:ext uri="{84589F7E-364E-4C9E-8A38-B11213B215E9}">
                  <a14:cameraTool cellRange="SETTINGS!$Z$3:$Z$6" spid="_x0000_s30392"/>
                </a:ext>
              </a:extLst>
            </xdr:cNvPicPr>
          </xdr:nvPicPr>
          <xdr:blipFill>
            <a:blip xmlns:r="http://schemas.openxmlformats.org/officeDocument/2006/relationships" r:embed="rId18"/>
            <a:srcRect/>
            <a:stretch>
              <a:fillRect/>
            </a:stretch>
          </xdr:blipFill>
          <xdr:spPr bwMode="auto">
            <a:xfrm>
              <a:off x="1219201" y="247651"/>
              <a:ext cx="519143" cy="50292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1</xdr:col>
      <xdr:colOff>228600</xdr:colOff>
      <xdr:row>0</xdr:row>
      <xdr:rowOff>76200</xdr:rowOff>
    </xdr:from>
    <xdr:to>
      <xdr:col>1</xdr:col>
      <xdr:colOff>1066800</xdr:colOff>
      <xdr:row>1</xdr:row>
      <xdr:rowOff>38100</xdr:rowOff>
    </xdr:to>
    <xdr:sp macro="" textlink="">
      <xdr:nvSpPr>
        <xdr:cNvPr id="23" name="TextBox 22">
          <a:extLst>
            <a:ext uri="{FF2B5EF4-FFF2-40B4-BE49-F238E27FC236}">
              <a16:creationId xmlns:a16="http://schemas.microsoft.com/office/drawing/2014/main" id="{7199FCFC-956B-439C-8885-940E8E92EFDD}"/>
            </a:ext>
          </a:extLst>
        </xdr:cNvPr>
        <xdr:cNvSpPr txBox="1"/>
      </xdr:nvSpPr>
      <xdr:spPr>
        <a:xfrm>
          <a:off x="523875" y="76200"/>
          <a:ext cx="8382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cs typeface="Arial" panose="020B0604020202020204" pitchFamily="34" charset="0"/>
            </a:rPr>
            <a:t>Dashboard</a:t>
          </a:r>
        </a:p>
      </xdr:txBody>
    </xdr:sp>
    <xdr:clientData/>
  </xdr:twoCellAnchor>
  <xdr:twoCellAnchor editAs="absolute">
    <xdr:from>
      <xdr:col>1</xdr:col>
      <xdr:colOff>9525</xdr:colOff>
      <xdr:row>0</xdr:row>
      <xdr:rowOff>95250</xdr:rowOff>
    </xdr:from>
    <xdr:to>
      <xdr:col>1</xdr:col>
      <xdr:colOff>247269</xdr:colOff>
      <xdr:row>1</xdr:row>
      <xdr:rowOff>56769</xdr:rowOff>
    </xdr:to>
    <xdr:pic>
      <xdr:nvPicPr>
        <xdr:cNvPr id="31" name="Picture 30">
          <a:extLst>
            <a:ext uri="{FF2B5EF4-FFF2-40B4-BE49-F238E27FC236}">
              <a16:creationId xmlns:a16="http://schemas.microsoft.com/office/drawing/2014/main" id="{8D71DB03-3203-A641-F734-22D4177C0D1E}"/>
            </a:ext>
          </a:extLst>
        </xdr:cNvPr>
        <xdr:cNvPicPr>
          <a:picLocks noChangeAspect="1"/>
        </xdr:cNvPicPr>
      </xdr:nvPicPr>
      <xdr:blipFill>
        <a:blip xmlns:r="http://schemas.openxmlformats.org/officeDocument/2006/relationships" r:embed="rId19">
          <a:lum bright="70000" contrast="-70000"/>
          <a:extLst>
            <a:ext uri="{28A0092B-C50C-407E-A947-70E740481C1C}">
              <a14:useLocalDpi xmlns:a14="http://schemas.microsoft.com/office/drawing/2010/main" val="0"/>
            </a:ext>
          </a:extLst>
        </a:blip>
        <a:stretch>
          <a:fillRect/>
        </a:stretch>
      </xdr:blipFill>
      <xdr:spPr>
        <a:xfrm>
          <a:off x="304800" y="95250"/>
          <a:ext cx="237744" cy="237744"/>
        </a:xfrm>
        <a:prstGeom prst="rect">
          <a:avLst/>
        </a:prstGeom>
      </xdr:spPr>
    </xdr:pic>
    <xdr:clientData/>
  </xdr:twoCellAnchor>
  <xdr:twoCellAnchor>
    <xdr:from>
      <xdr:col>4</xdr:col>
      <xdr:colOff>14567</xdr:colOff>
      <xdr:row>54</xdr:row>
      <xdr:rowOff>110378</xdr:rowOff>
    </xdr:from>
    <xdr:to>
      <xdr:col>15</xdr:col>
      <xdr:colOff>777128</xdr:colOff>
      <xdr:row>63</xdr:row>
      <xdr:rowOff>28576</xdr:rowOff>
    </xdr:to>
    <xdr:sp macro="" textlink="">
      <xdr:nvSpPr>
        <xdr:cNvPr id="32" name="Rectangle 31">
          <a:extLst>
            <a:ext uri="{FF2B5EF4-FFF2-40B4-BE49-F238E27FC236}">
              <a16:creationId xmlns:a16="http://schemas.microsoft.com/office/drawing/2014/main" id="{323DA0F1-8B62-7ED4-81AF-9C89D64BC791}"/>
            </a:ext>
          </a:extLst>
        </xdr:cNvPr>
        <xdr:cNvSpPr/>
      </xdr:nvSpPr>
      <xdr:spPr>
        <a:xfrm>
          <a:off x="2824442" y="12064253"/>
          <a:ext cx="7315761" cy="2489948"/>
        </a:xfrm>
        <a:prstGeom prst="rect">
          <a:avLst/>
        </a:prstGeom>
        <a:solidFill>
          <a:srgbClr val="0A0D2C">
            <a:alpha val="7882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i="0">
              <a:solidFill>
                <a:schemeClr val="lt1"/>
              </a:solidFill>
              <a:effectLst/>
              <a:latin typeface="+mn-lt"/>
              <a:ea typeface="+mn-ea"/>
              <a:cs typeface="+mn-cs"/>
            </a:rPr>
            <a:t>Upgrade now! </a:t>
          </a:r>
          <a:r>
            <a:rPr lang="en-US" sz="1800" b="0" i="0">
              <a:solidFill>
                <a:schemeClr val="lt1"/>
              </a:solidFill>
              <a:effectLst/>
              <a:latin typeface="+mn-lt"/>
              <a:ea typeface="+mn-ea"/>
              <a:cs typeface="+mn-cs"/>
            </a:rPr>
            <a:t>Experience the full potential of our Forex trading journal by purchasing the full version on our website. Don't let limitations hold you back - trade log entries are limited to 60 logs and some features are restricted in the demo version. </a:t>
          </a:r>
        </a:p>
        <a:p>
          <a:pPr algn="ctr"/>
          <a:endParaRPr lang="en-US" sz="1800" b="0" i="0">
            <a:solidFill>
              <a:schemeClr val="lt1"/>
            </a:solidFill>
            <a:effectLst/>
            <a:latin typeface="+mn-lt"/>
            <a:ea typeface="+mn-ea"/>
            <a:cs typeface="+mn-cs"/>
          </a:endParaRPr>
        </a:p>
        <a:p>
          <a:pPr algn="ctr"/>
          <a:r>
            <a:rPr lang="en-US" sz="1800" b="0" i="0">
              <a:solidFill>
                <a:schemeClr val="lt1"/>
              </a:solidFill>
              <a:effectLst/>
              <a:latin typeface="+mn-lt"/>
              <a:ea typeface="+mn-ea"/>
              <a:cs typeface="+mn-cs"/>
            </a:rPr>
            <a:t>Visit </a:t>
          </a:r>
          <a:r>
            <a:rPr lang="en-US" sz="1800" b="0" i="0"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https://www.rocketsheets.com/product/forex-trading-journal/</a:t>
          </a:r>
          <a:r>
            <a:rPr lang="en-US" sz="1800" b="0" i="0">
              <a:solidFill>
                <a:schemeClr val="accent1"/>
              </a:solidFill>
              <a:effectLst/>
              <a:latin typeface="+mn-lt"/>
              <a:ea typeface="+mn-ea"/>
              <a:cs typeface="+mn-cs"/>
            </a:rPr>
            <a:t> </a:t>
          </a:r>
          <a:r>
            <a:rPr lang="en-US" sz="1800" b="0" i="0">
              <a:solidFill>
                <a:schemeClr val="lt1"/>
              </a:solidFill>
              <a:effectLst/>
              <a:latin typeface="+mn-lt"/>
              <a:ea typeface="+mn-ea"/>
              <a:cs typeface="+mn-cs"/>
            </a:rPr>
            <a:t>now to upgrade and maximize your potential. Use code FTJ20 at checkout to enjoy a 20% discount.</a:t>
          </a:r>
          <a:endParaRPr lang="en-US" sz="36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26</xdr:col>
      <xdr:colOff>885825</xdr:colOff>
      <xdr:row>12</xdr:row>
      <xdr:rowOff>9525</xdr:rowOff>
    </xdr:to>
    <xdr:sp macro="" textlink="">
      <xdr:nvSpPr>
        <xdr:cNvPr id="39" name="Freeform: Shape 38">
          <a:extLst>
            <a:ext uri="{FF2B5EF4-FFF2-40B4-BE49-F238E27FC236}">
              <a16:creationId xmlns:a16="http://schemas.microsoft.com/office/drawing/2014/main" id="{143ED676-376D-8A04-3B54-78AD5A87739A}"/>
            </a:ext>
          </a:extLst>
        </xdr:cNvPr>
        <xdr:cNvSpPr/>
      </xdr:nvSpPr>
      <xdr:spPr>
        <a:xfrm>
          <a:off x="9525" y="0"/>
          <a:ext cx="13325475" cy="2314575"/>
        </a:xfrm>
        <a:custGeom>
          <a:avLst/>
          <a:gdLst>
            <a:gd name="connsiteX0" fmla="*/ 7618217 w 12246428"/>
            <a:gd name="connsiteY0" fmla="*/ 370113 h 2166257"/>
            <a:gd name="connsiteX1" fmla="*/ 7458992 w 12246428"/>
            <a:gd name="connsiteY1" fmla="*/ 529338 h 2166257"/>
            <a:gd name="connsiteX2" fmla="*/ 7458992 w 12246428"/>
            <a:gd name="connsiteY2" fmla="*/ 1865518 h 2166257"/>
            <a:gd name="connsiteX3" fmla="*/ 7618217 w 12246428"/>
            <a:gd name="connsiteY3" fmla="*/ 2024743 h 2166257"/>
            <a:gd name="connsiteX4" fmla="*/ 11412288 w 12246428"/>
            <a:gd name="connsiteY4" fmla="*/ 2024743 h 2166257"/>
            <a:gd name="connsiteX5" fmla="*/ 11571513 w 12246428"/>
            <a:gd name="connsiteY5" fmla="*/ 1865518 h 2166257"/>
            <a:gd name="connsiteX6" fmla="*/ 11571513 w 12246428"/>
            <a:gd name="connsiteY6" fmla="*/ 529338 h 2166257"/>
            <a:gd name="connsiteX7" fmla="*/ 11412288 w 12246428"/>
            <a:gd name="connsiteY7" fmla="*/ 370113 h 2166257"/>
            <a:gd name="connsiteX8" fmla="*/ 2641168 w 12246428"/>
            <a:gd name="connsiteY8" fmla="*/ 370113 h 2166257"/>
            <a:gd name="connsiteX9" fmla="*/ 2481943 w 12246428"/>
            <a:gd name="connsiteY9" fmla="*/ 529338 h 2166257"/>
            <a:gd name="connsiteX10" fmla="*/ 2481943 w 12246428"/>
            <a:gd name="connsiteY10" fmla="*/ 1865518 h 2166257"/>
            <a:gd name="connsiteX11" fmla="*/ 2641168 w 12246428"/>
            <a:gd name="connsiteY11" fmla="*/ 2024743 h 2166257"/>
            <a:gd name="connsiteX12" fmla="*/ 7207919 w 12246428"/>
            <a:gd name="connsiteY12" fmla="*/ 2024743 h 2166257"/>
            <a:gd name="connsiteX13" fmla="*/ 7367144 w 12246428"/>
            <a:gd name="connsiteY13" fmla="*/ 1865518 h 2166257"/>
            <a:gd name="connsiteX14" fmla="*/ 7367144 w 12246428"/>
            <a:gd name="connsiteY14" fmla="*/ 529338 h 2166257"/>
            <a:gd name="connsiteX15" fmla="*/ 7207919 w 12246428"/>
            <a:gd name="connsiteY15" fmla="*/ 370113 h 2166257"/>
            <a:gd name="connsiteX16" fmla="*/ 372176 w 12246428"/>
            <a:gd name="connsiteY16" fmla="*/ 370113 h 2166257"/>
            <a:gd name="connsiteX17" fmla="*/ 212952 w 12246428"/>
            <a:gd name="connsiteY17" fmla="*/ 529338 h 2166257"/>
            <a:gd name="connsiteX18" fmla="*/ 212952 w 12246428"/>
            <a:gd name="connsiteY18" fmla="*/ 1865518 h 2166257"/>
            <a:gd name="connsiteX19" fmla="*/ 372176 w 12246428"/>
            <a:gd name="connsiteY19" fmla="*/ 2024743 h 2166257"/>
            <a:gd name="connsiteX20" fmla="*/ 2230869 w 12246428"/>
            <a:gd name="connsiteY20" fmla="*/ 2024743 h 2166257"/>
            <a:gd name="connsiteX21" fmla="*/ 2390094 w 12246428"/>
            <a:gd name="connsiteY21" fmla="*/ 1865518 h 2166257"/>
            <a:gd name="connsiteX22" fmla="*/ 2390094 w 12246428"/>
            <a:gd name="connsiteY22" fmla="*/ 529338 h 2166257"/>
            <a:gd name="connsiteX23" fmla="*/ 2230869 w 12246428"/>
            <a:gd name="connsiteY23" fmla="*/ 370113 h 2166257"/>
            <a:gd name="connsiteX24" fmla="*/ 0 w 12246428"/>
            <a:gd name="connsiteY24" fmla="*/ 0 h 2166257"/>
            <a:gd name="connsiteX25" fmla="*/ 12246428 w 12246428"/>
            <a:gd name="connsiteY25" fmla="*/ 0 h 2166257"/>
            <a:gd name="connsiteX26" fmla="*/ 12246428 w 12246428"/>
            <a:gd name="connsiteY26" fmla="*/ 2166257 h 2166257"/>
            <a:gd name="connsiteX27" fmla="*/ 0 w 12246428"/>
            <a:gd name="connsiteY27" fmla="*/ 2166257 h 21662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12246428" h="2166257">
              <a:moveTo>
                <a:pt x="7618217" y="370113"/>
              </a:moveTo>
              <a:cubicBezTo>
                <a:pt x="7530279" y="370113"/>
                <a:pt x="7458992" y="441400"/>
                <a:pt x="7458992" y="529338"/>
              </a:cubicBezTo>
              <a:lnTo>
                <a:pt x="7458992" y="1865518"/>
              </a:lnTo>
              <a:cubicBezTo>
                <a:pt x="7458992" y="1953456"/>
                <a:pt x="7530279" y="2024743"/>
                <a:pt x="7618217" y="2024743"/>
              </a:cubicBezTo>
              <a:lnTo>
                <a:pt x="11412288" y="2024743"/>
              </a:lnTo>
              <a:cubicBezTo>
                <a:pt x="11500226" y="2024743"/>
                <a:pt x="11571513" y="1953456"/>
                <a:pt x="11571513" y="1865518"/>
              </a:cubicBezTo>
              <a:lnTo>
                <a:pt x="11571513" y="529338"/>
              </a:lnTo>
              <a:cubicBezTo>
                <a:pt x="11571513" y="441400"/>
                <a:pt x="11500226" y="370113"/>
                <a:pt x="11412288" y="370113"/>
              </a:cubicBezTo>
              <a:close/>
              <a:moveTo>
                <a:pt x="2641168" y="370113"/>
              </a:moveTo>
              <a:cubicBezTo>
                <a:pt x="2553230" y="370113"/>
                <a:pt x="2481943" y="441400"/>
                <a:pt x="2481943" y="529338"/>
              </a:cubicBezTo>
              <a:lnTo>
                <a:pt x="2481943" y="1865518"/>
              </a:lnTo>
              <a:cubicBezTo>
                <a:pt x="2481943" y="1953456"/>
                <a:pt x="2553230" y="2024743"/>
                <a:pt x="2641168" y="2024743"/>
              </a:cubicBezTo>
              <a:lnTo>
                <a:pt x="7207919" y="2024743"/>
              </a:lnTo>
              <a:cubicBezTo>
                <a:pt x="7295857" y="2024743"/>
                <a:pt x="7367144" y="1953456"/>
                <a:pt x="7367144" y="1865518"/>
              </a:cubicBezTo>
              <a:lnTo>
                <a:pt x="7367144" y="529338"/>
              </a:lnTo>
              <a:cubicBezTo>
                <a:pt x="7367144" y="441400"/>
                <a:pt x="7295857" y="370113"/>
                <a:pt x="7207919" y="370113"/>
              </a:cubicBezTo>
              <a:close/>
              <a:moveTo>
                <a:pt x="372176" y="370113"/>
              </a:moveTo>
              <a:cubicBezTo>
                <a:pt x="284238" y="370113"/>
                <a:pt x="212952" y="441400"/>
                <a:pt x="212952" y="529338"/>
              </a:cubicBezTo>
              <a:lnTo>
                <a:pt x="212952" y="1865518"/>
              </a:lnTo>
              <a:cubicBezTo>
                <a:pt x="212952" y="1953456"/>
                <a:pt x="284238" y="2024743"/>
                <a:pt x="372176" y="2024743"/>
              </a:cubicBezTo>
              <a:lnTo>
                <a:pt x="2230869" y="2024743"/>
              </a:lnTo>
              <a:cubicBezTo>
                <a:pt x="2318807" y="2024743"/>
                <a:pt x="2390094" y="1953456"/>
                <a:pt x="2390094" y="1865518"/>
              </a:cubicBezTo>
              <a:lnTo>
                <a:pt x="2390094" y="529338"/>
              </a:lnTo>
              <a:cubicBezTo>
                <a:pt x="2390094" y="441400"/>
                <a:pt x="2318807" y="370113"/>
                <a:pt x="2230869" y="370113"/>
              </a:cubicBezTo>
              <a:close/>
              <a:moveTo>
                <a:pt x="0" y="0"/>
              </a:moveTo>
              <a:lnTo>
                <a:pt x="12246428" y="0"/>
              </a:lnTo>
              <a:lnTo>
                <a:pt x="12246428" y="2166257"/>
              </a:lnTo>
              <a:lnTo>
                <a:pt x="0" y="2166257"/>
              </a:lnTo>
              <a:close/>
            </a:path>
          </a:pathLst>
        </a:cu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10</xdr:col>
      <xdr:colOff>783119</xdr:colOff>
      <xdr:row>6</xdr:row>
      <xdr:rowOff>63129</xdr:rowOff>
    </xdr:from>
    <xdr:to>
      <xdr:col>11</xdr:col>
      <xdr:colOff>255434</xdr:colOff>
      <xdr:row>7</xdr:row>
      <xdr:rowOff>154569</xdr:rowOff>
    </xdr:to>
    <xdr:sp macro="[0]!TLogLAST" textlink="">
      <xdr:nvSpPr>
        <xdr:cNvPr id="25" name="Oval 24">
          <a:extLst>
            <a:ext uri="{FF2B5EF4-FFF2-40B4-BE49-F238E27FC236}">
              <a16:creationId xmlns:a16="http://schemas.microsoft.com/office/drawing/2014/main" id="{00000000-0008-0000-0400-000019000000}"/>
            </a:ext>
          </a:extLst>
        </xdr:cNvPr>
        <xdr:cNvSpPr/>
      </xdr:nvSpPr>
      <xdr:spPr>
        <a:xfrm>
          <a:off x="6983894" y="1768104"/>
          <a:ext cx="320040" cy="320040"/>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bg1"/>
              </a:solidFill>
            </a:rPr>
            <a:t>↓</a:t>
          </a:r>
        </a:p>
      </xdr:txBody>
    </xdr:sp>
    <xdr:clientData/>
  </xdr:twoCellAnchor>
  <xdr:twoCellAnchor editAs="absolute">
    <xdr:from>
      <xdr:col>10</xdr:col>
      <xdr:colOff>311373</xdr:colOff>
      <xdr:row>6</xdr:row>
      <xdr:rowOff>63129</xdr:rowOff>
    </xdr:from>
    <xdr:to>
      <xdr:col>10</xdr:col>
      <xdr:colOff>631413</xdr:colOff>
      <xdr:row>7</xdr:row>
      <xdr:rowOff>154569</xdr:rowOff>
    </xdr:to>
    <xdr:sp macro="[0]!TLogup" textlink="">
      <xdr:nvSpPr>
        <xdr:cNvPr id="60" name="Oval 59">
          <a:extLst>
            <a:ext uri="{FF2B5EF4-FFF2-40B4-BE49-F238E27FC236}">
              <a16:creationId xmlns:a16="http://schemas.microsoft.com/office/drawing/2014/main" id="{00000000-0008-0000-0400-00003C000000}"/>
            </a:ext>
          </a:extLst>
        </xdr:cNvPr>
        <xdr:cNvSpPr/>
      </xdr:nvSpPr>
      <xdr:spPr>
        <a:xfrm flipV="1">
          <a:off x="6512148" y="1768104"/>
          <a:ext cx="320040" cy="320040"/>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bg1"/>
              </a:solidFill>
            </a:rPr>
            <a:t>↓</a:t>
          </a:r>
        </a:p>
      </xdr:txBody>
    </xdr:sp>
    <xdr:clientData/>
  </xdr:twoCellAnchor>
  <xdr:twoCellAnchor editAs="absolute">
    <xdr:from>
      <xdr:col>25</xdr:col>
      <xdr:colOff>629233</xdr:colOff>
      <xdr:row>6</xdr:row>
      <xdr:rowOff>55752</xdr:rowOff>
    </xdr:from>
    <xdr:to>
      <xdr:col>25</xdr:col>
      <xdr:colOff>862066</xdr:colOff>
      <xdr:row>7</xdr:row>
      <xdr:rowOff>55752</xdr:rowOff>
    </xdr:to>
    <xdr:pic macro="[0]!HideColumnSettings">
      <xdr:nvPicPr>
        <xdr:cNvPr id="108" name="ColumnOn" hidden="1">
          <a:extLst>
            <a:ext uri="{FF2B5EF4-FFF2-40B4-BE49-F238E27FC236}">
              <a16:creationId xmlns:a16="http://schemas.microsoft.com/office/drawing/2014/main" id="{00000000-0008-0000-0400-00006C000000}"/>
            </a:ext>
          </a:extLst>
        </xdr:cNvPr>
        <xdr:cNvPicPr>
          <a:picLocks/>
        </xdr:cNvPicPr>
      </xdr:nvPicPr>
      <xdr:blipFill>
        <a:blip xmlns:r="http://schemas.openxmlformats.org/officeDocument/2006/relationships" r:embed="rId1"/>
        <a:stretch>
          <a:fillRect/>
        </a:stretch>
      </xdr:blipFill>
      <xdr:spPr>
        <a:xfrm>
          <a:off x="12192583" y="1760727"/>
          <a:ext cx="232833" cy="228600"/>
        </a:xfrm>
        <a:prstGeom prst="rect">
          <a:avLst/>
        </a:prstGeom>
      </xdr:spPr>
    </xdr:pic>
    <xdr:clientData/>
  </xdr:twoCellAnchor>
  <xdr:twoCellAnchor editAs="absolute">
    <xdr:from>
      <xdr:col>25</xdr:col>
      <xdr:colOff>630340</xdr:colOff>
      <xdr:row>6</xdr:row>
      <xdr:rowOff>59631</xdr:rowOff>
    </xdr:from>
    <xdr:to>
      <xdr:col>25</xdr:col>
      <xdr:colOff>863173</xdr:colOff>
      <xdr:row>7</xdr:row>
      <xdr:rowOff>59631</xdr:rowOff>
    </xdr:to>
    <xdr:pic macro="[0]!DisplayColumnSettings">
      <xdr:nvPicPr>
        <xdr:cNvPr id="109" name="Columnoff">
          <a:extLst>
            <a:ext uri="{FF2B5EF4-FFF2-40B4-BE49-F238E27FC236}">
              <a16:creationId xmlns:a16="http://schemas.microsoft.com/office/drawing/2014/main" id="{00000000-0008-0000-0400-00006D000000}"/>
            </a:ext>
          </a:extLst>
        </xdr:cNvPr>
        <xdr:cNvPicPr>
          <a:picLocks/>
        </xdr:cNvPicPr>
      </xdr:nvPicPr>
      <xdr:blipFill>
        <a:blip xmlns:r="http://schemas.openxmlformats.org/officeDocument/2006/relationships" r:embed="rId2"/>
        <a:stretch>
          <a:fillRect/>
        </a:stretch>
      </xdr:blipFill>
      <xdr:spPr>
        <a:xfrm>
          <a:off x="12193690" y="1764606"/>
          <a:ext cx="232833" cy="228600"/>
        </a:xfrm>
        <a:prstGeom prst="rect">
          <a:avLst/>
        </a:prstGeom>
      </xdr:spPr>
    </xdr:pic>
    <xdr:clientData/>
  </xdr:twoCellAnchor>
  <xdr:twoCellAnchor editAs="absolute">
    <xdr:from>
      <xdr:col>7</xdr:col>
      <xdr:colOff>437079</xdr:colOff>
      <xdr:row>6</xdr:row>
      <xdr:rowOff>108849</xdr:rowOff>
    </xdr:from>
    <xdr:to>
      <xdr:col>8</xdr:col>
      <xdr:colOff>75129</xdr:colOff>
      <xdr:row>7</xdr:row>
      <xdr:rowOff>108849</xdr:rowOff>
    </xdr:to>
    <xdr:sp macro="[0]!LogLosers" textlink="">
      <xdr:nvSpPr>
        <xdr:cNvPr id="51" name="losstradesoff">
          <a:extLst>
            <a:ext uri="{FF2B5EF4-FFF2-40B4-BE49-F238E27FC236}">
              <a16:creationId xmlns:a16="http://schemas.microsoft.com/office/drawing/2014/main" id="{00000000-0008-0000-0400-000033000000}"/>
            </a:ext>
          </a:extLst>
        </xdr:cNvPr>
        <xdr:cNvSpPr/>
      </xdr:nvSpPr>
      <xdr:spPr>
        <a:xfrm>
          <a:off x="4123254" y="1813824"/>
          <a:ext cx="457200" cy="228600"/>
        </a:xfrm>
        <a:prstGeom prst="roundRect">
          <a:avLst>
            <a:gd name="adj" fmla="val 50000"/>
          </a:avLst>
        </a:prstGeom>
        <a:solidFill>
          <a:schemeClr val="accent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chemeClr val="bg1"/>
              </a:solidFill>
              <a:latin typeface="Bahnschrift SemiBold SemiConden" panose="020B0502040204020203" pitchFamily="34" charset="0"/>
              <a:cs typeface="Arial" panose="020B0604020202020204" pitchFamily="34" charset="0"/>
            </a:rPr>
            <a:t>L</a:t>
          </a:r>
          <a:endParaRPr lang="en-US" sz="900" b="1">
            <a:solidFill>
              <a:schemeClr val="bg1"/>
            </a:solidFill>
            <a:latin typeface="Bahnschrift SemiBold SemiConden" panose="020B0502040204020203" pitchFamily="34" charset="0"/>
            <a:cs typeface="Arial" panose="020B0604020202020204" pitchFamily="34" charset="0"/>
          </a:endParaRPr>
        </a:p>
      </xdr:txBody>
    </xdr:sp>
    <xdr:clientData/>
  </xdr:twoCellAnchor>
  <xdr:twoCellAnchor editAs="absolute">
    <xdr:from>
      <xdr:col>6</xdr:col>
      <xdr:colOff>116989</xdr:colOff>
      <xdr:row>6</xdr:row>
      <xdr:rowOff>108849</xdr:rowOff>
    </xdr:from>
    <xdr:to>
      <xdr:col>6</xdr:col>
      <xdr:colOff>574189</xdr:colOff>
      <xdr:row>7</xdr:row>
      <xdr:rowOff>108849</xdr:rowOff>
    </xdr:to>
    <xdr:sp macro="[0]!LogAllTrades" textlink="">
      <xdr:nvSpPr>
        <xdr:cNvPr id="59" name="alltradesoff">
          <a:extLst>
            <a:ext uri="{FF2B5EF4-FFF2-40B4-BE49-F238E27FC236}">
              <a16:creationId xmlns:a16="http://schemas.microsoft.com/office/drawing/2014/main" id="{00000000-0008-0000-0400-00003B000000}"/>
            </a:ext>
          </a:extLst>
        </xdr:cNvPr>
        <xdr:cNvSpPr/>
      </xdr:nvSpPr>
      <xdr:spPr>
        <a:xfrm>
          <a:off x="2955439" y="1813824"/>
          <a:ext cx="457200" cy="228600"/>
        </a:xfrm>
        <a:prstGeom prst="roundRect">
          <a:avLst>
            <a:gd name="adj" fmla="val 50000"/>
          </a:avLst>
        </a:prstGeom>
        <a:solidFill>
          <a:schemeClr val="accent3"/>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solidFill>
              <a:latin typeface="Bahnschrift SemiBold" panose="020B0502040204020203" pitchFamily="34" charset="0"/>
              <a:cs typeface="Arial" panose="020B0604020202020204" pitchFamily="34" charset="0"/>
            </a:rPr>
            <a:t>ALL</a:t>
          </a:r>
          <a:endParaRPr lang="en-US" sz="900">
            <a:solidFill>
              <a:schemeClr val="bg1"/>
            </a:solidFill>
            <a:latin typeface="Bahnschrift SemiBold" panose="020B0502040204020203" pitchFamily="34" charset="0"/>
            <a:cs typeface="Arial" panose="020B0604020202020204" pitchFamily="34" charset="0"/>
          </a:endParaRPr>
        </a:p>
      </xdr:txBody>
    </xdr:sp>
    <xdr:clientData/>
  </xdr:twoCellAnchor>
  <xdr:twoCellAnchor editAs="absolute">
    <xdr:from>
      <xdr:col>6</xdr:col>
      <xdr:colOff>700897</xdr:colOff>
      <xdr:row>6</xdr:row>
      <xdr:rowOff>108849</xdr:rowOff>
    </xdr:from>
    <xdr:to>
      <xdr:col>7</xdr:col>
      <xdr:colOff>310372</xdr:colOff>
      <xdr:row>7</xdr:row>
      <xdr:rowOff>108849</xdr:rowOff>
    </xdr:to>
    <xdr:sp macro="[0]!LogWiners" textlink="">
      <xdr:nvSpPr>
        <xdr:cNvPr id="56" name="wintradesoff">
          <a:extLst>
            <a:ext uri="{FF2B5EF4-FFF2-40B4-BE49-F238E27FC236}">
              <a16:creationId xmlns:a16="http://schemas.microsoft.com/office/drawing/2014/main" id="{00000000-0008-0000-0400-000038000000}"/>
            </a:ext>
          </a:extLst>
        </xdr:cNvPr>
        <xdr:cNvSpPr/>
      </xdr:nvSpPr>
      <xdr:spPr>
        <a:xfrm>
          <a:off x="3539347" y="1813824"/>
          <a:ext cx="457200" cy="228600"/>
        </a:xfrm>
        <a:prstGeom prst="roundRect">
          <a:avLst>
            <a:gd name="adj" fmla="val 50000"/>
          </a:avLst>
        </a:prstGeom>
        <a:solidFill>
          <a:schemeClr val="accent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accent6"/>
              </a:solidFill>
              <a:latin typeface="Bahnschrift SemiBold SemiConden" panose="020B0502040204020203" pitchFamily="34" charset="0"/>
              <a:cs typeface="Arial" panose="020B0604020202020204" pitchFamily="34" charset="0"/>
            </a:rPr>
            <a:t>W</a:t>
          </a:r>
          <a:endParaRPr lang="en-US" sz="900">
            <a:solidFill>
              <a:schemeClr val="accent6"/>
            </a:solidFill>
            <a:latin typeface="Bahnschrift SemiBold SemiConden" panose="020B0502040204020203" pitchFamily="34" charset="0"/>
            <a:cs typeface="Arial" panose="020B0604020202020204" pitchFamily="34" charset="0"/>
          </a:endParaRPr>
        </a:p>
      </xdr:txBody>
    </xdr:sp>
    <xdr:clientData/>
  </xdr:twoCellAnchor>
  <xdr:twoCellAnchor editAs="absolute">
    <xdr:from>
      <xdr:col>23</xdr:col>
      <xdr:colOff>542928</xdr:colOff>
      <xdr:row>1</xdr:row>
      <xdr:rowOff>104775</xdr:rowOff>
    </xdr:from>
    <xdr:to>
      <xdr:col>25</xdr:col>
      <xdr:colOff>542925</xdr:colOff>
      <xdr:row>7</xdr:row>
      <xdr:rowOff>219076</xdr:rowOff>
    </xdr:to>
    <xdr:grpSp>
      <xdr:nvGrpSpPr>
        <xdr:cNvPr id="71" name="Group 70">
          <a:extLst>
            <a:ext uri="{FF2B5EF4-FFF2-40B4-BE49-F238E27FC236}">
              <a16:creationId xmlns:a16="http://schemas.microsoft.com/office/drawing/2014/main" id="{00000000-0008-0000-0400-000047000000}"/>
            </a:ext>
          </a:extLst>
        </xdr:cNvPr>
        <xdr:cNvGrpSpPr/>
      </xdr:nvGrpSpPr>
      <xdr:grpSpPr>
        <a:xfrm>
          <a:off x="10372728" y="485775"/>
          <a:ext cx="1733547" cy="1666876"/>
          <a:chOff x="9858973" y="25854"/>
          <a:chExt cx="905728" cy="1402378"/>
        </a:xfrm>
        <a:noFill/>
      </xdr:grpSpPr>
      <xdr:graphicFrame macro="">
        <xdr:nvGraphicFramePr>
          <xdr:cNvPr id="73" name="Chart 72">
            <a:extLst>
              <a:ext uri="{FF2B5EF4-FFF2-40B4-BE49-F238E27FC236}">
                <a16:creationId xmlns:a16="http://schemas.microsoft.com/office/drawing/2014/main" id="{00000000-0008-0000-0400-000049000000}"/>
              </a:ext>
            </a:extLst>
          </xdr:cNvPr>
          <xdr:cNvGraphicFramePr/>
        </xdr:nvGraphicFramePr>
        <xdr:xfrm>
          <a:off x="9858973" y="25854"/>
          <a:ext cx="905728" cy="1402378"/>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74" name="TextBox 73">
            <a:extLst>
              <a:ext uri="{FF2B5EF4-FFF2-40B4-BE49-F238E27FC236}">
                <a16:creationId xmlns:a16="http://schemas.microsoft.com/office/drawing/2014/main" id="{00000000-0008-0000-0400-00004A000000}"/>
              </a:ext>
            </a:extLst>
          </xdr:cNvPr>
          <xdr:cNvSpPr txBox="1"/>
        </xdr:nvSpPr>
        <xdr:spPr>
          <a:xfrm>
            <a:off x="10101837" y="642713"/>
            <a:ext cx="453850" cy="23988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chemeClr val="tx2"/>
                </a:solidFill>
                <a:latin typeface="Arial Narrow" panose="020B0606020202030204" pitchFamily="34" charset="0"/>
              </a:rPr>
              <a:t>TRADES</a:t>
            </a:r>
          </a:p>
        </xdr:txBody>
      </xdr:sp>
    </xdr:grpSp>
    <xdr:clientData/>
  </xdr:twoCellAnchor>
  <xdr:twoCellAnchor editAs="absolute">
    <xdr:from>
      <xdr:col>11</xdr:col>
      <xdr:colOff>407140</xdr:colOff>
      <xdr:row>6</xdr:row>
      <xdr:rowOff>108849</xdr:rowOff>
    </xdr:from>
    <xdr:to>
      <xdr:col>11</xdr:col>
      <xdr:colOff>642819</xdr:colOff>
      <xdr:row>7</xdr:row>
      <xdr:rowOff>108849</xdr:rowOff>
    </xdr:to>
    <xdr:pic macro="[0]!logRestartFilter">
      <xdr:nvPicPr>
        <xdr:cNvPr id="67" name="Picture 66">
          <a:extLst>
            <a:ext uri="{FF2B5EF4-FFF2-40B4-BE49-F238E27FC236}">
              <a16:creationId xmlns:a16="http://schemas.microsoft.com/office/drawing/2014/main" id="{00000000-0008-0000-0400-000043000000}"/>
            </a:ext>
          </a:extLst>
        </xdr:cNvPr>
        <xdr:cNvPicPr>
          <a:picLocks noChangeAspect="1"/>
        </xdr:cNvPicPr>
      </xdr:nvPicPr>
      <xdr:blipFill>
        <a:blip xmlns:r="http://schemas.openxmlformats.org/officeDocument/2006/relationships" r:embed="rId4"/>
        <a:stretch>
          <a:fillRect/>
        </a:stretch>
      </xdr:blipFill>
      <xdr:spPr>
        <a:xfrm>
          <a:off x="7455640" y="1813824"/>
          <a:ext cx="235679" cy="228600"/>
        </a:xfrm>
        <a:prstGeom prst="rect">
          <a:avLst/>
        </a:prstGeom>
      </xdr:spPr>
    </xdr:pic>
    <xdr:clientData/>
  </xdr:twoCellAnchor>
  <xdr:twoCellAnchor editAs="absolute">
    <xdr:from>
      <xdr:col>25</xdr:col>
      <xdr:colOff>851089</xdr:colOff>
      <xdr:row>0</xdr:row>
      <xdr:rowOff>130677</xdr:rowOff>
    </xdr:from>
    <xdr:to>
      <xdr:col>26</xdr:col>
      <xdr:colOff>105484</xdr:colOff>
      <xdr:row>0</xdr:row>
      <xdr:rowOff>276994</xdr:rowOff>
    </xdr:to>
    <xdr:pic macro="[0]!Maximize">
      <xdr:nvPicPr>
        <xdr:cNvPr id="61" name="Picture 60">
          <a:extLst>
            <a:ext uri="{FF2B5EF4-FFF2-40B4-BE49-F238E27FC236}">
              <a16:creationId xmlns:a16="http://schemas.microsoft.com/office/drawing/2014/main" id="{00000000-0008-0000-0400-00003D000000}"/>
            </a:ext>
          </a:extLst>
        </xdr:cNvPr>
        <xdr:cNvPicPr>
          <a:picLocks noChangeAspect="1"/>
        </xdr:cNvPicPr>
      </xdr:nvPicPr>
      <xdr:blipFill>
        <a:blip xmlns:r="http://schemas.openxmlformats.org/officeDocument/2006/relationships" r:embed="rId5"/>
        <a:stretch>
          <a:fillRect/>
        </a:stretch>
      </xdr:blipFill>
      <xdr:spPr>
        <a:xfrm>
          <a:off x="12414439" y="130677"/>
          <a:ext cx="140220" cy="146317"/>
        </a:xfrm>
        <a:prstGeom prst="rect">
          <a:avLst/>
        </a:prstGeom>
      </xdr:spPr>
    </xdr:pic>
    <xdr:clientData/>
  </xdr:twoCellAnchor>
  <xdr:twoCellAnchor editAs="absolute">
    <xdr:from>
      <xdr:col>25</xdr:col>
      <xdr:colOff>511984</xdr:colOff>
      <xdr:row>0</xdr:row>
      <xdr:rowOff>137160</xdr:rowOff>
    </xdr:from>
    <xdr:to>
      <xdr:col>25</xdr:col>
      <xdr:colOff>654859</xdr:colOff>
      <xdr:row>0</xdr:row>
      <xdr:rowOff>270511</xdr:rowOff>
    </xdr:to>
    <xdr:pic macro="[0]!Minimize">
      <xdr:nvPicPr>
        <xdr:cNvPr id="62" name="Picture 61">
          <a:extLst>
            <a:ext uri="{FF2B5EF4-FFF2-40B4-BE49-F238E27FC236}">
              <a16:creationId xmlns:a16="http://schemas.microsoft.com/office/drawing/2014/main" id="{00000000-0008-0000-0400-00003E000000}"/>
            </a:ext>
          </a:extLst>
        </xdr:cNvPr>
        <xdr:cNvPicPr>
          <a:picLocks/>
        </xdr:cNvPicPr>
      </xdr:nvPicPr>
      <xdr:blipFill>
        <a:blip xmlns:r="http://schemas.openxmlformats.org/officeDocument/2006/relationships" r:embed="rId6"/>
        <a:stretch>
          <a:fillRect/>
        </a:stretch>
      </xdr:blipFill>
      <xdr:spPr>
        <a:xfrm>
          <a:off x="12075334" y="137160"/>
          <a:ext cx="142875" cy="133351"/>
        </a:xfrm>
        <a:prstGeom prst="rect">
          <a:avLst/>
        </a:prstGeom>
      </xdr:spPr>
    </xdr:pic>
    <xdr:clientData/>
  </xdr:twoCellAnchor>
  <xdr:twoCellAnchor editAs="absolute">
    <xdr:from>
      <xdr:col>25</xdr:col>
      <xdr:colOff>141342</xdr:colOff>
      <xdr:row>0</xdr:row>
      <xdr:rowOff>112395</xdr:rowOff>
    </xdr:from>
    <xdr:to>
      <xdr:col>25</xdr:col>
      <xdr:colOff>324222</xdr:colOff>
      <xdr:row>0</xdr:row>
      <xdr:rowOff>295275</xdr:rowOff>
    </xdr:to>
    <xdr:pic>
      <xdr:nvPicPr>
        <xdr:cNvPr id="72" name="Picture 71">
          <a:hlinkClick xmlns:r="http://schemas.openxmlformats.org/officeDocument/2006/relationships" r:id="rId7" tooltip="SETTINGS"/>
          <a:extLst>
            <a:ext uri="{FF2B5EF4-FFF2-40B4-BE49-F238E27FC236}">
              <a16:creationId xmlns:a16="http://schemas.microsoft.com/office/drawing/2014/main" id="{00000000-0008-0000-0400-00004800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1704692" y="112395"/>
          <a:ext cx="182880" cy="182880"/>
        </a:xfrm>
        <a:prstGeom prst="rect">
          <a:avLst/>
        </a:prstGeom>
        <a:noFill/>
      </xdr:spPr>
    </xdr:pic>
    <xdr:clientData/>
  </xdr:twoCellAnchor>
  <xdr:twoCellAnchor editAs="absolute">
    <xdr:from>
      <xdr:col>12</xdr:col>
      <xdr:colOff>396876</xdr:colOff>
      <xdr:row>1</xdr:row>
      <xdr:rowOff>85726</xdr:rowOff>
    </xdr:from>
    <xdr:to>
      <xdr:col>23</xdr:col>
      <xdr:colOff>628649</xdr:colOff>
      <xdr:row>7</xdr:row>
      <xdr:rowOff>161925</xdr:rowOff>
    </xdr:to>
    <xdr:graphicFrame macro="">
      <xdr:nvGraphicFramePr>
        <xdr:cNvPr id="12" name="Chart 11">
          <a:extLst>
            <a:ext uri="{FF2B5EF4-FFF2-40B4-BE49-F238E27FC236}">
              <a16:creationId xmlns:a16="http://schemas.microsoft.com/office/drawing/2014/main" id="{00000000-0008-0000-04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absolute">
    <xdr:from>
      <xdr:col>23</xdr:col>
      <xdr:colOff>619125</xdr:colOff>
      <xdr:row>1</xdr:row>
      <xdr:rowOff>85725</xdr:rowOff>
    </xdr:from>
    <xdr:to>
      <xdr:col>25</xdr:col>
      <xdr:colOff>613833</xdr:colOff>
      <xdr:row>8</xdr:row>
      <xdr:rowOff>57150</xdr:rowOff>
    </xdr:to>
    <xdr:grpSp>
      <xdr:nvGrpSpPr>
        <xdr:cNvPr id="7" name="POPUPCOL" hidden="1">
          <a:extLst>
            <a:ext uri="{FF2B5EF4-FFF2-40B4-BE49-F238E27FC236}">
              <a16:creationId xmlns:a16="http://schemas.microsoft.com/office/drawing/2014/main" id="{00000000-0008-0000-0400-000007000000}"/>
            </a:ext>
          </a:extLst>
        </xdr:cNvPr>
        <xdr:cNvGrpSpPr/>
      </xdr:nvGrpSpPr>
      <xdr:grpSpPr>
        <a:xfrm>
          <a:off x="10448925" y="466725"/>
          <a:ext cx="1728258" cy="1752600"/>
          <a:chOff x="10401300" y="466725"/>
          <a:chExt cx="1733550" cy="1752600"/>
        </a:xfrm>
      </xdr:grpSpPr>
      <xdr:grpSp>
        <xdr:nvGrpSpPr>
          <xdr:cNvPr id="5" name="PopColHide" hidden="1">
            <a:extLst>
              <a:ext uri="{FF2B5EF4-FFF2-40B4-BE49-F238E27FC236}">
                <a16:creationId xmlns:a16="http://schemas.microsoft.com/office/drawing/2014/main" id="{00000000-0008-0000-0400-000005000000}"/>
              </a:ext>
            </a:extLst>
          </xdr:cNvPr>
          <xdr:cNvGrpSpPr/>
        </xdr:nvGrpSpPr>
        <xdr:grpSpPr>
          <a:xfrm>
            <a:off x="10401300" y="466725"/>
            <a:ext cx="1733550" cy="1752600"/>
            <a:chOff x="5905500" y="361950"/>
            <a:chExt cx="1733550" cy="1752600"/>
          </a:xfrm>
        </xdr:grpSpPr>
        <xdr:sp macro="" textlink="">
          <xdr:nvSpPr>
            <xdr:cNvPr id="2" name="Rectangle 1" hidden="1">
              <a:extLst>
                <a:ext uri="{FF2B5EF4-FFF2-40B4-BE49-F238E27FC236}">
                  <a16:creationId xmlns:a16="http://schemas.microsoft.com/office/drawing/2014/main" id="{00000000-0008-0000-0400-000002000000}"/>
                </a:ext>
              </a:extLst>
            </xdr:cNvPr>
            <xdr:cNvSpPr/>
          </xdr:nvSpPr>
          <xdr:spPr>
            <a:xfrm flipH="1">
              <a:off x="5924546" y="361950"/>
              <a:ext cx="1600201" cy="1752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400">
                <a:solidFill>
                  <a:schemeClr val="bg1">
                    <a:lumMod val="85000"/>
                  </a:schemeClr>
                </a:solidFill>
                <a:latin typeface="Arial" panose="020B0604020202020204" pitchFamily="34" charset="0"/>
                <a:cs typeface="Arial" panose="020B0604020202020204" pitchFamily="34" charset="0"/>
              </a:endParaRPr>
            </a:p>
          </xdr:txBody>
        </xdr:sp>
        <xdr:sp macro="" textlink="">
          <xdr:nvSpPr>
            <xdr:cNvPr id="3" name="Isosceles Triangle 2" hidden="1">
              <a:extLst>
                <a:ext uri="{FF2B5EF4-FFF2-40B4-BE49-F238E27FC236}">
                  <a16:creationId xmlns:a16="http://schemas.microsoft.com/office/drawing/2014/main" id="{00000000-0008-0000-0400-000003000000}"/>
                </a:ext>
              </a:extLst>
            </xdr:cNvPr>
            <xdr:cNvSpPr/>
          </xdr:nvSpPr>
          <xdr:spPr>
            <a:xfrm rot="5400000">
              <a:off x="7431232" y="1697182"/>
              <a:ext cx="257175" cy="158461"/>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TextBox 43" hidden="1">
              <a:extLst>
                <a:ext uri="{FF2B5EF4-FFF2-40B4-BE49-F238E27FC236}">
                  <a16:creationId xmlns:a16="http://schemas.microsoft.com/office/drawing/2014/main" id="{00000000-0008-0000-0400-00002C000000}"/>
                </a:ext>
              </a:extLst>
            </xdr:cNvPr>
            <xdr:cNvSpPr txBox="1"/>
          </xdr:nvSpPr>
          <xdr:spPr>
            <a:xfrm>
              <a:off x="5905500" y="381001"/>
              <a:ext cx="1438275"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a:solidFill>
                    <a:schemeClr val="tx1">
                      <a:lumMod val="75000"/>
                      <a:lumOff val="25000"/>
                    </a:schemeClr>
                  </a:solidFill>
                  <a:latin typeface="Arial" panose="020B0604020202020204" pitchFamily="34" charset="0"/>
                  <a:cs typeface="Arial" panose="020B0604020202020204" pitchFamily="34" charset="0"/>
                </a:rPr>
                <a:t>SHOW</a:t>
              </a:r>
              <a:r>
                <a:rPr lang="en-US" sz="800" b="1" baseline="0">
                  <a:solidFill>
                    <a:schemeClr val="tx1">
                      <a:lumMod val="75000"/>
                      <a:lumOff val="25000"/>
                    </a:schemeClr>
                  </a:solidFill>
                  <a:latin typeface="Arial" panose="020B0604020202020204" pitchFamily="34" charset="0"/>
                  <a:cs typeface="Arial" panose="020B0604020202020204" pitchFamily="34" charset="0"/>
                </a:rPr>
                <a:t> / HIDE COLUMN</a:t>
              </a:r>
              <a:endParaRPr lang="en-US" sz="800" b="1">
                <a:solidFill>
                  <a:schemeClr val="tx1">
                    <a:lumMod val="75000"/>
                    <a:lumOff val="25000"/>
                  </a:schemeClr>
                </a:solidFill>
                <a:latin typeface="Arial" panose="020B0604020202020204" pitchFamily="34" charset="0"/>
                <a:cs typeface="Arial" panose="020B0604020202020204" pitchFamily="34" charset="0"/>
              </a:endParaRPr>
            </a:p>
          </xdr:txBody>
        </xdr:sp>
        <xdr:sp macro="[0]!OnCalculation" textlink="">
          <xdr:nvSpPr>
            <xdr:cNvPr id="45" name="OnCalcCol" hidden="1">
              <a:extLst>
                <a:ext uri="{FF2B5EF4-FFF2-40B4-BE49-F238E27FC236}">
                  <a16:creationId xmlns:a16="http://schemas.microsoft.com/office/drawing/2014/main" id="{00000000-0008-0000-0400-00002D000000}"/>
                </a:ext>
              </a:extLst>
            </xdr:cNvPr>
            <xdr:cNvSpPr/>
          </xdr:nvSpPr>
          <xdr:spPr>
            <a:xfrm>
              <a:off x="6072274" y="695325"/>
              <a:ext cx="1295401" cy="249533"/>
            </a:xfrm>
            <a:prstGeom prst="roundRect">
              <a:avLst>
                <a:gd name="adj" fmla="val 50000"/>
              </a:avLst>
            </a:prstGeom>
            <a:solidFill>
              <a:schemeClr val="tx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lumMod val="95000"/>
                    </a:schemeClr>
                  </a:solidFill>
                  <a:latin typeface="Arial" panose="020B0604020202020204" pitchFamily="34" charset="0"/>
                  <a:cs typeface="Arial" panose="020B0604020202020204" pitchFamily="34" charset="0"/>
                </a:rPr>
                <a:t>RESULTS</a:t>
              </a:r>
            </a:p>
          </xdr:txBody>
        </xdr:sp>
        <xdr:sp macro="[0]!Onevaluation" textlink="">
          <xdr:nvSpPr>
            <xdr:cNvPr id="50" name="Onnotes" hidden="1">
              <a:extLst>
                <a:ext uri="{FF2B5EF4-FFF2-40B4-BE49-F238E27FC236}">
                  <a16:creationId xmlns:a16="http://schemas.microsoft.com/office/drawing/2014/main" id="{00000000-0008-0000-0400-000032000000}"/>
                </a:ext>
              </a:extLst>
            </xdr:cNvPr>
            <xdr:cNvSpPr/>
          </xdr:nvSpPr>
          <xdr:spPr>
            <a:xfrm>
              <a:off x="6076950" y="1028700"/>
              <a:ext cx="1295401" cy="249533"/>
            </a:xfrm>
            <a:prstGeom prst="roundRect">
              <a:avLst>
                <a:gd name="adj" fmla="val 50000"/>
              </a:avLst>
            </a:prstGeom>
            <a:solidFill>
              <a:schemeClr val="tx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lumMod val="95000"/>
                    </a:schemeClr>
                  </a:solidFill>
                  <a:latin typeface="Arial" panose="020B0604020202020204" pitchFamily="34" charset="0"/>
                  <a:cs typeface="Arial" panose="020B0604020202020204" pitchFamily="34" charset="0"/>
                </a:rPr>
                <a:t>EVALUATIONS</a:t>
              </a:r>
            </a:p>
          </xdr:txBody>
        </xdr:sp>
        <xdr:sp macro="[0]!Offevaluation" textlink="">
          <xdr:nvSpPr>
            <xdr:cNvPr id="49" name="Offnotes" hidden="1">
              <a:extLst>
                <a:ext uri="{FF2B5EF4-FFF2-40B4-BE49-F238E27FC236}">
                  <a16:creationId xmlns:a16="http://schemas.microsoft.com/office/drawing/2014/main" id="{00000000-0008-0000-0400-000031000000}"/>
                </a:ext>
              </a:extLst>
            </xdr:cNvPr>
            <xdr:cNvSpPr/>
          </xdr:nvSpPr>
          <xdr:spPr>
            <a:xfrm>
              <a:off x="6072274" y="1024897"/>
              <a:ext cx="1295401" cy="249533"/>
            </a:xfrm>
            <a:prstGeom prst="roundRect">
              <a:avLst>
                <a:gd name="adj" fmla="val 50000"/>
              </a:avLst>
            </a:prstGeom>
            <a:solidFill>
              <a:schemeClr val="accent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lumMod val="95000"/>
                    </a:schemeClr>
                  </a:solidFill>
                  <a:latin typeface="Arial" panose="020B0604020202020204" pitchFamily="34" charset="0"/>
                  <a:cs typeface="Arial" panose="020B0604020202020204" pitchFamily="34" charset="0"/>
                </a:rPr>
                <a:t>EVALUATIONS</a:t>
              </a:r>
            </a:p>
          </xdr:txBody>
        </xdr:sp>
        <xdr:sp macro="[0]!overwritemarginon" textlink="">
          <xdr:nvSpPr>
            <xdr:cNvPr id="110" name="MARGINOFF" hidden="1">
              <a:extLst>
                <a:ext uri="{FF2B5EF4-FFF2-40B4-BE49-F238E27FC236}">
                  <a16:creationId xmlns:a16="http://schemas.microsoft.com/office/drawing/2014/main" id="{00000000-0008-0000-0400-00006E000000}"/>
                </a:ext>
              </a:extLst>
            </xdr:cNvPr>
            <xdr:cNvSpPr/>
          </xdr:nvSpPr>
          <xdr:spPr>
            <a:xfrm>
              <a:off x="6072274" y="1360172"/>
              <a:ext cx="1295401" cy="249533"/>
            </a:xfrm>
            <a:prstGeom prst="roundRect">
              <a:avLst>
                <a:gd name="adj" fmla="val 50000"/>
              </a:avLst>
            </a:prstGeom>
            <a:solidFill>
              <a:schemeClr val="accent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lumMod val="95000"/>
                    </a:schemeClr>
                  </a:solidFill>
                  <a:latin typeface="Arial" panose="020B0604020202020204" pitchFamily="34" charset="0"/>
                  <a:cs typeface="Arial" panose="020B0604020202020204" pitchFamily="34" charset="0"/>
                </a:rPr>
                <a:t>LEVERAGE</a:t>
              </a:r>
            </a:p>
          </xdr:txBody>
        </xdr:sp>
        <xdr:sp macro="[0]!OffCalculation" textlink="">
          <xdr:nvSpPr>
            <xdr:cNvPr id="46" name="OffCalcCol" hidden="1">
              <a:extLst>
                <a:ext uri="{FF2B5EF4-FFF2-40B4-BE49-F238E27FC236}">
                  <a16:creationId xmlns:a16="http://schemas.microsoft.com/office/drawing/2014/main" id="{00000000-0008-0000-0400-00002E000000}"/>
                </a:ext>
              </a:extLst>
            </xdr:cNvPr>
            <xdr:cNvSpPr/>
          </xdr:nvSpPr>
          <xdr:spPr>
            <a:xfrm>
              <a:off x="6072274" y="689621"/>
              <a:ext cx="1295401" cy="249533"/>
            </a:xfrm>
            <a:prstGeom prst="roundRect">
              <a:avLst>
                <a:gd name="adj" fmla="val 50000"/>
              </a:avLst>
            </a:prstGeom>
            <a:solidFill>
              <a:schemeClr val="accent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lumMod val="95000"/>
                    </a:schemeClr>
                  </a:solidFill>
                  <a:latin typeface="Arial" panose="020B0604020202020204" pitchFamily="34" charset="0"/>
                  <a:cs typeface="Arial" panose="020B0604020202020204" pitchFamily="34" charset="0"/>
                </a:rPr>
                <a:t>RESULTS</a:t>
              </a:r>
            </a:p>
          </xdr:txBody>
        </xdr:sp>
        <xdr:sp macro="[0]!overwritemarginoff" textlink="">
          <xdr:nvSpPr>
            <xdr:cNvPr id="111" name="MARGINON" hidden="1">
              <a:extLst>
                <a:ext uri="{FF2B5EF4-FFF2-40B4-BE49-F238E27FC236}">
                  <a16:creationId xmlns:a16="http://schemas.microsoft.com/office/drawing/2014/main" id="{00000000-0008-0000-0400-00006F000000}"/>
                </a:ext>
              </a:extLst>
            </xdr:cNvPr>
            <xdr:cNvSpPr/>
          </xdr:nvSpPr>
          <xdr:spPr>
            <a:xfrm>
              <a:off x="6067395" y="1362075"/>
              <a:ext cx="1295401" cy="249533"/>
            </a:xfrm>
            <a:prstGeom prst="roundRect">
              <a:avLst>
                <a:gd name="adj" fmla="val 50000"/>
              </a:avLst>
            </a:prstGeom>
            <a:solidFill>
              <a:schemeClr val="tx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lumMod val="95000"/>
                    </a:schemeClr>
                  </a:solidFill>
                  <a:latin typeface="Arial" panose="020B0604020202020204" pitchFamily="34" charset="0"/>
                  <a:cs typeface="Arial" panose="020B0604020202020204" pitchFamily="34" charset="0"/>
                </a:rPr>
                <a:t>LEVERAGE</a:t>
              </a:r>
            </a:p>
          </xdr:txBody>
        </xdr:sp>
      </xdr:grpSp>
      <xdr:sp macro="[0]!OffSLTP" textlink="">
        <xdr:nvSpPr>
          <xdr:cNvPr id="68" name="SLTPOFF" hidden="1">
            <a:extLst>
              <a:ext uri="{FF2B5EF4-FFF2-40B4-BE49-F238E27FC236}">
                <a16:creationId xmlns:a16="http://schemas.microsoft.com/office/drawing/2014/main" id="{00000000-0008-0000-0400-000044000000}"/>
              </a:ext>
            </a:extLst>
          </xdr:cNvPr>
          <xdr:cNvSpPr/>
        </xdr:nvSpPr>
        <xdr:spPr>
          <a:xfrm>
            <a:off x="10572750" y="1800225"/>
            <a:ext cx="1295401" cy="249533"/>
          </a:xfrm>
          <a:prstGeom prst="roundRect">
            <a:avLst>
              <a:gd name="adj" fmla="val 50000"/>
            </a:avLst>
          </a:prstGeom>
          <a:solidFill>
            <a:schemeClr val="bg1">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lumMod val="95000"/>
                  </a:schemeClr>
                </a:solidFill>
                <a:latin typeface="Arial" panose="020B0604020202020204" pitchFamily="34" charset="0"/>
                <a:cs typeface="Arial" panose="020B0604020202020204" pitchFamily="34" charset="0"/>
              </a:rPr>
              <a:t>S / L   &amp;   T / P</a:t>
            </a:r>
          </a:p>
        </xdr:txBody>
      </xdr:sp>
    </xdr:grpSp>
    <xdr:clientData/>
  </xdr:twoCellAnchor>
  <xdr:twoCellAnchor editAs="absolute">
    <xdr:from>
      <xdr:col>25</xdr:col>
      <xdr:colOff>611584</xdr:colOff>
      <xdr:row>4</xdr:row>
      <xdr:rowOff>151498</xdr:rowOff>
    </xdr:from>
    <xdr:to>
      <xdr:col>25</xdr:col>
      <xdr:colOff>881928</xdr:colOff>
      <xdr:row>5</xdr:row>
      <xdr:rowOff>197218</xdr:rowOff>
    </xdr:to>
    <xdr:pic macro="[0]!addRow">
      <xdr:nvPicPr>
        <xdr:cNvPr id="4" name="Picture 3">
          <a:extLst>
            <a:ext uri="{FF2B5EF4-FFF2-40B4-BE49-F238E27FC236}">
              <a16:creationId xmlns:a16="http://schemas.microsoft.com/office/drawing/2014/main" id="{2BC3A990-BDB5-2F2F-D453-2824C47A51E6}"/>
            </a:ext>
          </a:extLst>
        </xdr:cNvPr>
        <xdr:cNvPicPr>
          <a:picLocks noChangeAspect="1"/>
        </xdr:cNvPicPr>
      </xdr:nvPicPr>
      <xdr:blipFill>
        <a:blip xmlns:r="http://schemas.openxmlformats.org/officeDocument/2006/relationships" r:embed="rId10">
          <a:lum bright="70000" contrast="-70000"/>
          <a:extLst>
            <a:ext uri="{28A0092B-C50C-407E-A947-70E740481C1C}">
              <a14:useLocalDpi xmlns:a14="http://schemas.microsoft.com/office/drawing/2010/main" val="0"/>
            </a:ext>
          </a:extLst>
        </a:blip>
        <a:stretch>
          <a:fillRect/>
        </a:stretch>
      </xdr:blipFill>
      <xdr:spPr>
        <a:xfrm>
          <a:off x="12174934" y="1399273"/>
          <a:ext cx="270344" cy="274320"/>
        </a:xfrm>
        <a:prstGeom prst="rect">
          <a:avLst/>
        </a:prstGeom>
      </xdr:spPr>
    </xdr:pic>
    <xdr:clientData/>
  </xdr:twoCellAnchor>
  <xdr:twoCellAnchor editAs="absolute">
    <xdr:from>
      <xdr:col>25</xdr:col>
      <xdr:colOff>609596</xdr:colOff>
      <xdr:row>1</xdr:row>
      <xdr:rowOff>180975</xdr:rowOff>
    </xdr:from>
    <xdr:to>
      <xdr:col>25</xdr:col>
      <xdr:colOff>883916</xdr:colOff>
      <xdr:row>2</xdr:row>
      <xdr:rowOff>179070</xdr:rowOff>
    </xdr:to>
    <xdr:pic macro="[0]!optimizeFormula">
      <xdr:nvPicPr>
        <xdr:cNvPr id="13" name="Picture 12">
          <a:extLst>
            <a:ext uri="{FF2B5EF4-FFF2-40B4-BE49-F238E27FC236}">
              <a16:creationId xmlns:a16="http://schemas.microsoft.com/office/drawing/2014/main" id="{F7599DC9-7E98-9C96-B37E-EA3535BA73D3}"/>
            </a:ext>
          </a:extLst>
        </xdr:cNvPr>
        <xdr:cNvPicPr>
          <a:picLocks noChangeAspect="1"/>
        </xdr:cNvPicPr>
      </xdr:nvPicPr>
      <xdr:blipFill>
        <a:blip xmlns:r="http://schemas.openxmlformats.org/officeDocument/2006/relationships" r:embed="rId11">
          <a:duotone>
            <a:schemeClr val="accent2">
              <a:shade val="45000"/>
              <a:satMod val="135000"/>
            </a:schemeClr>
            <a:prstClr val="white"/>
          </a:duotone>
          <a:extLst>
            <a:ext uri="{BEBA8EAE-BF5A-486C-A8C5-ECC9F3942E4B}">
              <a14:imgProps xmlns:a14="http://schemas.microsoft.com/office/drawing/2010/main">
                <a14:imgLayer r:embed="rId12">
                  <a14:imgEffect>
                    <a14:colorTemperature colorTemp="8386"/>
                  </a14:imgEffect>
                </a14:imgLayer>
              </a14:imgProps>
            </a:ext>
            <a:ext uri="{28A0092B-C50C-407E-A947-70E740481C1C}">
              <a14:useLocalDpi xmlns:a14="http://schemas.microsoft.com/office/drawing/2010/main" val="0"/>
            </a:ext>
          </a:extLst>
        </a:blip>
        <a:stretch>
          <a:fillRect/>
        </a:stretch>
      </xdr:blipFill>
      <xdr:spPr>
        <a:xfrm>
          <a:off x="12172946" y="561975"/>
          <a:ext cx="274320" cy="274320"/>
        </a:xfrm>
        <a:prstGeom prst="rect">
          <a:avLst/>
        </a:prstGeom>
      </xdr:spPr>
    </xdr:pic>
    <xdr:clientData/>
  </xdr:twoCellAnchor>
  <xdr:twoCellAnchor editAs="absolute">
    <xdr:from>
      <xdr:col>10</xdr:col>
      <xdr:colOff>845285</xdr:colOff>
      <xdr:row>2</xdr:row>
      <xdr:rowOff>57150</xdr:rowOff>
    </xdr:from>
    <xdr:to>
      <xdr:col>12</xdr:col>
      <xdr:colOff>62330</xdr:colOff>
      <xdr:row>2</xdr:row>
      <xdr:rowOff>285750</xdr:rowOff>
    </xdr:to>
    <xdr:grpSp>
      <xdr:nvGrpSpPr>
        <xdr:cNvPr id="15" name="Group 14">
          <a:extLst>
            <a:ext uri="{FF2B5EF4-FFF2-40B4-BE49-F238E27FC236}">
              <a16:creationId xmlns:a16="http://schemas.microsoft.com/office/drawing/2014/main" id="{AF975F12-4DDF-0F4E-3BB9-8269FE5B2F49}"/>
            </a:ext>
          </a:extLst>
        </xdr:cNvPr>
        <xdr:cNvGrpSpPr/>
      </xdr:nvGrpSpPr>
      <xdr:grpSpPr>
        <a:xfrm>
          <a:off x="7046060" y="714375"/>
          <a:ext cx="731520" cy="228600"/>
          <a:chOff x="2302611" y="1560217"/>
          <a:chExt cx="793013" cy="249533"/>
        </a:xfrm>
        <a:noFill/>
      </xdr:grpSpPr>
      <xdr:pic macro="[0]!DATEFILTER">
        <xdr:nvPicPr>
          <xdr:cNvPr id="14" name="Picture 13">
            <a:extLst>
              <a:ext uri="{FF2B5EF4-FFF2-40B4-BE49-F238E27FC236}">
                <a16:creationId xmlns:a16="http://schemas.microsoft.com/office/drawing/2014/main" id="{5DC3BA6E-BF44-3852-641E-C25CDA37554D}"/>
              </a:ext>
            </a:extLst>
          </xdr:cNvPr>
          <xdr:cNvPicPr>
            <a:picLocks noChangeAspect="1"/>
          </xdr:cNvPicPr>
        </xdr:nvPicPr>
        <xdr:blipFill>
          <a:blip xmlns:r="http://schemas.openxmlformats.org/officeDocument/2006/relationships" r:embed="rId13">
            <a:lum bright="70000" contrast="-70000"/>
            <a:extLst>
              <a:ext uri="{28A0092B-C50C-407E-A947-70E740481C1C}">
                <a14:useLocalDpi xmlns:a14="http://schemas.microsoft.com/office/drawing/2010/main" val="0"/>
              </a:ext>
            </a:extLst>
          </a:blip>
          <a:stretch>
            <a:fillRect/>
          </a:stretch>
        </xdr:blipFill>
        <xdr:spPr>
          <a:xfrm>
            <a:off x="2800350" y="1580208"/>
            <a:ext cx="209550" cy="209550"/>
          </a:xfrm>
          <a:prstGeom prst="rect">
            <a:avLst/>
          </a:prstGeom>
          <a:grpFill/>
        </xdr:spPr>
      </xdr:pic>
      <xdr:sp macro="[0]!DATEFILTER" textlink="">
        <xdr:nvSpPr>
          <xdr:cNvPr id="55" name="SHOWENTRY">
            <a:extLst>
              <a:ext uri="{FF2B5EF4-FFF2-40B4-BE49-F238E27FC236}">
                <a16:creationId xmlns:a16="http://schemas.microsoft.com/office/drawing/2014/main" id="{00000000-0008-0000-0400-000037000000}"/>
              </a:ext>
            </a:extLst>
          </xdr:cNvPr>
          <xdr:cNvSpPr/>
        </xdr:nvSpPr>
        <xdr:spPr>
          <a:xfrm>
            <a:off x="2302611" y="1560217"/>
            <a:ext cx="793013" cy="249533"/>
          </a:xfrm>
          <a:prstGeom prst="roundRect">
            <a:avLst>
              <a:gd name="adj" fmla="val 50000"/>
            </a:avLst>
          </a:prstGeom>
          <a:grp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a:solidFill>
                  <a:schemeClr val="bg2"/>
                </a:solidFill>
                <a:latin typeface="Arial" panose="020B0604020202020204" pitchFamily="34" charset="0"/>
                <a:cs typeface="Arial" panose="020B0604020202020204" pitchFamily="34" charset="0"/>
              </a:rPr>
              <a:t>APPLY </a:t>
            </a:r>
          </a:p>
        </xdr:txBody>
      </xdr:sp>
    </xdr:grpSp>
    <xdr:clientData/>
  </xdr:twoCellAnchor>
  <xdr:twoCellAnchor editAs="absolute">
    <xdr:from>
      <xdr:col>9</xdr:col>
      <xdr:colOff>9524</xdr:colOff>
      <xdr:row>2</xdr:row>
      <xdr:rowOff>57150</xdr:rowOff>
    </xdr:from>
    <xdr:to>
      <xdr:col>9</xdr:col>
      <xdr:colOff>741044</xdr:colOff>
      <xdr:row>2</xdr:row>
      <xdr:rowOff>285750</xdr:rowOff>
    </xdr:to>
    <xdr:grpSp>
      <xdr:nvGrpSpPr>
        <xdr:cNvPr id="17" name="Group 16">
          <a:extLst>
            <a:ext uri="{FF2B5EF4-FFF2-40B4-BE49-F238E27FC236}">
              <a16:creationId xmlns:a16="http://schemas.microsoft.com/office/drawing/2014/main" id="{15572F25-B8D8-4C89-A095-18F07B7FEFFF}"/>
            </a:ext>
          </a:extLst>
        </xdr:cNvPr>
        <xdr:cNvGrpSpPr/>
      </xdr:nvGrpSpPr>
      <xdr:grpSpPr>
        <a:xfrm>
          <a:off x="5333999" y="714375"/>
          <a:ext cx="731520" cy="228600"/>
          <a:chOff x="2302611" y="1560217"/>
          <a:chExt cx="793013" cy="249533"/>
        </a:xfrm>
        <a:noFill/>
      </xdr:grpSpPr>
      <xdr:pic macro="[0]!evaluationFilter">
        <xdr:nvPicPr>
          <xdr:cNvPr id="19" name="Picture 18">
            <a:extLst>
              <a:ext uri="{FF2B5EF4-FFF2-40B4-BE49-F238E27FC236}">
                <a16:creationId xmlns:a16="http://schemas.microsoft.com/office/drawing/2014/main" id="{1710C70F-1206-9703-FD5F-14120BF8A528}"/>
              </a:ext>
            </a:extLst>
          </xdr:cNvPr>
          <xdr:cNvPicPr>
            <a:picLocks noChangeAspect="1"/>
          </xdr:cNvPicPr>
        </xdr:nvPicPr>
        <xdr:blipFill>
          <a:blip xmlns:r="http://schemas.openxmlformats.org/officeDocument/2006/relationships" r:embed="rId13">
            <a:lum bright="70000" contrast="-70000"/>
            <a:extLst>
              <a:ext uri="{28A0092B-C50C-407E-A947-70E740481C1C}">
                <a14:useLocalDpi xmlns:a14="http://schemas.microsoft.com/office/drawing/2010/main" val="0"/>
              </a:ext>
            </a:extLst>
          </a:blip>
          <a:stretch>
            <a:fillRect/>
          </a:stretch>
        </xdr:blipFill>
        <xdr:spPr>
          <a:xfrm>
            <a:off x="2800350" y="1580208"/>
            <a:ext cx="209550" cy="209550"/>
          </a:xfrm>
          <a:prstGeom prst="rect">
            <a:avLst/>
          </a:prstGeom>
          <a:grpFill/>
        </xdr:spPr>
      </xdr:pic>
      <xdr:sp macro="[0]!evaluationFilter" textlink="">
        <xdr:nvSpPr>
          <xdr:cNvPr id="20" name="SHOWENTRY">
            <a:extLst>
              <a:ext uri="{FF2B5EF4-FFF2-40B4-BE49-F238E27FC236}">
                <a16:creationId xmlns:a16="http://schemas.microsoft.com/office/drawing/2014/main" id="{3AFFB678-6B2C-2BAF-BCC8-0F944A1D0AD3}"/>
              </a:ext>
            </a:extLst>
          </xdr:cNvPr>
          <xdr:cNvSpPr/>
        </xdr:nvSpPr>
        <xdr:spPr>
          <a:xfrm>
            <a:off x="2302611" y="1560217"/>
            <a:ext cx="793013" cy="249533"/>
          </a:xfrm>
          <a:prstGeom prst="roundRect">
            <a:avLst>
              <a:gd name="adj" fmla="val 50000"/>
            </a:avLst>
          </a:prstGeom>
          <a:grp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a:solidFill>
                  <a:schemeClr val="bg2"/>
                </a:solidFill>
                <a:latin typeface="Arial" panose="020B0604020202020204" pitchFamily="34" charset="0"/>
                <a:cs typeface="Arial" panose="020B0604020202020204" pitchFamily="34" charset="0"/>
              </a:rPr>
              <a:t>APPLY </a:t>
            </a:r>
          </a:p>
        </xdr:txBody>
      </xdr:sp>
    </xdr:grpSp>
    <xdr:clientData/>
  </xdr:twoCellAnchor>
  <xdr:twoCellAnchor editAs="absolute">
    <xdr:from>
      <xdr:col>7</xdr:col>
      <xdr:colOff>19049</xdr:colOff>
      <xdr:row>2</xdr:row>
      <xdr:rowOff>57150</xdr:rowOff>
    </xdr:from>
    <xdr:to>
      <xdr:col>7</xdr:col>
      <xdr:colOff>750569</xdr:colOff>
      <xdr:row>2</xdr:row>
      <xdr:rowOff>285750</xdr:rowOff>
    </xdr:to>
    <xdr:grpSp>
      <xdr:nvGrpSpPr>
        <xdr:cNvPr id="8" name="Group 7">
          <a:extLst>
            <a:ext uri="{FF2B5EF4-FFF2-40B4-BE49-F238E27FC236}">
              <a16:creationId xmlns:a16="http://schemas.microsoft.com/office/drawing/2014/main" id="{C4F9B7FD-8CED-46BD-81DD-A5B972649909}"/>
            </a:ext>
          </a:extLst>
        </xdr:cNvPr>
        <xdr:cNvGrpSpPr/>
      </xdr:nvGrpSpPr>
      <xdr:grpSpPr>
        <a:xfrm>
          <a:off x="3705224" y="714375"/>
          <a:ext cx="731520" cy="228600"/>
          <a:chOff x="2302611" y="1560217"/>
          <a:chExt cx="793013" cy="249533"/>
        </a:xfrm>
        <a:noFill/>
      </xdr:grpSpPr>
      <xdr:pic macro="[0]!logFilterstock">
        <xdr:nvPicPr>
          <xdr:cNvPr id="9" name="Picture 8">
            <a:extLst>
              <a:ext uri="{FF2B5EF4-FFF2-40B4-BE49-F238E27FC236}">
                <a16:creationId xmlns:a16="http://schemas.microsoft.com/office/drawing/2014/main" id="{9BC18358-3777-AA40-6199-98EA9CD5F6E3}"/>
              </a:ext>
            </a:extLst>
          </xdr:cNvPr>
          <xdr:cNvPicPr>
            <a:picLocks noChangeAspect="1"/>
          </xdr:cNvPicPr>
        </xdr:nvPicPr>
        <xdr:blipFill>
          <a:blip xmlns:r="http://schemas.openxmlformats.org/officeDocument/2006/relationships" r:embed="rId13">
            <a:lum bright="70000" contrast="-70000"/>
            <a:extLst>
              <a:ext uri="{28A0092B-C50C-407E-A947-70E740481C1C}">
                <a14:useLocalDpi xmlns:a14="http://schemas.microsoft.com/office/drawing/2010/main" val="0"/>
              </a:ext>
            </a:extLst>
          </a:blip>
          <a:stretch>
            <a:fillRect/>
          </a:stretch>
        </xdr:blipFill>
        <xdr:spPr>
          <a:xfrm>
            <a:off x="2800350" y="1580208"/>
            <a:ext cx="209550" cy="209550"/>
          </a:xfrm>
          <a:prstGeom prst="rect">
            <a:avLst/>
          </a:prstGeom>
          <a:grpFill/>
        </xdr:spPr>
      </xdr:pic>
      <xdr:sp macro="[0]!logFilterstock" textlink="">
        <xdr:nvSpPr>
          <xdr:cNvPr id="10" name="SHOWENTRY">
            <a:extLst>
              <a:ext uri="{FF2B5EF4-FFF2-40B4-BE49-F238E27FC236}">
                <a16:creationId xmlns:a16="http://schemas.microsoft.com/office/drawing/2014/main" id="{9E5CEE9D-0EC9-5574-CE1B-376C420685DA}"/>
              </a:ext>
            </a:extLst>
          </xdr:cNvPr>
          <xdr:cNvSpPr/>
        </xdr:nvSpPr>
        <xdr:spPr>
          <a:xfrm>
            <a:off x="2302611" y="1560217"/>
            <a:ext cx="793013" cy="249533"/>
          </a:xfrm>
          <a:prstGeom prst="roundRect">
            <a:avLst>
              <a:gd name="adj" fmla="val 50000"/>
            </a:avLst>
          </a:prstGeom>
          <a:grp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a:solidFill>
                  <a:schemeClr val="bg2"/>
                </a:solidFill>
                <a:latin typeface="Arial" panose="020B0604020202020204" pitchFamily="34" charset="0"/>
                <a:cs typeface="Arial" panose="020B0604020202020204" pitchFamily="34" charset="0"/>
              </a:rPr>
              <a:t>APPLY </a:t>
            </a:r>
          </a:p>
        </xdr:txBody>
      </xdr:sp>
    </xdr:grpSp>
    <xdr:clientData/>
  </xdr:twoCellAnchor>
  <xdr:twoCellAnchor editAs="absolute">
    <xdr:from>
      <xdr:col>8</xdr:col>
      <xdr:colOff>114300</xdr:colOff>
      <xdr:row>1</xdr:row>
      <xdr:rowOff>161924</xdr:rowOff>
    </xdr:from>
    <xdr:to>
      <xdr:col>8</xdr:col>
      <xdr:colOff>114300</xdr:colOff>
      <xdr:row>7</xdr:row>
      <xdr:rowOff>72389</xdr:rowOff>
    </xdr:to>
    <xdr:cxnSp macro="">
      <xdr:nvCxnSpPr>
        <xdr:cNvPr id="36" name="Straight Connector 35">
          <a:extLst>
            <a:ext uri="{FF2B5EF4-FFF2-40B4-BE49-F238E27FC236}">
              <a16:creationId xmlns:a16="http://schemas.microsoft.com/office/drawing/2014/main" id="{EBB94BA2-3CF5-1467-628E-7DBBAD6D93B3}"/>
            </a:ext>
          </a:extLst>
        </xdr:cNvPr>
        <xdr:cNvCxnSpPr/>
      </xdr:nvCxnSpPr>
      <xdr:spPr>
        <a:xfrm>
          <a:off x="4619625" y="542924"/>
          <a:ext cx="0" cy="1463040"/>
        </a:xfrm>
        <a:prstGeom prst="line">
          <a:avLst/>
        </a:prstGeom>
        <a:ln>
          <a:gradFill>
            <a:gsLst>
              <a:gs pos="0">
                <a:schemeClr val="accent5"/>
              </a:gs>
              <a:gs pos="50000">
                <a:schemeClr val="tx2">
                  <a:lumMod val="75000"/>
                </a:schemeClr>
              </a:gs>
              <a:gs pos="99000">
                <a:schemeClr val="accent5"/>
              </a:gs>
            </a:gsLst>
            <a:lin ang="5400000" scaled="1"/>
          </a:gra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114300</xdr:colOff>
      <xdr:row>1</xdr:row>
      <xdr:rowOff>161924</xdr:rowOff>
    </xdr:from>
    <xdr:to>
      <xdr:col>10</xdr:col>
      <xdr:colOff>114300</xdr:colOff>
      <xdr:row>7</xdr:row>
      <xdr:rowOff>72389</xdr:rowOff>
    </xdr:to>
    <xdr:cxnSp macro="">
      <xdr:nvCxnSpPr>
        <xdr:cNvPr id="37" name="Straight Connector 36">
          <a:extLst>
            <a:ext uri="{FF2B5EF4-FFF2-40B4-BE49-F238E27FC236}">
              <a16:creationId xmlns:a16="http://schemas.microsoft.com/office/drawing/2014/main" id="{EF2CAD06-7783-4839-ABFD-2FA8E35EAC13}"/>
            </a:ext>
          </a:extLst>
        </xdr:cNvPr>
        <xdr:cNvCxnSpPr/>
      </xdr:nvCxnSpPr>
      <xdr:spPr>
        <a:xfrm>
          <a:off x="6315075" y="542924"/>
          <a:ext cx="0" cy="1463040"/>
        </a:xfrm>
        <a:prstGeom prst="line">
          <a:avLst/>
        </a:prstGeom>
        <a:ln>
          <a:gradFill>
            <a:gsLst>
              <a:gs pos="0">
                <a:schemeClr val="accent5"/>
              </a:gs>
              <a:gs pos="50000">
                <a:schemeClr val="tx2">
                  <a:lumMod val="75000"/>
                </a:schemeClr>
              </a:gs>
              <a:gs pos="99000">
                <a:schemeClr val="accent5"/>
              </a:gs>
            </a:gsLst>
            <a:lin ang="5400000" scaled="1"/>
          </a:gra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638175</xdr:colOff>
      <xdr:row>1</xdr:row>
      <xdr:rowOff>57150</xdr:rowOff>
    </xdr:from>
    <xdr:to>
      <xdr:col>6</xdr:col>
      <xdr:colOff>809625</xdr:colOff>
      <xdr:row>2</xdr:row>
      <xdr:rowOff>19050</xdr:rowOff>
    </xdr:to>
    <xdr:sp macro="" textlink="">
      <xdr:nvSpPr>
        <xdr:cNvPr id="38" name="TextBox 37">
          <a:extLst>
            <a:ext uri="{FF2B5EF4-FFF2-40B4-BE49-F238E27FC236}">
              <a16:creationId xmlns:a16="http://schemas.microsoft.com/office/drawing/2014/main" id="{A3732D8E-F5EA-12BB-0EE9-CAE7CA29F687}"/>
            </a:ext>
          </a:extLst>
        </xdr:cNvPr>
        <xdr:cNvSpPr txBox="1"/>
      </xdr:nvSpPr>
      <xdr:spPr>
        <a:xfrm>
          <a:off x="2809875" y="438150"/>
          <a:ext cx="8382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2"/>
              </a:solidFill>
              <a:latin typeface="+mn-lt"/>
              <a:cs typeface="Arial" panose="020B0604020202020204" pitchFamily="34" charset="0"/>
            </a:rPr>
            <a:t>FILTER</a:t>
          </a:r>
        </a:p>
      </xdr:txBody>
    </xdr:sp>
    <xdr:clientData/>
  </xdr:twoCellAnchor>
  <xdr:twoCellAnchor editAs="absolute">
    <xdr:from>
      <xdr:col>26</xdr:col>
      <xdr:colOff>876300</xdr:colOff>
      <xdr:row>0</xdr:row>
      <xdr:rowOff>0</xdr:rowOff>
    </xdr:from>
    <xdr:to>
      <xdr:col>27</xdr:col>
      <xdr:colOff>857250</xdr:colOff>
      <xdr:row>12</xdr:row>
      <xdr:rowOff>9525</xdr:rowOff>
    </xdr:to>
    <xdr:sp macro="" textlink="">
      <xdr:nvSpPr>
        <xdr:cNvPr id="40" name="Rectangle 39">
          <a:extLst>
            <a:ext uri="{FF2B5EF4-FFF2-40B4-BE49-F238E27FC236}">
              <a16:creationId xmlns:a16="http://schemas.microsoft.com/office/drawing/2014/main" id="{440509E5-6BFE-BBAF-0BCB-32BC83F463E2}"/>
            </a:ext>
          </a:extLst>
        </xdr:cNvPr>
        <xdr:cNvSpPr/>
      </xdr:nvSpPr>
      <xdr:spPr>
        <a:xfrm>
          <a:off x="13325475" y="0"/>
          <a:ext cx="1657350" cy="2314575"/>
        </a:xfrm>
        <a:prstGeom prst="rect">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2</xdr:col>
      <xdr:colOff>285750</xdr:colOff>
      <xdr:row>0</xdr:row>
      <xdr:rowOff>76200</xdr:rowOff>
    </xdr:from>
    <xdr:to>
      <xdr:col>3</xdr:col>
      <xdr:colOff>247650</xdr:colOff>
      <xdr:row>0</xdr:row>
      <xdr:rowOff>314325</xdr:rowOff>
    </xdr:to>
    <xdr:sp macro="" textlink="">
      <xdr:nvSpPr>
        <xdr:cNvPr id="41" name="TextBox 40">
          <a:extLst>
            <a:ext uri="{FF2B5EF4-FFF2-40B4-BE49-F238E27FC236}">
              <a16:creationId xmlns:a16="http://schemas.microsoft.com/office/drawing/2014/main" id="{00D7F05A-DA60-42DE-84B0-2DE28191277B}"/>
            </a:ext>
          </a:extLst>
        </xdr:cNvPr>
        <xdr:cNvSpPr txBox="1"/>
      </xdr:nvSpPr>
      <xdr:spPr>
        <a:xfrm>
          <a:off x="523875" y="76200"/>
          <a:ext cx="8382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cs typeface="Arial" panose="020B0604020202020204" pitchFamily="34" charset="0"/>
            </a:rPr>
            <a:t>Trade</a:t>
          </a:r>
          <a:r>
            <a:rPr lang="en-US" sz="1000" baseline="0">
              <a:solidFill>
                <a:schemeClr val="bg2"/>
              </a:solidFill>
              <a:latin typeface="Bahnschrift SemiCondensed" panose="020B0502040204020203" pitchFamily="34" charset="0"/>
              <a:cs typeface="Arial" panose="020B0604020202020204" pitchFamily="34" charset="0"/>
            </a:rPr>
            <a:t> Log</a:t>
          </a:r>
          <a:endParaRPr lang="en-US" sz="1000">
            <a:solidFill>
              <a:schemeClr val="bg2"/>
            </a:solidFill>
            <a:latin typeface="Bahnschrift SemiCondensed" panose="020B0502040204020203" pitchFamily="34" charset="0"/>
            <a:cs typeface="Arial" panose="020B0604020202020204" pitchFamily="34" charset="0"/>
          </a:endParaRPr>
        </a:p>
      </xdr:txBody>
    </xdr:sp>
    <xdr:clientData/>
  </xdr:twoCellAnchor>
  <xdr:twoCellAnchor editAs="absolute">
    <xdr:from>
      <xdr:col>2</xdr:col>
      <xdr:colOff>76200</xdr:colOff>
      <xdr:row>0</xdr:row>
      <xdr:rowOff>104775</xdr:rowOff>
    </xdr:from>
    <xdr:to>
      <xdr:col>2</xdr:col>
      <xdr:colOff>304800</xdr:colOff>
      <xdr:row>0</xdr:row>
      <xdr:rowOff>333375</xdr:rowOff>
    </xdr:to>
    <xdr:pic>
      <xdr:nvPicPr>
        <xdr:cNvPr id="42" name="Picture 41">
          <a:extLst>
            <a:ext uri="{FF2B5EF4-FFF2-40B4-BE49-F238E27FC236}">
              <a16:creationId xmlns:a16="http://schemas.microsoft.com/office/drawing/2014/main" id="{13AD12DF-5DE0-4EB5-8795-695B1A3D296A}"/>
            </a:ext>
          </a:extLst>
        </xdr:cNvPr>
        <xdr:cNvPicPr>
          <a:picLocks noChangeAspect="1"/>
        </xdr:cNvPicPr>
      </xdr:nvPicPr>
      <xdr:blipFill>
        <a:blip xmlns:r="http://schemas.openxmlformats.org/officeDocument/2006/relationships" r:embed="rId14">
          <a:duotone>
            <a:prstClr val="black"/>
            <a:schemeClr val="accent3">
              <a:tint val="45000"/>
              <a:satMod val="400000"/>
            </a:schemeClr>
          </a:duotone>
          <a:extLst>
            <a:ext uri="{BEBA8EAE-BF5A-486C-A8C5-ECC9F3942E4B}">
              <a14:imgProps xmlns:a14="http://schemas.microsoft.com/office/drawing/2010/main">
                <a14:imgLayer r:embed="rId15">
                  <a14:imgEffect>
                    <a14:sharpenSoften amount="4000"/>
                  </a14:imgEffect>
                  <a14:imgEffect>
                    <a14:brightnessContrast bright="100000"/>
                  </a14:imgEffect>
                </a14:imgLayer>
              </a14:imgProps>
            </a:ext>
            <a:ext uri="{28A0092B-C50C-407E-A947-70E740481C1C}">
              <a14:useLocalDpi xmlns:a14="http://schemas.microsoft.com/office/drawing/2010/main" val="0"/>
            </a:ext>
          </a:extLst>
        </a:blip>
        <a:stretch>
          <a:fillRect/>
        </a:stretch>
      </xdr:blipFill>
      <xdr:spPr>
        <a:xfrm>
          <a:off x="314325" y="104775"/>
          <a:ext cx="228600" cy="228600"/>
        </a:xfrm>
        <a:prstGeom prst="rect">
          <a:avLst/>
        </a:prstGeom>
      </xdr:spPr>
    </xdr:pic>
    <xdr:clientData/>
  </xdr:twoCellAnchor>
  <xdr:twoCellAnchor editAs="absolute">
    <xdr:from>
      <xdr:col>2</xdr:col>
      <xdr:colOff>600075</xdr:colOff>
      <xdr:row>1</xdr:row>
      <xdr:rowOff>57150</xdr:rowOff>
    </xdr:from>
    <xdr:to>
      <xdr:col>5</xdr:col>
      <xdr:colOff>514350</xdr:colOff>
      <xdr:row>2</xdr:row>
      <xdr:rowOff>57150</xdr:rowOff>
    </xdr:to>
    <xdr:sp macro="" textlink="DASHBOARD!$C$2">
      <xdr:nvSpPr>
        <xdr:cNvPr id="22" name="TextBox 21">
          <a:extLst>
            <a:ext uri="{FF2B5EF4-FFF2-40B4-BE49-F238E27FC236}">
              <a16:creationId xmlns:a16="http://schemas.microsoft.com/office/drawing/2014/main" id="{2E20569B-E5A5-4C0D-992C-B7D70DE23ED9}"/>
            </a:ext>
          </a:extLst>
        </xdr:cNvPr>
        <xdr:cNvSpPr txBox="1"/>
      </xdr:nvSpPr>
      <xdr:spPr>
        <a:xfrm>
          <a:off x="838200" y="438150"/>
          <a:ext cx="18478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0052007-20C1-4443-965B-7448C85BC17A}" type="TxLink">
            <a:rPr lang="en-US" sz="1000" b="0" i="0" u="none" strike="noStrike">
              <a:solidFill>
                <a:schemeClr val="bg1"/>
              </a:solidFill>
              <a:latin typeface="Bahnschrift Light SemiCondensed" panose="020B0502040204020203" pitchFamily="34" charset="0"/>
            </a:rPr>
            <a:pPr/>
            <a:t>Rocketsheets</a:t>
          </a:fld>
          <a:endParaRPr lang="en-US" sz="1000" b="0">
            <a:solidFill>
              <a:schemeClr val="bg1"/>
            </a:solidFill>
            <a:latin typeface="Bahnschrift Light SemiCondensed" panose="020B0502040204020203" pitchFamily="34" charset="0"/>
          </a:endParaRPr>
        </a:p>
      </xdr:txBody>
    </xdr:sp>
    <xdr:clientData/>
  </xdr:twoCellAnchor>
  <mc:AlternateContent xmlns:mc="http://schemas.openxmlformats.org/markup-compatibility/2006">
    <mc:Choice xmlns:a14="http://schemas.microsoft.com/office/drawing/2010/main" Requires="a14">
      <xdr:twoCellAnchor editAs="absolute">
        <xdr:from>
          <xdr:col>2</xdr:col>
          <xdr:colOff>152400</xdr:colOff>
          <xdr:row>1</xdr:row>
          <xdr:rowOff>57152</xdr:rowOff>
        </xdr:from>
        <xdr:to>
          <xdr:col>2</xdr:col>
          <xdr:colOff>609600</xdr:colOff>
          <xdr:row>2</xdr:row>
          <xdr:rowOff>223840</xdr:rowOff>
        </xdr:to>
        <xdr:pic>
          <xdr:nvPicPr>
            <xdr:cNvPr id="23" name="Picture 22">
              <a:extLst>
                <a:ext uri="{FF2B5EF4-FFF2-40B4-BE49-F238E27FC236}">
                  <a16:creationId xmlns:a16="http://schemas.microsoft.com/office/drawing/2014/main" id="{A6FBABAC-88D7-4ABA-855B-6F8A9ABA1F7B}"/>
                </a:ext>
              </a:extLst>
            </xdr:cNvPr>
            <xdr:cNvPicPr>
              <a:picLocks noChangeAspect="1" noChangeArrowheads="1"/>
              <a:extLst>
                <a:ext uri="{84589F7E-364E-4C9E-8A38-B11213B215E9}">
                  <a14:cameraTool cellRange="SETTINGS!$Z$3:$Z$6" spid="_x0000_s59591"/>
                </a:ext>
              </a:extLst>
            </xdr:cNvPicPr>
          </xdr:nvPicPr>
          <xdr:blipFill>
            <a:blip xmlns:r="http://schemas.openxmlformats.org/officeDocument/2006/relationships" r:embed="rId16"/>
            <a:srcRect/>
            <a:stretch>
              <a:fillRect/>
            </a:stretch>
          </xdr:blipFill>
          <xdr:spPr bwMode="auto">
            <a:xfrm>
              <a:off x="390525" y="438152"/>
              <a:ext cx="457200" cy="44291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25</xdr:col>
      <xdr:colOff>548528</xdr:colOff>
      <xdr:row>2</xdr:row>
      <xdr:rowOff>316006</xdr:rowOff>
    </xdr:from>
    <xdr:to>
      <xdr:col>26</xdr:col>
      <xdr:colOff>46784</xdr:colOff>
      <xdr:row>4</xdr:row>
      <xdr:rowOff>109537</xdr:rowOff>
    </xdr:to>
    <xdr:pic macro="[0]!resetLogCalc">
      <xdr:nvPicPr>
        <xdr:cNvPr id="26" name="Picture 25">
          <a:extLst>
            <a:ext uri="{FF2B5EF4-FFF2-40B4-BE49-F238E27FC236}">
              <a16:creationId xmlns:a16="http://schemas.microsoft.com/office/drawing/2014/main" id="{6E16D351-072A-DE71-3041-76295540BA38}"/>
            </a:ext>
          </a:extLst>
        </xdr:cNvPr>
        <xdr:cNvPicPr>
          <a:picLocks noChangeAspect="1"/>
        </xdr:cNvPicPr>
      </xdr:nvPicPr>
      <xdr:blipFill>
        <a:blip xmlns:r="http://schemas.openxmlformats.org/officeDocument/2006/relationships" r:embed="rId17"/>
        <a:stretch>
          <a:fillRect/>
        </a:stretch>
      </xdr:blipFill>
      <xdr:spPr>
        <a:xfrm>
          <a:off x="12111878" y="973231"/>
          <a:ext cx="384081" cy="384081"/>
        </a:xfrm>
        <a:prstGeom prst="rect">
          <a:avLst/>
        </a:prstGeom>
      </xdr:spPr>
    </xdr:pic>
    <xdr:clientData/>
  </xdr:twoCellAnchor>
  <xdr:twoCellAnchor editAs="absolute">
    <xdr:from>
      <xdr:col>22</xdr:col>
      <xdr:colOff>28575</xdr:colOff>
      <xdr:row>0</xdr:row>
      <xdr:rowOff>47625</xdr:rowOff>
    </xdr:from>
    <xdr:to>
      <xdr:col>23</xdr:col>
      <xdr:colOff>617697</xdr:colOff>
      <xdr:row>0</xdr:row>
      <xdr:rowOff>303679</xdr:rowOff>
    </xdr:to>
    <xdr:pic macro="[0]!reviewmodecol">
      <xdr:nvPicPr>
        <xdr:cNvPr id="21" name="Picture 20">
          <a:extLst>
            <a:ext uri="{FF2B5EF4-FFF2-40B4-BE49-F238E27FC236}">
              <a16:creationId xmlns:a16="http://schemas.microsoft.com/office/drawing/2014/main" id="{F824D58C-C08A-C601-CF01-4943C80F9A39}"/>
            </a:ext>
          </a:extLst>
        </xdr:cNvPr>
        <xdr:cNvPicPr>
          <a:picLocks noChangeAspect="1"/>
        </xdr:cNvPicPr>
      </xdr:nvPicPr>
      <xdr:blipFill>
        <a:blip xmlns:r="http://schemas.openxmlformats.org/officeDocument/2006/relationships" r:embed="rId18"/>
        <a:stretch>
          <a:fillRect/>
        </a:stretch>
      </xdr:blipFill>
      <xdr:spPr>
        <a:xfrm>
          <a:off x="9344025" y="47625"/>
          <a:ext cx="1103472" cy="256054"/>
        </a:xfrm>
        <a:prstGeom prst="rect">
          <a:avLst/>
        </a:prstGeom>
      </xdr:spPr>
    </xdr:pic>
    <xdr:clientData/>
  </xdr:twoCellAnchor>
  <xdr:twoCellAnchor editAs="absolute">
    <xdr:from>
      <xdr:col>23</xdr:col>
      <xdr:colOff>561975</xdr:colOff>
      <xdr:row>0</xdr:row>
      <xdr:rowOff>50673</xdr:rowOff>
    </xdr:from>
    <xdr:to>
      <xdr:col>24</xdr:col>
      <xdr:colOff>842108</xdr:colOff>
      <xdr:row>0</xdr:row>
      <xdr:rowOff>300631</xdr:rowOff>
    </xdr:to>
    <xdr:pic macro="[0]!DEFAULTmodecol">
      <xdr:nvPicPr>
        <xdr:cNvPr id="27" name="Picture 26">
          <a:extLst>
            <a:ext uri="{FF2B5EF4-FFF2-40B4-BE49-F238E27FC236}">
              <a16:creationId xmlns:a16="http://schemas.microsoft.com/office/drawing/2014/main" id="{6D57D611-DE45-3275-78AF-0F365DEC9F8E}"/>
            </a:ext>
          </a:extLst>
        </xdr:cNvPr>
        <xdr:cNvPicPr>
          <a:picLocks noChangeAspect="1"/>
        </xdr:cNvPicPr>
      </xdr:nvPicPr>
      <xdr:blipFill>
        <a:blip xmlns:r="http://schemas.openxmlformats.org/officeDocument/2006/relationships" r:embed="rId19"/>
        <a:stretch>
          <a:fillRect/>
        </a:stretch>
      </xdr:blipFill>
      <xdr:spPr>
        <a:xfrm>
          <a:off x="10391775" y="50673"/>
          <a:ext cx="1127858" cy="249958"/>
        </a:xfrm>
        <a:prstGeom prst="rect">
          <a:avLst/>
        </a:prstGeom>
      </xdr:spPr>
    </xdr:pic>
    <xdr:clientData/>
  </xdr:twoCellAnchor>
  <xdr:twoCellAnchor>
    <xdr:from>
      <xdr:col>5</xdr:col>
      <xdr:colOff>571500</xdr:colOff>
      <xdr:row>73</xdr:row>
      <xdr:rowOff>114300</xdr:rowOff>
    </xdr:from>
    <xdr:to>
      <xdr:col>20</xdr:col>
      <xdr:colOff>191061</xdr:colOff>
      <xdr:row>82</xdr:row>
      <xdr:rowOff>118223</xdr:rowOff>
    </xdr:to>
    <xdr:sp macro="" textlink="">
      <xdr:nvSpPr>
        <xdr:cNvPr id="11" name="Rectangle 10">
          <a:extLst>
            <a:ext uri="{FF2B5EF4-FFF2-40B4-BE49-F238E27FC236}">
              <a16:creationId xmlns:a16="http://schemas.microsoft.com/office/drawing/2014/main" id="{E81D74FA-6C13-4D7F-812C-4F9D70E05363}"/>
            </a:ext>
          </a:extLst>
        </xdr:cNvPr>
        <xdr:cNvSpPr/>
      </xdr:nvSpPr>
      <xdr:spPr>
        <a:xfrm>
          <a:off x="2743200" y="18935700"/>
          <a:ext cx="7315761" cy="2489948"/>
        </a:xfrm>
        <a:prstGeom prst="rect">
          <a:avLst/>
        </a:prstGeom>
        <a:solidFill>
          <a:srgbClr val="0A0D2C">
            <a:alpha val="7882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i="0">
              <a:solidFill>
                <a:schemeClr val="lt1"/>
              </a:solidFill>
              <a:effectLst/>
              <a:latin typeface="+mn-lt"/>
              <a:ea typeface="+mn-ea"/>
              <a:cs typeface="+mn-cs"/>
            </a:rPr>
            <a:t>Upgrade now! </a:t>
          </a:r>
          <a:r>
            <a:rPr lang="en-US" sz="1800" b="0" i="0">
              <a:solidFill>
                <a:schemeClr val="lt1"/>
              </a:solidFill>
              <a:effectLst/>
              <a:latin typeface="+mn-lt"/>
              <a:ea typeface="+mn-ea"/>
              <a:cs typeface="+mn-cs"/>
            </a:rPr>
            <a:t>Experience the full potential of our Forex trading journal by purchasing the full version on our website. Don't let limitations hold you back - trade log entries are limited to 60 logs and some features are restricted in the demo version. </a:t>
          </a:r>
        </a:p>
        <a:p>
          <a:pPr algn="ctr"/>
          <a:endParaRPr lang="en-US" sz="1800" b="0" i="0">
            <a:solidFill>
              <a:schemeClr val="lt1"/>
            </a:solidFill>
            <a:effectLst/>
            <a:latin typeface="+mn-lt"/>
            <a:ea typeface="+mn-ea"/>
            <a:cs typeface="+mn-cs"/>
          </a:endParaRPr>
        </a:p>
        <a:p>
          <a:pPr algn="ctr"/>
          <a:r>
            <a:rPr lang="en-US" sz="1800" b="0" i="0">
              <a:solidFill>
                <a:schemeClr val="lt1"/>
              </a:solidFill>
              <a:effectLst/>
              <a:latin typeface="+mn-lt"/>
              <a:ea typeface="+mn-ea"/>
              <a:cs typeface="+mn-cs"/>
            </a:rPr>
            <a:t>Visit </a:t>
          </a:r>
          <a:r>
            <a:rPr lang="en-US" sz="1800" b="0" i="0"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https://www.rocketsheets.com/product/forex-trading-journal/</a:t>
          </a:r>
          <a:r>
            <a:rPr lang="en-US" sz="1800" b="0" i="0">
              <a:solidFill>
                <a:schemeClr val="accent1"/>
              </a:solidFill>
              <a:effectLst/>
              <a:latin typeface="+mn-lt"/>
              <a:ea typeface="+mn-ea"/>
              <a:cs typeface="+mn-cs"/>
            </a:rPr>
            <a:t> </a:t>
          </a:r>
          <a:r>
            <a:rPr lang="en-US" sz="1800" b="0" i="0">
              <a:solidFill>
                <a:schemeClr val="lt1"/>
              </a:solidFill>
              <a:effectLst/>
              <a:latin typeface="+mn-lt"/>
              <a:ea typeface="+mn-ea"/>
              <a:cs typeface="+mn-cs"/>
            </a:rPr>
            <a:t>now to upgrade and maximize your potential. Use code FTJ20 at checkout to enjoy a 20% discount.</a:t>
          </a:r>
          <a:endParaRPr lang="en-US" sz="36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0.26373</cdr:x>
      <cdr:y>0.32463</cdr:y>
    </cdr:from>
    <cdr:to>
      <cdr:x>0.75824</cdr:x>
      <cdr:y>0.52716</cdr:y>
    </cdr:to>
    <cdr:sp macro="" textlink="'TRADE LOG'!$AE$1">
      <cdr:nvSpPr>
        <cdr:cNvPr id="2" name="TextBox 1">
          <a:extLst xmlns:a="http://schemas.openxmlformats.org/drawingml/2006/main">
            <a:ext uri="{FF2B5EF4-FFF2-40B4-BE49-F238E27FC236}">
              <a16:creationId xmlns:a16="http://schemas.microsoft.com/office/drawing/2014/main" id="{786BE1DD-A1AC-47E1-AE60-89E46D1A5E6F}"/>
            </a:ext>
          </a:extLst>
        </cdr:cNvPr>
        <cdr:cNvSpPr txBox="1"/>
      </cdr:nvSpPr>
      <cdr:spPr>
        <a:xfrm xmlns:a="http://schemas.openxmlformats.org/drawingml/2006/main">
          <a:off x="457197" y="541118"/>
          <a:ext cx="857249" cy="337592"/>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06071F55-93A9-4BCA-999C-89428486DC1B}" type="TxLink">
            <a:rPr lang="en-US" sz="1200" b="0" i="0" u="none" strike="noStrike">
              <a:solidFill>
                <a:schemeClr val="bg2"/>
              </a:solidFill>
              <a:latin typeface="Arial" panose="020B0604020202020204" pitchFamily="34" charset="0"/>
              <a:cs typeface="Arial" panose="020B0604020202020204" pitchFamily="34" charset="0"/>
            </a:rPr>
            <a:pPr algn="ctr"/>
            <a:t>55</a:t>
          </a:fld>
          <a:endParaRPr lang="en-US" sz="1400" b="1">
            <a:solidFill>
              <a:schemeClr val="bg2"/>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9525</xdr:rowOff>
    </xdr:from>
    <xdr:to>
      <xdr:col>21</xdr:col>
      <xdr:colOff>885265</xdr:colOff>
      <xdr:row>12</xdr:row>
      <xdr:rowOff>20731</xdr:rowOff>
    </xdr:to>
    <xdr:sp macro="" textlink="">
      <xdr:nvSpPr>
        <xdr:cNvPr id="4" name="Freeform: Shape 3">
          <a:extLst>
            <a:ext uri="{FF2B5EF4-FFF2-40B4-BE49-F238E27FC236}">
              <a16:creationId xmlns:a16="http://schemas.microsoft.com/office/drawing/2014/main" id="{7E69204B-9BA6-E076-8492-2D33A6A93854}"/>
            </a:ext>
          </a:extLst>
        </xdr:cNvPr>
        <xdr:cNvSpPr/>
      </xdr:nvSpPr>
      <xdr:spPr>
        <a:xfrm>
          <a:off x="0" y="9525"/>
          <a:ext cx="13667815" cy="2135281"/>
        </a:xfrm>
        <a:custGeom>
          <a:avLst/>
          <a:gdLst>
            <a:gd name="connsiteX0" fmla="*/ 7656188 w 13018769"/>
            <a:gd name="connsiteY0" fmla="*/ 340847 h 2019003"/>
            <a:gd name="connsiteX1" fmla="*/ 7509509 w 13018769"/>
            <a:gd name="connsiteY1" fmla="*/ 487526 h 2019003"/>
            <a:gd name="connsiteX2" fmla="*/ 7509509 w 13018769"/>
            <a:gd name="connsiteY2" fmla="*/ 1760078 h 2019003"/>
            <a:gd name="connsiteX3" fmla="*/ 7656188 w 13018769"/>
            <a:gd name="connsiteY3" fmla="*/ 1906757 h 2019003"/>
            <a:gd name="connsiteX4" fmla="*/ 11763380 w 13018769"/>
            <a:gd name="connsiteY4" fmla="*/ 1906757 h 2019003"/>
            <a:gd name="connsiteX5" fmla="*/ 11910059 w 13018769"/>
            <a:gd name="connsiteY5" fmla="*/ 1760078 h 2019003"/>
            <a:gd name="connsiteX6" fmla="*/ 11910059 w 13018769"/>
            <a:gd name="connsiteY6" fmla="*/ 487526 h 2019003"/>
            <a:gd name="connsiteX7" fmla="*/ 11763380 w 13018769"/>
            <a:gd name="connsiteY7" fmla="*/ 340847 h 2019003"/>
            <a:gd name="connsiteX8" fmla="*/ 4970138 w 13018769"/>
            <a:gd name="connsiteY8" fmla="*/ 340847 h 2019003"/>
            <a:gd name="connsiteX9" fmla="*/ 4823459 w 13018769"/>
            <a:gd name="connsiteY9" fmla="*/ 487526 h 2019003"/>
            <a:gd name="connsiteX10" fmla="*/ 4823459 w 13018769"/>
            <a:gd name="connsiteY10" fmla="*/ 1760078 h 2019003"/>
            <a:gd name="connsiteX11" fmla="*/ 4970138 w 13018769"/>
            <a:gd name="connsiteY11" fmla="*/ 1906757 h 2019003"/>
            <a:gd name="connsiteX12" fmla="*/ 7282820 w 13018769"/>
            <a:gd name="connsiteY12" fmla="*/ 1906757 h 2019003"/>
            <a:gd name="connsiteX13" fmla="*/ 7429499 w 13018769"/>
            <a:gd name="connsiteY13" fmla="*/ 1760078 h 2019003"/>
            <a:gd name="connsiteX14" fmla="*/ 7429499 w 13018769"/>
            <a:gd name="connsiteY14" fmla="*/ 487526 h 2019003"/>
            <a:gd name="connsiteX15" fmla="*/ 7282820 w 13018769"/>
            <a:gd name="connsiteY15" fmla="*/ 340847 h 2019003"/>
            <a:gd name="connsiteX16" fmla="*/ 432429 w 13018769"/>
            <a:gd name="connsiteY16" fmla="*/ 340847 h 2019003"/>
            <a:gd name="connsiteX17" fmla="*/ 285749 w 13018769"/>
            <a:gd name="connsiteY17" fmla="*/ 487526 h 2019003"/>
            <a:gd name="connsiteX18" fmla="*/ 285749 w 13018769"/>
            <a:gd name="connsiteY18" fmla="*/ 1760078 h 2019003"/>
            <a:gd name="connsiteX19" fmla="*/ 432429 w 13018769"/>
            <a:gd name="connsiteY19" fmla="*/ 1906757 h 2019003"/>
            <a:gd name="connsiteX20" fmla="*/ 4596771 w 13018769"/>
            <a:gd name="connsiteY20" fmla="*/ 1906757 h 2019003"/>
            <a:gd name="connsiteX21" fmla="*/ 4743451 w 13018769"/>
            <a:gd name="connsiteY21" fmla="*/ 1760078 h 2019003"/>
            <a:gd name="connsiteX22" fmla="*/ 4743451 w 13018769"/>
            <a:gd name="connsiteY22" fmla="*/ 487526 h 2019003"/>
            <a:gd name="connsiteX23" fmla="*/ 4596771 w 13018769"/>
            <a:gd name="connsiteY23" fmla="*/ 340847 h 2019003"/>
            <a:gd name="connsiteX24" fmla="*/ 0 w 13018769"/>
            <a:gd name="connsiteY24" fmla="*/ 0 h 2019003"/>
            <a:gd name="connsiteX25" fmla="*/ 13018769 w 13018769"/>
            <a:gd name="connsiteY25" fmla="*/ 0 h 2019003"/>
            <a:gd name="connsiteX26" fmla="*/ 13018769 w 13018769"/>
            <a:gd name="connsiteY26" fmla="*/ 2019003 h 2019003"/>
            <a:gd name="connsiteX27" fmla="*/ 0 w 13018769"/>
            <a:gd name="connsiteY27" fmla="*/ 2019003 h 20190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13018769" h="2019003">
              <a:moveTo>
                <a:pt x="7656188" y="340847"/>
              </a:moveTo>
              <a:cubicBezTo>
                <a:pt x="7575179" y="340847"/>
                <a:pt x="7509509" y="406517"/>
                <a:pt x="7509509" y="487526"/>
              </a:cubicBezTo>
              <a:lnTo>
                <a:pt x="7509509" y="1760078"/>
              </a:lnTo>
              <a:cubicBezTo>
                <a:pt x="7509509" y="1841087"/>
                <a:pt x="7575179" y="1906757"/>
                <a:pt x="7656188" y="1906757"/>
              </a:cubicBezTo>
              <a:lnTo>
                <a:pt x="11763380" y="1906757"/>
              </a:lnTo>
              <a:cubicBezTo>
                <a:pt x="11844389" y="1906757"/>
                <a:pt x="11910059" y="1841087"/>
                <a:pt x="11910059" y="1760078"/>
              </a:cubicBezTo>
              <a:lnTo>
                <a:pt x="11910059" y="487526"/>
              </a:lnTo>
              <a:cubicBezTo>
                <a:pt x="11910059" y="406517"/>
                <a:pt x="11844389" y="340847"/>
                <a:pt x="11763380" y="340847"/>
              </a:cubicBezTo>
              <a:close/>
              <a:moveTo>
                <a:pt x="4970138" y="340847"/>
              </a:moveTo>
              <a:cubicBezTo>
                <a:pt x="4889129" y="340847"/>
                <a:pt x="4823459" y="406517"/>
                <a:pt x="4823459" y="487526"/>
              </a:cubicBezTo>
              <a:lnTo>
                <a:pt x="4823459" y="1760078"/>
              </a:lnTo>
              <a:cubicBezTo>
                <a:pt x="4823459" y="1841087"/>
                <a:pt x="4889129" y="1906757"/>
                <a:pt x="4970138" y="1906757"/>
              </a:cubicBezTo>
              <a:lnTo>
                <a:pt x="7282820" y="1906757"/>
              </a:lnTo>
              <a:cubicBezTo>
                <a:pt x="7363829" y="1906757"/>
                <a:pt x="7429499" y="1841087"/>
                <a:pt x="7429499" y="1760078"/>
              </a:cubicBezTo>
              <a:lnTo>
                <a:pt x="7429499" y="487526"/>
              </a:lnTo>
              <a:cubicBezTo>
                <a:pt x="7429499" y="406517"/>
                <a:pt x="7363829" y="340847"/>
                <a:pt x="7282820" y="340847"/>
              </a:cubicBezTo>
              <a:close/>
              <a:moveTo>
                <a:pt x="432429" y="340847"/>
              </a:moveTo>
              <a:cubicBezTo>
                <a:pt x="351420" y="340847"/>
                <a:pt x="285749" y="406517"/>
                <a:pt x="285749" y="487526"/>
              </a:cubicBezTo>
              <a:lnTo>
                <a:pt x="285749" y="1760078"/>
              </a:lnTo>
              <a:cubicBezTo>
                <a:pt x="285749" y="1841087"/>
                <a:pt x="351420" y="1906757"/>
                <a:pt x="432429" y="1906757"/>
              </a:cubicBezTo>
              <a:lnTo>
                <a:pt x="4596771" y="1906757"/>
              </a:lnTo>
              <a:cubicBezTo>
                <a:pt x="4677779" y="1906757"/>
                <a:pt x="4743451" y="1841087"/>
                <a:pt x="4743451" y="1760078"/>
              </a:cubicBezTo>
              <a:lnTo>
                <a:pt x="4743451" y="487526"/>
              </a:lnTo>
              <a:cubicBezTo>
                <a:pt x="4743451" y="406517"/>
                <a:pt x="4677779" y="340847"/>
                <a:pt x="4596771" y="340847"/>
              </a:cubicBezTo>
              <a:close/>
              <a:moveTo>
                <a:pt x="0" y="0"/>
              </a:moveTo>
              <a:lnTo>
                <a:pt x="13018769" y="0"/>
              </a:lnTo>
              <a:lnTo>
                <a:pt x="13018769" y="2019003"/>
              </a:lnTo>
              <a:lnTo>
                <a:pt x="0" y="2019003"/>
              </a:lnTo>
              <a:close/>
            </a:path>
          </a:pathLst>
        </a:cu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19</xdr:col>
      <xdr:colOff>661649</xdr:colOff>
      <xdr:row>0</xdr:row>
      <xdr:rowOff>130677</xdr:rowOff>
    </xdr:from>
    <xdr:to>
      <xdr:col>19</xdr:col>
      <xdr:colOff>801869</xdr:colOff>
      <xdr:row>0</xdr:row>
      <xdr:rowOff>276994</xdr:rowOff>
    </xdr:to>
    <xdr:pic macro="[0]!Maximize">
      <xdr:nvPicPr>
        <xdr:cNvPr id="34" name="Picture 33">
          <a:extLst>
            <a:ext uri="{FF2B5EF4-FFF2-40B4-BE49-F238E27FC236}">
              <a16:creationId xmlns:a16="http://schemas.microsoft.com/office/drawing/2014/main" id="{00000000-0008-0000-0500-000022000000}"/>
            </a:ext>
          </a:extLst>
        </xdr:cNvPr>
        <xdr:cNvPicPr>
          <a:picLocks noChangeAspect="1"/>
        </xdr:cNvPicPr>
      </xdr:nvPicPr>
      <xdr:blipFill>
        <a:blip xmlns:r="http://schemas.openxmlformats.org/officeDocument/2006/relationships" r:embed="rId1"/>
        <a:stretch>
          <a:fillRect/>
        </a:stretch>
      </xdr:blipFill>
      <xdr:spPr>
        <a:xfrm>
          <a:off x="12415499" y="130677"/>
          <a:ext cx="140220" cy="146317"/>
        </a:xfrm>
        <a:prstGeom prst="rect">
          <a:avLst/>
        </a:prstGeom>
      </xdr:spPr>
    </xdr:pic>
    <xdr:clientData/>
  </xdr:twoCellAnchor>
  <xdr:twoCellAnchor editAs="absolute">
    <xdr:from>
      <xdr:col>19</xdr:col>
      <xdr:colOff>326777</xdr:colOff>
      <xdr:row>0</xdr:row>
      <xdr:rowOff>137160</xdr:rowOff>
    </xdr:from>
    <xdr:to>
      <xdr:col>19</xdr:col>
      <xdr:colOff>469652</xdr:colOff>
      <xdr:row>0</xdr:row>
      <xdr:rowOff>270511</xdr:rowOff>
    </xdr:to>
    <xdr:pic macro="[0]!Minimize">
      <xdr:nvPicPr>
        <xdr:cNvPr id="35" name="Picture 34">
          <a:extLst>
            <a:ext uri="{FF2B5EF4-FFF2-40B4-BE49-F238E27FC236}">
              <a16:creationId xmlns:a16="http://schemas.microsoft.com/office/drawing/2014/main" id="{00000000-0008-0000-0500-000023000000}"/>
            </a:ext>
          </a:extLst>
        </xdr:cNvPr>
        <xdr:cNvPicPr>
          <a:picLocks/>
        </xdr:cNvPicPr>
      </xdr:nvPicPr>
      <xdr:blipFill>
        <a:blip xmlns:r="http://schemas.openxmlformats.org/officeDocument/2006/relationships" r:embed="rId2"/>
        <a:stretch>
          <a:fillRect/>
        </a:stretch>
      </xdr:blipFill>
      <xdr:spPr>
        <a:xfrm>
          <a:off x="12080627" y="137160"/>
          <a:ext cx="142875" cy="133351"/>
        </a:xfrm>
        <a:prstGeom prst="rect">
          <a:avLst/>
        </a:prstGeom>
      </xdr:spPr>
    </xdr:pic>
    <xdr:clientData/>
  </xdr:twoCellAnchor>
  <xdr:twoCellAnchor editAs="absolute">
    <xdr:from>
      <xdr:col>18</xdr:col>
      <xdr:colOff>437676</xdr:colOff>
      <xdr:row>0</xdr:row>
      <xdr:rowOff>112395</xdr:rowOff>
    </xdr:from>
    <xdr:to>
      <xdr:col>19</xdr:col>
      <xdr:colOff>134781</xdr:colOff>
      <xdr:row>0</xdr:row>
      <xdr:rowOff>295275</xdr:rowOff>
    </xdr:to>
    <xdr:pic>
      <xdr:nvPicPr>
        <xdr:cNvPr id="36" name="Picture 35">
          <a:hlinkClick xmlns:r="http://schemas.openxmlformats.org/officeDocument/2006/relationships" r:id="rId3" tooltip="SETTINGS"/>
          <a:extLst>
            <a:ext uri="{FF2B5EF4-FFF2-40B4-BE49-F238E27FC236}">
              <a16:creationId xmlns:a16="http://schemas.microsoft.com/office/drawing/2014/main" id="{00000000-0008-0000-0500-000024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705751" y="112395"/>
          <a:ext cx="182880" cy="182880"/>
        </a:xfrm>
        <a:prstGeom prst="rect">
          <a:avLst/>
        </a:prstGeom>
        <a:noFill/>
      </xdr:spPr>
    </xdr:pic>
    <xdr:clientData/>
  </xdr:twoCellAnchor>
  <xdr:twoCellAnchor editAs="absolute">
    <xdr:from>
      <xdr:col>19</xdr:col>
      <xdr:colOff>276225</xdr:colOff>
      <xdr:row>6</xdr:row>
      <xdr:rowOff>43689</xdr:rowOff>
    </xdr:from>
    <xdr:to>
      <xdr:col>19</xdr:col>
      <xdr:colOff>641985</xdr:colOff>
      <xdr:row>8</xdr:row>
      <xdr:rowOff>28449</xdr:rowOff>
    </xdr:to>
    <xdr:sp macro="[0]!statsLAST" textlink="">
      <xdr:nvSpPr>
        <xdr:cNvPr id="22" name="Oval 21">
          <a:extLst>
            <a:ext uri="{FF2B5EF4-FFF2-40B4-BE49-F238E27FC236}">
              <a16:creationId xmlns:a16="http://schemas.microsoft.com/office/drawing/2014/main" id="{00000000-0008-0000-0500-000016000000}"/>
            </a:ext>
          </a:extLst>
        </xdr:cNvPr>
        <xdr:cNvSpPr/>
      </xdr:nvSpPr>
      <xdr:spPr>
        <a:xfrm>
          <a:off x="12030075" y="1243839"/>
          <a:ext cx="365760" cy="365760"/>
        </a:xfrm>
        <a:prstGeom prst="ellips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bg1"/>
              </a:solidFill>
            </a:rPr>
            <a:t>↓</a:t>
          </a:r>
        </a:p>
      </xdr:txBody>
    </xdr:sp>
    <xdr:clientData/>
  </xdr:twoCellAnchor>
  <xdr:twoCellAnchor editAs="absolute">
    <xdr:from>
      <xdr:col>19</xdr:col>
      <xdr:colOff>276225</xdr:colOff>
      <xdr:row>3</xdr:row>
      <xdr:rowOff>152400</xdr:rowOff>
    </xdr:from>
    <xdr:to>
      <xdr:col>19</xdr:col>
      <xdr:colOff>641985</xdr:colOff>
      <xdr:row>5</xdr:row>
      <xdr:rowOff>137160</xdr:rowOff>
    </xdr:to>
    <xdr:sp macro="[0]!statsUP" textlink="">
      <xdr:nvSpPr>
        <xdr:cNvPr id="23" name="Oval 22">
          <a:extLst>
            <a:ext uri="{FF2B5EF4-FFF2-40B4-BE49-F238E27FC236}">
              <a16:creationId xmlns:a16="http://schemas.microsoft.com/office/drawing/2014/main" id="{00000000-0008-0000-0500-000017000000}"/>
            </a:ext>
          </a:extLst>
        </xdr:cNvPr>
        <xdr:cNvSpPr/>
      </xdr:nvSpPr>
      <xdr:spPr>
        <a:xfrm flipV="1">
          <a:off x="12030075" y="781050"/>
          <a:ext cx="365760" cy="365760"/>
        </a:xfrm>
        <a:prstGeom prst="ellips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bg1"/>
              </a:solidFill>
            </a:rPr>
            <a:t>↓</a:t>
          </a:r>
        </a:p>
      </xdr:txBody>
    </xdr:sp>
    <xdr:clientData/>
  </xdr:twoCellAnchor>
  <xdr:twoCellAnchor editAs="absolute">
    <xdr:from>
      <xdr:col>9</xdr:col>
      <xdr:colOff>114300</xdr:colOff>
      <xdr:row>1</xdr:row>
      <xdr:rowOff>0</xdr:rowOff>
    </xdr:from>
    <xdr:to>
      <xdr:col>12</xdr:col>
      <xdr:colOff>438150</xdr:colOff>
      <xdr:row>10</xdr:row>
      <xdr:rowOff>0</xdr:rowOff>
    </xdr:to>
    <xdr:graphicFrame macro="">
      <xdr:nvGraphicFramePr>
        <xdr:cNvPr id="27" name="Chart 26">
          <a:extLst>
            <a:ext uri="{FF2B5EF4-FFF2-40B4-BE49-F238E27FC236}">
              <a16:creationId xmlns:a16="http://schemas.microsoft.com/office/drawing/2014/main" id="{00000000-0008-0000-05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2</xdr:col>
      <xdr:colOff>180975</xdr:colOff>
      <xdr:row>0</xdr:row>
      <xdr:rowOff>76200</xdr:rowOff>
    </xdr:from>
    <xdr:to>
      <xdr:col>2</xdr:col>
      <xdr:colOff>409575</xdr:colOff>
      <xdr:row>0</xdr:row>
      <xdr:rowOff>304800</xdr:rowOff>
    </xdr:to>
    <xdr:pic>
      <xdr:nvPicPr>
        <xdr:cNvPr id="5" name="Picture 4">
          <a:extLst>
            <a:ext uri="{FF2B5EF4-FFF2-40B4-BE49-F238E27FC236}">
              <a16:creationId xmlns:a16="http://schemas.microsoft.com/office/drawing/2014/main" id="{AD4FD45A-4845-C1F3-2D2F-55F367B2866E}"/>
            </a:ext>
          </a:extLst>
        </xdr:cNvPr>
        <xdr:cNvPicPr>
          <a:picLocks noChangeAspect="1"/>
        </xdr:cNvPicPr>
      </xdr:nvPicPr>
      <xdr:blipFill>
        <a:blip xmlns:r="http://schemas.openxmlformats.org/officeDocument/2006/relationships" r:embed="rId6">
          <a:lum bright="70000" contrast="-70000"/>
          <a:extLst>
            <a:ext uri="{28A0092B-C50C-407E-A947-70E740481C1C}">
              <a14:useLocalDpi xmlns:a14="http://schemas.microsoft.com/office/drawing/2010/main" val="0"/>
            </a:ext>
          </a:extLst>
        </a:blip>
        <a:stretch>
          <a:fillRect/>
        </a:stretch>
      </xdr:blipFill>
      <xdr:spPr>
        <a:xfrm>
          <a:off x="314325" y="76200"/>
          <a:ext cx="228600" cy="228600"/>
        </a:xfrm>
        <a:prstGeom prst="rect">
          <a:avLst/>
        </a:prstGeom>
      </xdr:spPr>
    </xdr:pic>
    <xdr:clientData/>
  </xdr:twoCellAnchor>
  <xdr:twoCellAnchor editAs="absolute">
    <xdr:from>
      <xdr:col>2</xdr:col>
      <xdr:colOff>390524</xdr:colOff>
      <xdr:row>0</xdr:row>
      <xdr:rowOff>76200</xdr:rowOff>
    </xdr:from>
    <xdr:to>
      <xdr:col>3</xdr:col>
      <xdr:colOff>781049</xdr:colOff>
      <xdr:row>0</xdr:row>
      <xdr:rowOff>314325</xdr:rowOff>
    </xdr:to>
    <xdr:sp macro="" textlink="">
      <xdr:nvSpPr>
        <xdr:cNvPr id="6" name="TextBox 5">
          <a:extLst>
            <a:ext uri="{FF2B5EF4-FFF2-40B4-BE49-F238E27FC236}">
              <a16:creationId xmlns:a16="http://schemas.microsoft.com/office/drawing/2014/main" id="{3AC654EC-69F2-4E2A-9DD2-C7A9BD7AA46C}"/>
            </a:ext>
          </a:extLst>
        </xdr:cNvPr>
        <xdr:cNvSpPr txBox="1"/>
      </xdr:nvSpPr>
      <xdr:spPr>
        <a:xfrm>
          <a:off x="523874" y="76200"/>
          <a:ext cx="1323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cs typeface="Arial" panose="020B0604020202020204" pitchFamily="34" charset="0"/>
            </a:rPr>
            <a:t>Trade</a:t>
          </a:r>
          <a:r>
            <a:rPr lang="en-US" sz="1000" baseline="0">
              <a:solidFill>
                <a:schemeClr val="bg2"/>
              </a:solidFill>
              <a:latin typeface="Bahnschrift SemiCondensed" panose="020B0502040204020203" pitchFamily="34" charset="0"/>
              <a:cs typeface="Arial" panose="020B0604020202020204" pitchFamily="34" charset="0"/>
            </a:rPr>
            <a:t> Statistics</a:t>
          </a:r>
          <a:endParaRPr lang="en-US" sz="1000">
            <a:solidFill>
              <a:schemeClr val="bg2"/>
            </a:solidFill>
            <a:latin typeface="Bahnschrift SemiCondensed" panose="020B0502040204020203" pitchFamily="34" charset="0"/>
            <a:cs typeface="Arial" panose="020B0604020202020204" pitchFamily="34" charset="0"/>
          </a:endParaRPr>
        </a:p>
      </xdr:txBody>
    </xdr:sp>
    <xdr:clientData/>
  </xdr:twoCellAnchor>
  <xdr:twoCellAnchor>
    <xdr:from>
      <xdr:col>4</xdr:col>
      <xdr:colOff>923925</xdr:colOff>
      <xdr:row>20</xdr:row>
      <xdr:rowOff>114300</xdr:rowOff>
    </xdr:from>
    <xdr:to>
      <xdr:col>16</xdr:col>
      <xdr:colOff>429186</xdr:colOff>
      <xdr:row>29</xdr:row>
      <xdr:rowOff>118223</xdr:rowOff>
    </xdr:to>
    <xdr:sp macro="" textlink="">
      <xdr:nvSpPr>
        <xdr:cNvPr id="2" name="Rectangle 1">
          <a:extLst>
            <a:ext uri="{FF2B5EF4-FFF2-40B4-BE49-F238E27FC236}">
              <a16:creationId xmlns:a16="http://schemas.microsoft.com/office/drawing/2014/main" id="{36D73983-E4ED-47CE-A720-9B97B52043EC}"/>
            </a:ext>
          </a:extLst>
        </xdr:cNvPr>
        <xdr:cNvSpPr/>
      </xdr:nvSpPr>
      <xdr:spPr>
        <a:xfrm>
          <a:off x="2943225" y="4438650"/>
          <a:ext cx="7315761" cy="2489948"/>
        </a:xfrm>
        <a:prstGeom prst="rect">
          <a:avLst/>
        </a:prstGeom>
        <a:solidFill>
          <a:srgbClr val="0A0D2C">
            <a:alpha val="7882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i="0">
              <a:solidFill>
                <a:schemeClr val="lt1"/>
              </a:solidFill>
              <a:effectLst/>
              <a:latin typeface="+mn-lt"/>
              <a:ea typeface="+mn-ea"/>
              <a:cs typeface="+mn-cs"/>
            </a:rPr>
            <a:t>Upgrade now! </a:t>
          </a:r>
          <a:r>
            <a:rPr lang="en-US" sz="1800" b="0" i="0">
              <a:solidFill>
                <a:schemeClr val="lt1"/>
              </a:solidFill>
              <a:effectLst/>
              <a:latin typeface="+mn-lt"/>
              <a:ea typeface="+mn-ea"/>
              <a:cs typeface="+mn-cs"/>
            </a:rPr>
            <a:t>Experience the full potential of our Forex trading journal by purchasing the full version on our website. Don't let limitations hold you back - trade log entries are limited to 60 logs and some features are restricted in the demo version. </a:t>
          </a:r>
        </a:p>
        <a:p>
          <a:pPr algn="ctr"/>
          <a:endParaRPr lang="en-US" sz="1800" b="0" i="0">
            <a:solidFill>
              <a:schemeClr val="lt1"/>
            </a:solidFill>
            <a:effectLst/>
            <a:latin typeface="+mn-lt"/>
            <a:ea typeface="+mn-ea"/>
            <a:cs typeface="+mn-cs"/>
          </a:endParaRPr>
        </a:p>
        <a:p>
          <a:pPr algn="ctr"/>
          <a:r>
            <a:rPr lang="en-US" sz="1800" b="0" i="0">
              <a:solidFill>
                <a:schemeClr val="lt1"/>
              </a:solidFill>
              <a:effectLst/>
              <a:latin typeface="+mn-lt"/>
              <a:ea typeface="+mn-ea"/>
              <a:cs typeface="+mn-cs"/>
            </a:rPr>
            <a:t>Visit </a:t>
          </a:r>
          <a:r>
            <a:rPr lang="en-US" sz="1800" b="0" i="0"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https://www.rocketsheets.com/product/forex-trading-journal/</a:t>
          </a:r>
          <a:r>
            <a:rPr lang="en-US" sz="1800" b="0" i="0">
              <a:solidFill>
                <a:schemeClr val="accent1"/>
              </a:solidFill>
              <a:effectLst/>
              <a:latin typeface="+mn-lt"/>
              <a:ea typeface="+mn-ea"/>
              <a:cs typeface="+mn-cs"/>
            </a:rPr>
            <a:t> </a:t>
          </a:r>
          <a:r>
            <a:rPr lang="en-US" sz="1800" b="0" i="0">
              <a:solidFill>
                <a:schemeClr val="lt1"/>
              </a:solidFill>
              <a:effectLst/>
              <a:latin typeface="+mn-lt"/>
              <a:ea typeface="+mn-ea"/>
              <a:cs typeface="+mn-cs"/>
            </a:rPr>
            <a:t>now to upgrade and maximize your potential. Use code FTJ20 at checkout to enjoy a 20% discount.</a:t>
          </a:r>
          <a:endParaRPr lang="en-US" sz="3600"/>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21</xdr:col>
      <xdr:colOff>152400</xdr:colOff>
      <xdr:row>11</xdr:row>
      <xdr:rowOff>165652</xdr:rowOff>
    </xdr:to>
    <xdr:sp macro="" textlink="">
      <xdr:nvSpPr>
        <xdr:cNvPr id="3" name="Freeform: Shape 2">
          <a:extLst>
            <a:ext uri="{FF2B5EF4-FFF2-40B4-BE49-F238E27FC236}">
              <a16:creationId xmlns:a16="http://schemas.microsoft.com/office/drawing/2014/main" id="{00000000-0008-0000-0600-000003000000}"/>
            </a:ext>
          </a:extLst>
        </xdr:cNvPr>
        <xdr:cNvSpPr/>
      </xdr:nvSpPr>
      <xdr:spPr>
        <a:xfrm>
          <a:off x="0" y="0"/>
          <a:ext cx="12841357" cy="2112065"/>
        </a:xfrm>
        <a:custGeom>
          <a:avLst/>
          <a:gdLst>
            <a:gd name="connsiteX0" fmla="*/ 10328027 w 13830299"/>
            <a:gd name="connsiteY0" fmla="*/ 432894 h 2208354"/>
            <a:gd name="connsiteX1" fmla="*/ 10191749 w 13830299"/>
            <a:gd name="connsiteY1" fmla="*/ 569172 h 2208354"/>
            <a:gd name="connsiteX2" fmla="*/ 10191749 w 13830299"/>
            <a:gd name="connsiteY2" fmla="*/ 1974299 h 2208354"/>
            <a:gd name="connsiteX3" fmla="*/ 10328027 w 13830299"/>
            <a:gd name="connsiteY3" fmla="*/ 2110577 h 2208354"/>
            <a:gd name="connsiteX4" fmla="*/ 13210807 w 13830299"/>
            <a:gd name="connsiteY4" fmla="*/ 2110577 h 2208354"/>
            <a:gd name="connsiteX5" fmla="*/ 13347085 w 13830299"/>
            <a:gd name="connsiteY5" fmla="*/ 1974299 h 2208354"/>
            <a:gd name="connsiteX6" fmla="*/ 13347085 w 13830299"/>
            <a:gd name="connsiteY6" fmla="*/ 569172 h 2208354"/>
            <a:gd name="connsiteX7" fmla="*/ 13210807 w 13830299"/>
            <a:gd name="connsiteY7" fmla="*/ 432894 h 2208354"/>
            <a:gd name="connsiteX8" fmla="*/ 7051427 w 13830299"/>
            <a:gd name="connsiteY8" fmla="*/ 432894 h 2208354"/>
            <a:gd name="connsiteX9" fmla="*/ 6915149 w 13830299"/>
            <a:gd name="connsiteY9" fmla="*/ 569172 h 2208354"/>
            <a:gd name="connsiteX10" fmla="*/ 6915149 w 13830299"/>
            <a:gd name="connsiteY10" fmla="*/ 1974299 h 2208354"/>
            <a:gd name="connsiteX11" fmla="*/ 7051427 w 13830299"/>
            <a:gd name="connsiteY11" fmla="*/ 2110577 h 2208354"/>
            <a:gd name="connsiteX12" fmla="*/ 9934207 w 13830299"/>
            <a:gd name="connsiteY12" fmla="*/ 2110577 h 2208354"/>
            <a:gd name="connsiteX13" fmla="*/ 10070485 w 13830299"/>
            <a:gd name="connsiteY13" fmla="*/ 1974299 h 2208354"/>
            <a:gd name="connsiteX14" fmla="*/ 10070485 w 13830299"/>
            <a:gd name="connsiteY14" fmla="*/ 569172 h 2208354"/>
            <a:gd name="connsiteX15" fmla="*/ 9934207 w 13830299"/>
            <a:gd name="connsiteY15" fmla="*/ 432894 h 2208354"/>
            <a:gd name="connsiteX16" fmla="*/ 523448 w 13830299"/>
            <a:gd name="connsiteY16" fmla="*/ 432894 h 2208354"/>
            <a:gd name="connsiteX17" fmla="*/ 406391 w 13830299"/>
            <a:gd name="connsiteY17" fmla="*/ 549951 h 2208354"/>
            <a:gd name="connsiteX18" fmla="*/ 406391 w 13830299"/>
            <a:gd name="connsiteY18" fmla="*/ 1970588 h 2208354"/>
            <a:gd name="connsiteX19" fmla="*/ 523448 w 13830299"/>
            <a:gd name="connsiteY19" fmla="*/ 2087645 h 2208354"/>
            <a:gd name="connsiteX20" fmla="*/ 6676828 w 13830299"/>
            <a:gd name="connsiteY20" fmla="*/ 2087645 h 2208354"/>
            <a:gd name="connsiteX21" fmla="*/ 6793885 w 13830299"/>
            <a:gd name="connsiteY21" fmla="*/ 1970588 h 2208354"/>
            <a:gd name="connsiteX22" fmla="*/ 6793885 w 13830299"/>
            <a:gd name="connsiteY22" fmla="*/ 549951 h 2208354"/>
            <a:gd name="connsiteX23" fmla="*/ 6676828 w 13830299"/>
            <a:gd name="connsiteY23" fmla="*/ 432894 h 2208354"/>
            <a:gd name="connsiteX24" fmla="*/ 0 w 13830299"/>
            <a:gd name="connsiteY24" fmla="*/ 0 h 2208354"/>
            <a:gd name="connsiteX25" fmla="*/ 13830299 w 13830299"/>
            <a:gd name="connsiteY25" fmla="*/ 0 h 2208354"/>
            <a:gd name="connsiteX26" fmla="*/ 13830299 w 13830299"/>
            <a:gd name="connsiteY26" fmla="*/ 2208354 h 2208354"/>
            <a:gd name="connsiteX27" fmla="*/ 0 w 13830299"/>
            <a:gd name="connsiteY27" fmla="*/ 2208354 h 22083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13830299" h="2208354">
              <a:moveTo>
                <a:pt x="10328027" y="432894"/>
              </a:moveTo>
              <a:cubicBezTo>
                <a:pt x="10252763" y="432894"/>
                <a:pt x="10191749" y="493908"/>
                <a:pt x="10191749" y="569172"/>
              </a:cubicBezTo>
              <a:lnTo>
                <a:pt x="10191749" y="1974299"/>
              </a:lnTo>
              <a:cubicBezTo>
                <a:pt x="10191749" y="2049563"/>
                <a:pt x="10252763" y="2110577"/>
                <a:pt x="10328027" y="2110577"/>
              </a:cubicBezTo>
              <a:lnTo>
                <a:pt x="13210807" y="2110577"/>
              </a:lnTo>
              <a:cubicBezTo>
                <a:pt x="13286071" y="2110577"/>
                <a:pt x="13347085" y="2049563"/>
                <a:pt x="13347085" y="1974299"/>
              </a:cubicBezTo>
              <a:lnTo>
                <a:pt x="13347085" y="569172"/>
              </a:lnTo>
              <a:cubicBezTo>
                <a:pt x="13347085" y="493908"/>
                <a:pt x="13286071" y="432894"/>
                <a:pt x="13210807" y="432894"/>
              </a:cubicBezTo>
              <a:close/>
              <a:moveTo>
                <a:pt x="7051427" y="432894"/>
              </a:moveTo>
              <a:cubicBezTo>
                <a:pt x="6976163" y="432894"/>
                <a:pt x="6915149" y="493908"/>
                <a:pt x="6915149" y="569172"/>
              </a:cubicBezTo>
              <a:lnTo>
                <a:pt x="6915149" y="1974299"/>
              </a:lnTo>
              <a:cubicBezTo>
                <a:pt x="6915149" y="2049563"/>
                <a:pt x="6976163" y="2110577"/>
                <a:pt x="7051427" y="2110577"/>
              </a:cubicBezTo>
              <a:lnTo>
                <a:pt x="9934207" y="2110577"/>
              </a:lnTo>
              <a:cubicBezTo>
                <a:pt x="10009471" y="2110577"/>
                <a:pt x="10070485" y="2049563"/>
                <a:pt x="10070485" y="1974299"/>
              </a:cubicBezTo>
              <a:lnTo>
                <a:pt x="10070485" y="569172"/>
              </a:lnTo>
              <a:cubicBezTo>
                <a:pt x="10070485" y="493908"/>
                <a:pt x="10009471" y="432894"/>
                <a:pt x="9934207" y="432894"/>
              </a:cubicBezTo>
              <a:close/>
              <a:moveTo>
                <a:pt x="523448" y="432894"/>
              </a:moveTo>
              <a:cubicBezTo>
                <a:pt x="458799" y="432894"/>
                <a:pt x="406391" y="485302"/>
                <a:pt x="406391" y="549951"/>
              </a:cubicBezTo>
              <a:lnTo>
                <a:pt x="406391" y="1970588"/>
              </a:lnTo>
              <a:cubicBezTo>
                <a:pt x="406391" y="2035237"/>
                <a:pt x="458799" y="2087645"/>
                <a:pt x="523448" y="2087645"/>
              </a:cubicBezTo>
              <a:lnTo>
                <a:pt x="6676828" y="2087645"/>
              </a:lnTo>
              <a:cubicBezTo>
                <a:pt x="6741477" y="2087645"/>
                <a:pt x="6793885" y="2035237"/>
                <a:pt x="6793885" y="1970588"/>
              </a:cubicBezTo>
              <a:lnTo>
                <a:pt x="6793885" y="549951"/>
              </a:lnTo>
              <a:cubicBezTo>
                <a:pt x="6793885" y="485302"/>
                <a:pt x="6741477" y="432894"/>
                <a:pt x="6676828" y="432894"/>
              </a:cubicBezTo>
              <a:close/>
              <a:moveTo>
                <a:pt x="0" y="0"/>
              </a:moveTo>
              <a:lnTo>
                <a:pt x="13830299" y="0"/>
              </a:lnTo>
              <a:lnTo>
                <a:pt x="13830299" y="2208354"/>
              </a:lnTo>
              <a:lnTo>
                <a:pt x="0" y="2208354"/>
              </a:lnTo>
              <a:close/>
            </a:path>
          </a:pathLst>
        </a:custGeom>
        <a:solidFill>
          <a:schemeClr val="accent6"/>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1196492" rtl="0" eaLnBrk="1" latinLnBrk="0" hangingPunct="1">
            <a:defRPr sz="2355" kern="1200">
              <a:solidFill>
                <a:schemeClr val="lt1"/>
              </a:solidFill>
              <a:latin typeface="+mn-lt"/>
              <a:ea typeface="+mn-ea"/>
              <a:cs typeface="+mn-cs"/>
            </a:defRPr>
          </a:lvl1pPr>
          <a:lvl2pPr marL="598246" algn="l" defTabSz="1196492" rtl="0" eaLnBrk="1" latinLnBrk="0" hangingPunct="1">
            <a:defRPr sz="2355" kern="1200">
              <a:solidFill>
                <a:schemeClr val="lt1"/>
              </a:solidFill>
              <a:latin typeface="+mn-lt"/>
              <a:ea typeface="+mn-ea"/>
              <a:cs typeface="+mn-cs"/>
            </a:defRPr>
          </a:lvl2pPr>
          <a:lvl3pPr marL="1196492" algn="l" defTabSz="1196492" rtl="0" eaLnBrk="1" latinLnBrk="0" hangingPunct="1">
            <a:defRPr sz="2355" kern="1200">
              <a:solidFill>
                <a:schemeClr val="lt1"/>
              </a:solidFill>
              <a:latin typeface="+mn-lt"/>
              <a:ea typeface="+mn-ea"/>
              <a:cs typeface="+mn-cs"/>
            </a:defRPr>
          </a:lvl3pPr>
          <a:lvl4pPr marL="1794739" algn="l" defTabSz="1196492" rtl="0" eaLnBrk="1" latinLnBrk="0" hangingPunct="1">
            <a:defRPr sz="2355" kern="1200">
              <a:solidFill>
                <a:schemeClr val="lt1"/>
              </a:solidFill>
              <a:latin typeface="+mn-lt"/>
              <a:ea typeface="+mn-ea"/>
              <a:cs typeface="+mn-cs"/>
            </a:defRPr>
          </a:lvl4pPr>
          <a:lvl5pPr marL="2392985" algn="l" defTabSz="1196492" rtl="0" eaLnBrk="1" latinLnBrk="0" hangingPunct="1">
            <a:defRPr sz="2355" kern="1200">
              <a:solidFill>
                <a:schemeClr val="lt1"/>
              </a:solidFill>
              <a:latin typeface="+mn-lt"/>
              <a:ea typeface="+mn-ea"/>
              <a:cs typeface="+mn-cs"/>
            </a:defRPr>
          </a:lvl5pPr>
          <a:lvl6pPr marL="2991231" algn="l" defTabSz="1196492" rtl="0" eaLnBrk="1" latinLnBrk="0" hangingPunct="1">
            <a:defRPr sz="2355" kern="1200">
              <a:solidFill>
                <a:schemeClr val="lt1"/>
              </a:solidFill>
              <a:latin typeface="+mn-lt"/>
              <a:ea typeface="+mn-ea"/>
              <a:cs typeface="+mn-cs"/>
            </a:defRPr>
          </a:lvl6pPr>
          <a:lvl7pPr marL="3589477" algn="l" defTabSz="1196492" rtl="0" eaLnBrk="1" latinLnBrk="0" hangingPunct="1">
            <a:defRPr sz="2355" kern="1200">
              <a:solidFill>
                <a:schemeClr val="lt1"/>
              </a:solidFill>
              <a:latin typeface="+mn-lt"/>
              <a:ea typeface="+mn-ea"/>
              <a:cs typeface="+mn-cs"/>
            </a:defRPr>
          </a:lvl7pPr>
          <a:lvl8pPr marL="4187723" algn="l" defTabSz="1196492" rtl="0" eaLnBrk="1" latinLnBrk="0" hangingPunct="1">
            <a:defRPr sz="2355" kern="1200">
              <a:solidFill>
                <a:schemeClr val="lt1"/>
              </a:solidFill>
              <a:latin typeface="+mn-lt"/>
              <a:ea typeface="+mn-ea"/>
              <a:cs typeface="+mn-cs"/>
            </a:defRPr>
          </a:lvl8pPr>
          <a:lvl9pPr marL="4785970" algn="l" defTabSz="1196492" rtl="0" eaLnBrk="1" latinLnBrk="0" hangingPunct="1">
            <a:defRPr sz="2355" kern="1200">
              <a:solidFill>
                <a:schemeClr val="lt1"/>
              </a:solidFill>
              <a:latin typeface="+mn-lt"/>
              <a:ea typeface="+mn-ea"/>
              <a:cs typeface="+mn-cs"/>
            </a:defRPr>
          </a:lvl9pPr>
        </a:lstStyle>
        <a:p>
          <a:pPr algn="ctr"/>
          <a:endParaRPr lang="en-US"/>
        </a:p>
      </xdr:txBody>
    </xdr:sp>
    <xdr:clientData/>
  </xdr:twoCellAnchor>
  <xdr:twoCellAnchor editAs="absolute">
    <xdr:from>
      <xdr:col>1</xdr:col>
      <xdr:colOff>304801</xdr:colOff>
      <xdr:row>2</xdr:row>
      <xdr:rowOff>9525</xdr:rowOff>
    </xdr:from>
    <xdr:to>
      <xdr:col>9</xdr:col>
      <xdr:colOff>704851</xdr:colOff>
      <xdr:row>11</xdr:row>
      <xdr:rowOff>48387</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813436</xdr:colOff>
      <xdr:row>2</xdr:row>
      <xdr:rowOff>9525</xdr:rowOff>
    </xdr:from>
    <xdr:to>
      <xdr:col>14</xdr:col>
      <xdr:colOff>367666</xdr:colOff>
      <xdr:row>11</xdr:row>
      <xdr:rowOff>48387</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14</xdr:col>
      <xdr:colOff>476251</xdr:colOff>
      <xdr:row>2</xdr:row>
      <xdr:rowOff>9525</xdr:rowOff>
    </xdr:from>
    <xdr:to>
      <xdr:col>20</xdr:col>
      <xdr:colOff>306706</xdr:colOff>
      <xdr:row>11</xdr:row>
      <xdr:rowOff>48387</xdr:rowOff>
    </xdr:to>
    <xdr:graphicFrame macro="">
      <xdr:nvGraphicFramePr>
        <xdr:cNvPr id="8" name="Chart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328273</xdr:colOff>
      <xdr:row>0</xdr:row>
      <xdr:rowOff>130677</xdr:rowOff>
    </xdr:from>
    <xdr:to>
      <xdr:col>20</xdr:col>
      <xdr:colOff>468493</xdr:colOff>
      <xdr:row>0</xdr:row>
      <xdr:rowOff>276994</xdr:rowOff>
    </xdr:to>
    <xdr:pic macro="[0]!Maximize">
      <xdr:nvPicPr>
        <xdr:cNvPr id="11" name="Picture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4"/>
        <a:stretch>
          <a:fillRect/>
        </a:stretch>
      </xdr:blipFill>
      <xdr:spPr>
        <a:xfrm>
          <a:off x="12415498" y="130677"/>
          <a:ext cx="140220" cy="146317"/>
        </a:xfrm>
        <a:prstGeom prst="rect">
          <a:avLst/>
        </a:prstGeom>
      </xdr:spPr>
    </xdr:pic>
    <xdr:clientData/>
  </xdr:twoCellAnchor>
  <xdr:twoCellAnchor editAs="absolute">
    <xdr:from>
      <xdr:col>18</xdr:col>
      <xdr:colOff>612526</xdr:colOff>
      <xdr:row>0</xdr:row>
      <xdr:rowOff>137160</xdr:rowOff>
    </xdr:from>
    <xdr:to>
      <xdr:col>20</xdr:col>
      <xdr:colOff>136276</xdr:colOff>
      <xdr:row>0</xdr:row>
      <xdr:rowOff>270511</xdr:rowOff>
    </xdr:to>
    <xdr:pic macro="[0]!Minimize">
      <xdr:nvPicPr>
        <xdr:cNvPr id="13" name="Picture 12">
          <a:extLst>
            <a:ext uri="{FF2B5EF4-FFF2-40B4-BE49-F238E27FC236}">
              <a16:creationId xmlns:a16="http://schemas.microsoft.com/office/drawing/2014/main" id="{00000000-0008-0000-0600-00000D000000}"/>
            </a:ext>
          </a:extLst>
        </xdr:cNvPr>
        <xdr:cNvPicPr>
          <a:picLocks/>
        </xdr:cNvPicPr>
      </xdr:nvPicPr>
      <xdr:blipFill>
        <a:blip xmlns:r="http://schemas.openxmlformats.org/officeDocument/2006/relationships" r:embed="rId5"/>
        <a:stretch>
          <a:fillRect/>
        </a:stretch>
      </xdr:blipFill>
      <xdr:spPr>
        <a:xfrm>
          <a:off x="12080626" y="137160"/>
          <a:ext cx="142875" cy="133351"/>
        </a:xfrm>
        <a:prstGeom prst="rect">
          <a:avLst/>
        </a:prstGeom>
      </xdr:spPr>
    </xdr:pic>
    <xdr:clientData/>
  </xdr:twoCellAnchor>
  <xdr:twoCellAnchor editAs="absolute">
    <xdr:from>
      <xdr:col>18</xdr:col>
      <xdr:colOff>237650</xdr:colOff>
      <xdr:row>0</xdr:row>
      <xdr:rowOff>112395</xdr:rowOff>
    </xdr:from>
    <xdr:to>
      <xdr:col>18</xdr:col>
      <xdr:colOff>419100</xdr:colOff>
      <xdr:row>0</xdr:row>
      <xdr:rowOff>295275</xdr:rowOff>
    </xdr:to>
    <xdr:pic>
      <xdr:nvPicPr>
        <xdr:cNvPr id="14" name="Picture 13">
          <a:hlinkClick xmlns:r="http://schemas.openxmlformats.org/officeDocument/2006/relationships" r:id="rId6" tooltip="SETTINGS"/>
          <a:extLst>
            <a:ext uri="{FF2B5EF4-FFF2-40B4-BE49-F238E27FC236}">
              <a16:creationId xmlns:a16="http://schemas.microsoft.com/office/drawing/2014/main" id="{00000000-0008-0000-0600-00000E00000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705750" y="112395"/>
          <a:ext cx="182880" cy="182880"/>
        </a:xfrm>
        <a:prstGeom prst="rect">
          <a:avLst/>
        </a:prstGeom>
        <a:noFill/>
      </xdr:spPr>
    </xdr:pic>
    <xdr:clientData/>
  </xdr:twoCellAnchor>
  <xdr:twoCellAnchor editAs="absolute">
    <xdr:from>
      <xdr:col>1</xdr:col>
      <xdr:colOff>190500</xdr:colOff>
      <xdr:row>0</xdr:row>
      <xdr:rowOff>66675</xdr:rowOff>
    </xdr:from>
    <xdr:to>
      <xdr:col>1</xdr:col>
      <xdr:colOff>419100</xdr:colOff>
      <xdr:row>0</xdr:row>
      <xdr:rowOff>295275</xdr:rowOff>
    </xdr:to>
    <xdr:pic>
      <xdr:nvPicPr>
        <xdr:cNvPr id="7" name="Picture 6">
          <a:extLst>
            <a:ext uri="{FF2B5EF4-FFF2-40B4-BE49-F238E27FC236}">
              <a16:creationId xmlns:a16="http://schemas.microsoft.com/office/drawing/2014/main" id="{D16678F8-1324-32DE-D314-AAE6F4442670}"/>
            </a:ext>
          </a:extLst>
        </xdr:cNvPr>
        <xdr:cNvPicPr>
          <a:picLocks noChangeAspect="1"/>
        </xdr:cNvPicPr>
      </xdr:nvPicPr>
      <xdr:blipFill>
        <a:blip xmlns:r="http://schemas.openxmlformats.org/officeDocument/2006/relationships" r:embed="rId8">
          <a:lum bright="70000" contrast="-70000"/>
          <a:extLst>
            <a:ext uri="{28A0092B-C50C-407E-A947-70E740481C1C}">
              <a14:useLocalDpi xmlns:a14="http://schemas.microsoft.com/office/drawing/2010/main" val="0"/>
            </a:ext>
          </a:extLst>
        </a:blip>
        <a:stretch>
          <a:fillRect/>
        </a:stretch>
      </xdr:blipFill>
      <xdr:spPr>
        <a:xfrm>
          <a:off x="323850" y="66675"/>
          <a:ext cx="228600" cy="228600"/>
        </a:xfrm>
        <a:prstGeom prst="rect">
          <a:avLst/>
        </a:prstGeom>
      </xdr:spPr>
    </xdr:pic>
    <xdr:clientData/>
  </xdr:twoCellAnchor>
  <xdr:twoCellAnchor editAs="absolute">
    <xdr:from>
      <xdr:col>1</xdr:col>
      <xdr:colOff>390525</xdr:colOff>
      <xdr:row>0</xdr:row>
      <xdr:rowOff>76200</xdr:rowOff>
    </xdr:from>
    <xdr:to>
      <xdr:col>5</xdr:col>
      <xdr:colOff>152400</xdr:colOff>
      <xdr:row>0</xdr:row>
      <xdr:rowOff>314325</xdr:rowOff>
    </xdr:to>
    <xdr:sp macro="" textlink="">
      <xdr:nvSpPr>
        <xdr:cNvPr id="9" name="TextBox 8">
          <a:extLst>
            <a:ext uri="{FF2B5EF4-FFF2-40B4-BE49-F238E27FC236}">
              <a16:creationId xmlns:a16="http://schemas.microsoft.com/office/drawing/2014/main" id="{24FACD7D-2796-4C05-9DB2-1CDDCA8BDEB6}"/>
            </a:ext>
          </a:extLst>
        </xdr:cNvPr>
        <xdr:cNvSpPr txBox="1"/>
      </xdr:nvSpPr>
      <xdr:spPr>
        <a:xfrm>
          <a:off x="523875" y="76200"/>
          <a:ext cx="1323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cs typeface="Arial" panose="020B0604020202020204" pitchFamily="34" charset="0"/>
            </a:rPr>
            <a:t>Monthly Report</a:t>
          </a:r>
        </a:p>
      </xdr:txBody>
    </xdr:sp>
    <xdr:clientData/>
  </xdr:twoCellAnchor>
  <xdr:twoCellAnchor>
    <xdr:from>
      <xdr:col>6</xdr:col>
      <xdr:colOff>171450</xdr:colOff>
      <xdr:row>43</xdr:row>
      <xdr:rowOff>152400</xdr:rowOff>
    </xdr:from>
    <xdr:to>
      <xdr:col>15</xdr:col>
      <xdr:colOff>553011</xdr:colOff>
      <xdr:row>52</xdr:row>
      <xdr:rowOff>156323</xdr:rowOff>
    </xdr:to>
    <xdr:sp macro="" textlink="">
      <xdr:nvSpPr>
        <xdr:cNvPr id="4" name="Rectangle 3">
          <a:extLst>
            <a:ext uri="{FF2B5EF4-FFF2-40B4-BE49-F238E27FC236}">
              <a16:creationId xmlns:a16="http://schemas.microsoft.com/office/drawing/2014/main" id="{E5D73B39-2485-4287-B281-5A0B50F34445}"/>
            </a:ext>
          </a:extLst>
        </xdr:cNvPr>
        <xdr:cNvSpPr/>
      </xdr:nvSpPr>
      <xdr:spPr>
        <a:xfrm>
          <a:off x="2847975" y="10810875"/>
          <a:ext cx="7315761" cy="2489948"/>
        </a:xfrm>
        <a:prstGeom prst="rect">
          <a:avLst/>
        </a:prstGeom>
        <a:solidFill>
          <a:srgbClr val="0A0D2C">
            <a:alpha val="7882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i="0">
              <a:solidFill>
                <a:schemeClr val="lt1"/>
              </a:solidFill>
              <a:effectLst/>
              <a:latin typeface="+mn-lt"/>
              <a:ea typeface="+mn-ea"/>
              <a:cs typeface="+mn-cs"/>
            </a:rPr>
            <a:t>Upgrade now! </a:t>
          </a:r>
          <a:r>
            <a:rPr lang="en-US" sz="1800" b="0" i="0">
              <a:solidFill>
                <a:schemeClr val="lt1"/>
              </a:solidFill>
              <a:effectLst/>
              <a:latin typeface="+mn-lt"/>
              <a:ea typeface="+mn-ea"/>
              <a:cs typeface="+mn-cs"/>
            </a:rPr>
            <a:t>Experience the full potential of our Forex trading journal by purchasing the full version on our website. Don't let limitations hold you back - trade log entries are limited to 60 logs and some features are restricted in the demo version. </a:t>
          </a:r>
        </a:p>
        <a:p>
          <a:pPr algn="ctr"/>
          <a:endParaRPr lang="en-US" sz="1800" b="0" i="0">
            <a:solidFill>
              <a:schemeClr val="lt1"/>
            </a:solidFill>
            <a:effectLst/>
            <a:latin typeface="+mn-lt"/>
            <a:ea typeface="+mn-ea"/>
            <a:cs typeface="+mn-cs"/>
          </a:endParaRPr>
        </a:p>
        <a:p>
          <a:pPr algn="ctr"/>
          <a:r>
            <a:rPr lang="en-US" sz="1800" b="0" i="0">
              <a:solidFill>
                <a:schemeClr val="lt1"/>
              </a:solidFill>
              <a:effectLst/>
              <a:latin typeface="+mn-lt"/>
              <a:ea typeface="+mn-ea"/>
              <a:cs typeface="+mn-cs"/>
            </a:rPr>
            <a:t>Visit </a:t>
          </a:r>
          <a:r>
            <a:rPr lang="en-US" sz="1800" b="0" i="0"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https://www.rocketsheets.com/product/forex-trading-journal/</a:t>
          </a:r>
          <a:r>
            <a:rPr lang="en-US" sz="1800" b="0" i="0">
              <a:solidFill>
                <a:schemeClr val="accent1"/>
              </a:solidFill>
              <a:effectLst/>
              <a:latin typeface="+mn-lt"/>
              <a:ea typeface="+mn-ea"/>
              <a:cs typeface="+mn-cs"/>
            </a:rPr>
            <a:t> </a:t>
          </a:r>
          <a:r>
            <a:rPr lang="en-US" sz="1800" b="0" i="0">
              <a:solidFill>
                <a:schemeClr val="lt1"/>
              </a:solidFill>
              <a:effectLst/>
              <a:latin typeface="+mn-lt"/>
              <a:ea typeface="+mn-ea"/>
              <a:cs typeface="+mn-cs"/>
            </a:rPr>
            <a:t>now to upgrade and maximize your potential. Use code FTJ20 at checkout to enjoy a 20% discount.</a:t>
          </a:r>
          <a:endParaRPr lang="en-US" sz="3600"/>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338977</xdr:colOff>
      <xdr:row>0</xdr:row>
      <xdr:rowOff>91328</xdr:rowOff>
    </xdr:from>
    <xdr:to>
      <xdr:col>1</xdr:col>
      <xdr:colOff>569484</xdr:colOff>
      <xdr:row>1</xdr:row>
      <xdr:rowOff>129428</xdr:rowOff>
    </xdr:to>
    <xdr:pic>
      <xdr:nvPicPr>
        <xdr:cNvPr id="2" name="Picture 1">
          <a:extLst>
            <a:ext uri="{FF2B5EF4-FFF2-40B4-BE49-F238E27FC236}">
              <a16:creationId xmlns:a16="http://schemas.microsoft.com/office/drawing/2014/main" id="{C4779433-0221-1C38-4905-8A294B852069}"/>
            </a:ext>
          </a:extLst>
        </xdr:cNvPr>
        <xdr:cNvPicPr>
          <a:picLocks noChangeAspect="1"/>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tretch>
          <a:fillRect/>
        </a:stretch>
      </xdr:blipFill>
      <xdr:spPr>
        <a:xfrm>
          <a:off x="338977" y="91328"/>
          <a:ext cx="230507" cy="228600"/>
        </a:xfrm>
        <a:prstGeom prst="rect">
          <a:avLst/>
        </a:prstGeom>
      </xdr:spPr>
    </xdr:pic>
    <xdr:clientData/>
  </xdr:twoCellAnchor>
  <xdr:twoCellAnchor editAs="absolute">
    <xdr:from>
      <xdr:col>1</xdr:col>
      <xdr:colOff>519393</xdr:colOff>
      <xdr:row>0</xdr:row>
      <xdr:rowOff>76761</xdr:rowOff>
    </xdr:from>
    <xdr:to>
      <xdr:col>2</xdr:col>
      <xdr:colOff>845484</xdr:colOff>
      <xdr:row>1</xdr:row>
      <xdr:rowOff>124386</xdr:rowOff>
    </xdr:to>
    <xdr:sp macro="" textlink="">
      <xdr:nvSpPr>
        <xdr:cNvPr id="4" name="TextBox 3">
          <a:extLst>
            <a:ext uri="{FF2B5EF4-FFF2-40B4-BE49-F238E27FC236}">
              <a16:creationId xmlns:a16="http://schemas.microsoft.com/office/drawing/2014/main" id="{79E5280B-6D88-403A-97E6-0566B32CD361}"/>
            </a:ext>
          </a:extLst>
        </xdr:cNvPr>
        <xdr:cNvSpPr txBox="1"/>
      </xdr:nvSpPr>
      <xdr:spPr>
        <a:xfrm>
          <a:off x="519393" y="76761"/>
          <a:ext cx="13262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cs typeface="Arial" panose="020B0604020202020204" pitchFamily="34" charset="0"/>
            </a:rPr>
            <a:t>Calendar</a:t>
          </a:r>
        </a:p>
      </xdr:txBody>
    </xdr:sp>
    <xdr:clientData/>
  </xdr:twoCellAnchor>
  <xdr:twoCellAnchor editAs="absolute">
    <xdr:from>
      <xdr:col>9</xdr:col>
      <xdr:colOff>538298</xdr:colOff>
      <xdr:row>0</xdr:row>
      <xdr:rowOff>132582</xdr:rowOff>
    </xdr:from>
    <xdr:to>
      <xdr:col>9</xdr:col>
      <xdr:colOff>684602</xdr:colOff>
      <xdr:row>1</xdr:row>
      <xdr:rowOff>88386</xdr:rowOff>
    </xdr:to>
    <xdr:pic macro="[0]!Maximize">
      <xdr:nvPicPr>
        <xdr:cNvPr id="5" name="Picture 4">
          <a:extLst>
            <a:ext uri="{FF2B5EF4-FFF2-40B4-BE49-F238E27FC236}">
              <a16:creationId xmlns:a16="http://schemas.microsoft.com/office/drawing/2014/main" id="{B528A53F-2142-44BE-894B-C422D1E912F6}"/>
            </a:ext>
          </a:extLst>
        </xdr:cNvPr>
        <xdr:cNvPicPr>
          <a:picLocks noChangeAspect="1"/>
        </xdr:cNvPicPr>
      </xdr:nvPicPr>
      <xdr:blipFill>
        <a:blip xmlns:r="http://schemas.openxmlformats.org/officeDocument/2006/relationships" r:embed="rId2"/>
        <a:stretch>
          <a:fillRect/>
        </a:stretch>
      </xdr:blipFill>
      <xdr:spPr>
        <a:xfrm>
          <a:off x="12406448" y="132582"/>
          <a:ext cx="146304" cy="146304"/>
        </a:xfrm>
        <a:prstGeom prst="rect">
          <a:avLst/>
        </a:prstGeom>
      </xdr:spPr>
    </xdr:pic>
    <xdr:clientData/>
  </xdr:twoCellAnchor>
  <xdr:twoCellAnchor editAs="absolute">
    <xdr:from>
      <xdr:col>9</xdr:col>
      <xdr:colOff>212951</xdr:colOff>
      <xdr:row>0</xdr:row>
      <xdr:rowOff>129540</xdr:rowOff>
    </xdr:from>
    <xdr:to>
      <xdr:col>9</xdr:col>
      <xdr:colOff>355826</xdr:colOff>
      <xdr:row>1</xdr:row>
      <xdr:rowOff>72391</xdr:rowOff>
    </xdr:to>
    <xdr:pic macro="[0]!Minimize">
      <xdr:nvPicPr>
        <xdr:cNvPr id="6" name="Picture 5">
          <a:extLst>
            <a:ext uri="{FF2B5EF4-FFF2-40B4-BE49-F238E27FC236}">
              <a16:creationId xmlns:a16="http://schemas.microsoft.com/office/drawing/2014/main" id="{67F58D6B-3EAB-41AD-AF9B-076A09B290FD}"/>
            </a:ext>
          </a:extLst>
        </xdr:cNvPr>
        <xdr:cNvPicPr>
          <a:picLocks/>
        </xdr:cNvPicPr>
      </xdr:nvPicPr>
      <xdr:blipFill>
        <a:blip xmlns:r="http://schemas.openxmlformats.org/officeDocument/2006/relationships" r:embed="rId3"/>
        <a:stretch>
          <a:fillRect/>
        </a:stretch>
      </xdr:blipFill>
      <xdr:spPr>
        <a:xfrm>
          <a:off x="12081101" y="129540"/>
          <a:ext cx="142875" cy="133351"/>
        </a:xfrm>
        <a:prstGeom prst="rect">
          <a:avLst/>
        </a:prstGeom>
      </xdr:spPr>
    </xdr:pic>
    <xdr:clientData/>
  </xdr:twoCellAnchor>
  <xdr:twoCellAnchor editAs="absolute">
    <xdr:from>
      <xdr:col>8</xdr:col>
      <xdr:colOff>1390650</xdr:colOff>
      <xdr:row>0</xdr:row>
      <xdr:rowOff>114300</xdr:rowOff>
    </xdr:from>
    <xdr:to>
      <xdr:col>9</xdr:col>
      <xdr:colOff>20955</xdr:colOff>
      <xdr:row>1</xdr:row>
      <xdr:rowOff>106680</xdr:rowOff>
    </xdr:to>
    <xdr:pic>
      <xdr:nvPicPr>
        <xdr:cNvPr id="7" name="Picture 6">
          <a:hlinkClick xmlns:r="http://schemas.openxmlformats.org/officeDocument/2006/relationships" r:id="rId4" tooltip="SETTINGS"/>
          <a:extLst>
            <a:ext uri="{FF2B5EF4-FFF2-40B4-BE49-F238E27FC236}">
              <a16:creationId xmlns:a16="http://schemas.microsoft.com/office/drawing/2014/main" id="{1D13A6F2-DC9B-4B76-ADB5-2BE6D259FEA4}"/>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706225" y="114300"/>
          <a:ext cx="182880" cy="182880"/>
        </a:xfrm>
        <a:prstGeom prst="rect">
          <a:avLst/>
        </a:prstGeom>
        <a:noFill/>
      </xdr:spPr>
    </xdr:pic>
    <xdr:clientData/>
  </xdr:twoCellAnchor>
  <xdr:twoCellAnchor editAs="absolute">
    <xdr:from>
      <xdr:col>8</xdr:col>
      <xdr:colOff>1219200</xdr:colOff>
      <xdr:row>1</xdr:row>
      <xdr:rowOff>257175</xdr:rowOff>
    </xdr:from>
    <xdr:to>
      <xdr:col>8</xdr:col>
      <xdr:colOff>1539240</xdr:colOff>
      <xdr:row>2</xdr:row>
      <xdr:rowOff>215265</xdr:rowOff>
    </xdr:to>
    <xdr:sp macro="[0]!TLogup" textlink="">
      <xdr:nvSpPr>
        <xdr:cNvPr id="8" name="Oval 7">
          <a:extLst>
            <a:ext uri="{FF2B5EF4-FFF2-40B4-BE49-F238E27FC236}">
              <a16:creationId xmlns:a16="http://schemas.microsoft.com/office/drawing/2014/main" id="{72743476-AF5B-4338-AB53-5C3C56B6522A}"/>
            </a:ext>
          </a:extLst>
        </xdr:cNvPr>
        <xdr:cNvSpPr/>
      </xdr:nvSpPr>
      <xdr:spPr>
        <a:xfrm flipV="1">
          <a:off x="11534775" y="447675"/>
          <a:ext cx="320040" cy="320040"/>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bg1"/>
              </a:solidFill>
            </a:rPr>
            <a:t>↓</a:t>
          </a:r>
        </a:p>
      </xdr:txBody>
    </xdr:sp>
    <xdr:clientData/>
  </xdr:twoCellAnchor>
  <xdr:twoCellAnchor>
    <xdr:from>
      <xdr:col>3</xdr:col>
      <xdr:colOff>171450</xdr:colOff>
      <xdr:row>27</xdr:row>
      <xdr:rowOff>266700</xdr:rowOff>
    </xdr:from>
    <xdr:to>
      <xdr:col>7</xdr:col>
      <xdr:colOff>1276911</xdr:colOff>
      <xdr:row>40</xdr:row>
      <xdr:rowOff>156323</xdr:rowOff>
    </xdr:to>
    <xdr:sp macro="" textlink="">
      <xdr:nvSpPr>
        <xdr:cNvPr id="3" name="Rectangle 2">
          <a:extLst>
            <a:ext uri="{FF2B5EF4-FFF2-40B4-BE49-F238E27FC236}">
              <a16:creationId xmlns:a16="http://schemas.microsoft.com/office/drawing/2014/main" id="{35CCCA73-D4E2-454C-885E-0AA31AD8217F}"/>
            </a:ext>
          </a:extLst>
        </xdr:cNvPr>
        <xdr:cNvSpPr/>
      </xdr:nvSpPr>
      <xdr:spPr>
        <a:xfrm>
          <a:off x="2724150" y="5686425"/>
          <a:ext cx="7315761" cy="2489948"/>
        </a:xfrm>
        <a:prstGeom prst="rect">
          <a:avLst/>
        </a:prstGeom>
        <a:solidFill>
          <a:srgbClr val="0A0D2C">
            <a:alpha val="7882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i="0">
              <a:solidFill>
                <a:schemeClr val="lt1"/>
              </a:solidFill>
              <a:effectLst/>
              <a:latin typeface="+mn-lt"/>
              <a:ea typeface="+mn-ea"/>
              <a:cs typeface="+mn-cs"/>
            </a:rPr>
            <a:t>Upgrade now! </a:t>
          </a:r>
          <a:r>
            <a:rPr lang="en-US" sz="1800" b="0" i="0">
              <a:solidFill>
                <a:schemeClr val="lt1"/>
              </a:solidFill>
              <a:effectLst/>
              <a:latin typeface="+mn-lt"/>
              <a:ea typeface="+mn-ea"/>
              <a:cs typeface="+mn-cs"/>
            </a:rPr>
            <a:t>Experience the full potential of our Forex trading journal by purchasing the full version on our website. Don't let limitations hold you back - trade log entries are limited to 60 logs and some features are restricted in the demo version. </a:t>
          </a:r>
        </a:p>
        <a:p>
          <a:pPr algn="ctr"/>
          <a:endParaRPr lang="en-US" sz="1800" b="0" i="0">
            <a:solidFill>
              <a:schemeClr val="lt1"/>
            </a:solidFill>
            <a:effectLst/>
            <a:latin typeface="+mn-lt"/>
            <a:ea typeface="+mn-ea"/>
            <a:cs typeface="+mn-cs"/>
          </a:endParaRPr>
        </a:p>
        <a:p>
          <a:pPr algn="ctr"/>
          <a:r>
            <a:rPr lang="en-US" sz="1800" b="0" i="0">
              <a:solidFill>
                <a:schemeClr val="lt1"/>
              </a:solidFill>
              <a:effectLst/>
              <a:latin typeface="+mn-lt"/>
              <a:ea typeface="+mn-ea"/>
              <a:cs typeface="+mn-cs"/>
            </a:rPr>
            <a:t>Visit </a:t>
          </a:r>
          <a:r>
            <a:rPr lang="en-US" sz="1800" b="0" i="0"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https://www.rocketsheets.com/product/forex-trading-journal/</a:t>
          </a:r>
          <a:r>
            <a:rPr lang="en-US" sz="1800" b="0" i="0">
              <a:solidFill>
                <a:schemeClr val="accent1"/>
              </a:solidFill>
              <a:effectLst/>
              <a:latin typeface="+mn-lt"/>
              <a:ea typeface="+mn-ea"/>
              <a:cs typeface="+mn-cs"/>
            </a:rPr>
            <a:t> </a:t>
          </a:r>
          <a:r>
            <a:rPr lang="en-US" sz="1800" b="0" i="0">
              <a:solidFill>
                <a:schemeClr val="lt1"/>
              </a:solidFill>
              <a:effectLst/>
              <a:latin typeface="+mn-lt"/>
              <a:ea typeface="+mn-ea"/>
              <a:cs typeface="+mn-cs"/>
            </a:rPr>
            <a:t>now to upgrade and maximize your potential. Use code FTJ20 at checkout to enjoy a 20% discount.</a:t>
          </a:r>
          <a:endParaRPr lang="en-US" sz="3600"/>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29</xdr:col>
      <xdr:colOff>1009650</xdr:colOff>
      <xdr:row>8</xdr:row>
      <xdr:rowOff>9525</xdr:rowOff>
    </xdr:to>
    <xdr:sp macro="" textlink="">
      <xdr:nvSpPr>
        <xdr:cNvPr id="11" name="Freeform: Shape 10">
          <a:extLst>
            <a:ext uri="{FF2B5EF4-FFF2-40B4-BE49-F238E27FC236}">
              <a16:creationId xmlns:a16="http://schemas.microsoft.com/office/drawing/2014/main" id="{1DE715E6-57B3-6307-6202-AF3EA22AFB66}"/>
            </a:ext>
          </a:extLst>
        </xdr:cNvPr>
        <xdr:cNvSpPr/>
      </xdr:nvSpPr>
      <xdr:spPr>
        <a:xfrm>
          <a:off x="0" y="0"/>
          <a:ext cx="13411200" cy="2057400"/>
        </a:xfrm>
        <a:custGeom>
          <a:avLst/>
          <a:gdLst>
            <a:gd name="connsiteX0" fmla="*/ 8380039 w 12776833"/>
            <a:gd name="connsiteY0" fmla="*/ 348783 h 1865562"/>
            <a:gd name="connsiteX1" fmla="*/ 8229599 w 12776833"/>
            <a:gd name="connsiteY1" fmla="*/ 499223 h 1865562"/>
            <a:gd name="connsiteX2" fmla="*/ 8229599 w 12776833"/>
            <a:gd name="connsiteY2" fmla="*/ 1512456 h 1865562"/>
            <a:gd name="connsiteX3" fmla="*/ 8380039 w 12776833"/>
            <a:gd name="connsiteY3" fmla="*/ 1662896 h 1865562"/>
            <a:gd name="connsiteX4" fmla="*/ 11881539 w 12776833"/>
            <a:gd name="connsiteY4" fmla="*/ 1662896 h 1865562"/>
            <a:gd name="connsiteX5" fmla="*/ 12031979 w 12776833"/>
            <a:gd name="connsiteY5" fmla="*/ 1512456 h 1865562"/>
            <a:gd name="connsiteX6" fmla="*/ 12031979 w 12776833"/>
            <a:gd name="connsiteY6" fmla="*/ 499223 h 1865562"/>
            <a:gd name="connsiteX7" fmla="*/ 11881539 w 12776833"/>
            <a:gd name="connsiteY7" fmla="*/ 348783 h 1865562"/>
            <a:gd name="connsiteX8" fmla="*/ 5865439 w 12776833"/>
            <a:gd name="connsiteY8" fmla="*/ 348783 h 1865562"/>
            <a:gd name="connsiteX9" fmla="*/ 5714999 w 12776833"/>
            <a:gd name="connsiteY9" fmla="*/ 499223 h 1865562"/>
            <a:gd name="connsiteX10" fmla="*/ 5714999 w 12776833"/>
            <a:gd name="connsiteY10" fmla="*/ 1512456 h 1865562"/>
            <a:gd name="connsiteX11" fmla="*/ 5865439 w 12776833"/>
            <a:gd name="connsiteY11" fmla="*/ 1662896 h 1865562"/>
            <a:gd name="connsiteX12" fmla="*/ 7976289 w 12776833"/>
            <a:gd name="connsiteY12" fmla="*/ 1662896 h 1865562"/>
            <a:gd name="connsiteX13" fmla="*/ 8126729 w 12776833"/>
            <a:gd name="connsiteY13" fmla="*/ 1512456 h 1865562"/>
            <a:gd name="connsiteX14" fmla="*/ 8126729 w 12776833"/>
            <a:gd name="connsiteY14" fmla="*/ 499223 h 1865562"/>
            <a:gd name="connsiteX15" fmla="*/ 7976289 w 12776833"/>
            <a:gd name="connsiteY15" fmla="*/ 348783 h 1865562"/>
            <a:gd name="connsiteX16" fmla="*/ 310460 w 12776833"/>
            <a:gd name="connsiteY16" fmla="*/ 348783 h 1865562"/>
            <a:gd name="connsiteX17" fmla="*/ 160020 w 12776833"/>
            <a:gd name="connsiteY17" fmla="*/ 499223 h 1865562"/>
            <a:gd name="connsiteX18" fmla="*/ 160020 w 12776833"/>
            <a:gd name="connsiteY18" fmla="*/ 1512456 h 1865562"/>
            <a:gd name="connsiteX19" fmla="*/ 310460 w 12776833"/>
            <a:gd name="connsiteY19" fmla="*/ 1662896 h 1865562"/>
            <a:gd name="connsiteX20" fmla="*/ 2684200 w 12776833"/>
            <a:gd name="connsiteY20" fmla="*/ 1662896 h 1865562"/>
            <a:gd name="connsiteX21" fmla="*/ 2834640 w 12776833"/>
            <a:gd name="connsiteY21" fmla="*/ 1512456 h 1865562"/>
            <a:gd name="connsiteX22" fmla="*/ 2834640 w 12776833"/>
            <a:gd name="connsiteY22" fmla="*/ 499223 h 1865562"/>
            <a:gd name="connsiteX23" fmla="*/ 2684200 w 12776833"/>
            <a:gd name="connsiteY23" fmla="*/ 348783 h 1865562"/>
            <a:gd name="connsiteX24" fmla="*/ 3087950 w 12776833"/>
            <a:gd name="connsiteY24" fmla="*/ 320895 h 1865562"/>
            <a:gd name="connsiteX25" fmla="*/ 2937510 w 12776833"/>
            <a:gd name="connsiteY25" fmla="*/ 471335 h 1865562"/>
            <a:gd name="connsiteX26" fmla="*/ 2937510 w 12776833"/>
            <a:gd name="connsiteY26" fmla="*/ 1484568 h 1865562"/>
            <a:gd name="connsiteX27" fmla="*/ 3087950 w 12776833"/>
            <a:gd name="connsiteY27" fmla="*/ 1635008 h 1865562"/>
            <a:gd name="connsiteX28" fmla="*/ 5461691 w 12776833"/>
            <a:gd name="connsiteY28" fmla="*/ 1635008 h 1865562"/>
            <a:gd name="connsiteX29" fmla="*/ 5612129 w 12776833"/>
            <a:gd name="connsiteY29" fmla="*/ 1484568 h 1865562"/>
            <a:gd name="connsiteX30" fmla="*/ 5612129 w 12776833"/>
            <a:gd name="connsiteY30" fmla="*/ 471335 h 1865562"/>
            <a:gd name="connsiteX31" fmla="*/ 5461691 w 12776833"/>
            <a:gd name="connsiteY31" fmla="*/ 320895 h 1865562"/>
            <a:gd name="connsiteX32" fmla="*/ 0 w 12776833"/>
            <a:gd name="connsiteY32" fmla="*/ 0 h 1865562"/>
            <a:gd name="connsiteX33" fmla="*/ 12776833 w 12776833"/>
            <a:gd name="connsiteY33" fmla="*/ 0 h 1865562"/>
            <a:gd name="connsiteX34" fmla="*/ 12776833 w 12776833"/>
            <a:gd name="connsiteY34" fmla="*/ 1865562 h 1865562"/>
            <a:gd name="connsiteX35" fmla="*/ 0 w 12776833"/>
            <a:gd name="connsiteY35" fmla="*/ 1865562 h 18655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Lst>
          <a:rect l="l" t="t" r="r" b="b"/>
          <a:pathLst>
            <a:path w="12776833" h="1865562">
              <a:moveTo>
                <a:pt x="8380039" y="348783"/>
              </a:moveTo>
              <a:cubicBezTo>
                <a:pt x="8296953" y="348783"/>
                <a:pt x="8229599" y="416137"/>
                <a:pt x="8229599" y="499223"/>
              </a:cubicBezTo>
              <a:lnTo>
                <a:pt x="8229599" y="1512456"/>
              </a:lnTo>
              <a:cubicBezTo>
                <a:pt x="8229599" y="1595542"/>
                <a:pt x="8296953" y="1662896"/>
                <a:pt x="8380039" y="1662896"/>
              </a:cubicBezTo>
              <a:lnTo>
                <a:pt x="11881539" y="1662896"/>
              </a:lnTo>
              <a:cubicBezTo>
                <a:pt x="11964625" y="1662896"/>
                <a:pt x="12031979" y="1595542"/>
                <a:pt x="12031979" y="1512456"/>
              </a:cubicBezTo>
              <a:lnTo>
                <a:pt x="12031979" y="499223"/>
              </a:lnTo>
              <a:cubicBezTo>
                <a:pt x="12031979" y="416137"/>
                <a:pt x="11964625" y="348783"/>
                <a:pt x="11881539" y="348783"/>
              </a:cubicBezTo>
              <a:close/>
              <a:moveTo>
                <a:pt x="5865439" y="348783"/>
              </a:moveTo>
              <a:cubicBezTo>
                <a:pt x="5782354" y="348783"/>
                <a:pt x="5714999" y="416137"/>
                <a:pt x="5714999" y="499223"/>
              </a:cubicBezTo>
              <a:lnTo>
                <a:pt x="5714999" y="1512456"/>
              </a:lnTo>
              <a:cubicBezTo>
                <a:pt x="5714999" y="1595542"/>
                <a:pt x="5782354" y="1662896"/>
                <a:pt x="5865439" y="1662896"/>
              </a:cubicBezTo>
              <a:lnTo>
                <a:pt x="7976289" y="1662896"/>
              </a:lnTo>
              <a:cubicBezTo>
                <a:pt x="8059375" y="1662896"/>
                <a:pt x="8126729" y="1595542"/>
                <a:pt x="8126729" y="1512456"/>
              </a:cubicBezTo>
              <a:lnTo>
                <a:pt x="8126729" y="499223"/>
              </a:lnTo>
              <a:cubicBezTo>
                <a:pt x="8126729" y="416137"/>
                <a:pt x="8059375" y="348783"/>
                <a:pt x="7976289" y="348783"/>
              </a:cubicBezTo>
              <a:close/>
              <a:moveTo>
                <a:pt x="310460" y="348783"/>
              </a:moveTo>
              <a:cubicBezTo>
                <a:pt x="227374" y="348783"/>
                <a:pt x="160020" y="416137"/>
                <a:pt x="160020" y="499223"/>
              </a:cubicBezTo>
              <a:lnTo>
                <a:pt x="160020" y="1512456"/>
              </a:lnTo>
              <a:cubicBezTo>
                <a:pt x="160020" y="1595542"/>
                <a:pt x="227374" y="1662896"/>
                <a:pt x="310460" y="1662896"/>
              </a:cubicBezTo>
              <a:lnTo>
                <a:pt x="2684200" y="1662896"/>
              </a:lnTo>
              <a:cubicBezTo>
                <a:pt x="2767286" y="1662896"/>
                <a:pt x="2834640" y="1595542"/>
                <a:pt x="2834640" y="1512456"/>
              </a:cubicBezTo>
              <a:lnTo>
                <a:pt x="2834640" y="499223"/>
              </a:lnTo>
              <a:cubicBezTo>
                <a:pt x="2834640" y="416137"/>
                <a:pt x="2767286" y="348783"/>
                <a:pt x="2684200" y="348783"/>
              </a:cubicBezTo>
              <a:close/>
              <a:moveTo>
                <a:pt x="3087950" y="320895"/>
              </a:moveTo>
              <a:cubicBezTo>
                <a:pt x="3004864" y="320895"/>
                <a:pt x="2937510" y="388249"/>
                <a:pt x="2937510" y="471335"/>
              </a:cubicBezTo>
              <a:lnTo>
                <a:pt x="2937510" y="1484568"/>
              </a:lnTo>
              <a:cubicBezTo>
                <a:pt x="2937510" y="1567654"/>
                <a:pt x="3004864" y="1635008"/>
                <a:pt x="3087950" y="1635008"/>
              </a:cubicBezTo>
              <a:lnTo>
                <a:pt x="5461691" y="1635008"/>
              </a:lnTo>
              <a:cubicBezTo>
                <a:pt x="5544775" y="1635008"/>
                <a:pt x="5612129" y="1567654"/>
                <a:pt x="5612129" y="1484568"/>
              </a:cubicBezTo>
              <a:lnTo>
                <a:pt x="5612129" y="471335"/>
              </a:lnTo>
              <a:cubicBezTo>
                <a:pt x="5612129" y="388249"/>
                <a:pt x="5544775" y="320895"/>
                <a:pt x="5461691" y="320895"/>
              </a:cubicBezTo>
              <a:close/>
              <a:moveTo>
                <a:pt x="0" y="0"/>
              </a:moveTo>
              <a:lnTo>
                <a:pt x="12776833" y="0"/>
              </a:lnTo>
              <a:lnTo>
                <a:pt x="12776833" y="1865562"/>
              </a:lnTo>
              <a:lnTo>
                <a:pt x="0" y="1865562"/>
              </a:lnTo>
              <a:close/>
            </a:path>
          </a:pathLst>
        </a:cu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26</xdr:col>
      <xdr:colOff>104775</xdr:colOff>
      <xdr:row>5</xdr:row>
      <xdr:rowOff>119062</xdr:rowOff>
    </xdr:from>
    <xdr:to>
      <xdr:col>27</xdr:col>
      <xdr:colOff>419100</xdr:colOff>
      <xdr:row>6</xdr:row>
      <xdr:rowOff>146875</xdr:rowOff>
    </xdr:to>
    <xdr:sp macro="[0]!Prod_AttachThum" textlink="">
      <xdr:nvSpPr>
        <xdr:cNvPr id="41" name="SHOWENTRY">
          <a:extLst>
            <a:ext uri="{FF2B5EF4-FFF2-40B4-BE49-F238E27FC236}">
              <a16:creationId xmlns:a16="http://schemas.microsoft.com/office/drawing/2014/main" id="{00000000-0008-0000-0700-000029000000}"/>
            </a:ext>
          </a:extLst>
        </xdr:cNvPr>
        <xdr:cNvSpPr/>
      </xdr:nvSpPr>
      <xdr:spPr>
        <a:xfrm>
          <a:off x="9915525" y="1452562"/>
          <a:ext cx="1333500" cy="246888"/>
        </a:xfrm>
        <a:prstGeom prst="roundRect">
          <a:avLst>
            <a:gd name="adj" fmla="val 50000"/>
          </a:avLst>
        </a:prstGeom>
        <a:solidFill>
          <a:schemeClr val="accent4"/>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lumMod val="95000"/>
                </a:schemeClr>
              </a:solidFill>
              <a:latin typeface="Arial" panose="020B0604020202020204" pitchFamily="34" charset="0"/>
              <a:cs typeface="Arial" panose="020B0604020202020204" pitchFamily="34" charset="0"/>
            </a:rPr>
            <a:t>INSERT</a:t>
          </a:r>
          <a:r>
            <a:rPr lang="en-US" sz="800" baseline="0">
              <a:solidFill>
                <a:schemeClr val="bg1">
                  <a:lumMod val="95000"/>
                </a:schemeClr>
              </a:solidFill>
              <a:latin typeface="Arial" panose="020B0604020202020204" pitchFamily="34" charset="0"/>
              <a:cs typeface="Arial" panose="020B0604020202020204" pitchFamily="34" charset="0"/>
            </a:rPr>
            <a:t> PHOTO</a:t>
          </a:r>
          <a:endParaRPr lang="en-US" sz="800">
            <a:solidFill>
              <a:schemeClr val="bg1">
                <a:lumMod val="95000"/>
              </a:schemeClr>
            </a:solidFill>
            <a:latin typeface="Arial" panose="020B0604020202020204" pitchFamily="34" charset="0"/>
            <a:cs typeface="Arial" panose="020B0604020202020204" pitchFamily="34" charset="0"/>
          </a:endParaRPr>
        </a:p>
      </xdr:txBody>
    </xdr:sp>
    <xdr:clientData/>
  </xdr:twoCellAnchor>
  <xdr:twoCellAnchor editAs="absolute">
    <xdr:from>
      <xdr:col>29</xdr:col>
      <xdr:colOff>13948</xdr:colOff>
      <xdr:row>0</xdr:row>
      <xdr:rowOff>130677</xdr:rowOff>
    </xdr:from>
    <xdr:to>
      <xdr:col>29</xdr:col>
      <xdr:colOff>154168</xdr:colOff>
      <xdr:row>0</xdr:row>
      <xdr:rowOff>276994</xdr:rowOff>
    </xdr:to>
    <xdr:pic macro="[0]!Maximize">
      <xdr:nvPicPr>
        <xdr:cNvPr id="13" name="Picture 12">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1"/>
        <a:stretch>
          <a:fillRect/>
        </a:stretch>
      </xdr:blipFill>
      <xdr:spPr>
        <a:xfrm>
          <a:off x="12415498" y="130677"/>
          <a:ext cx="140220" cy="146317"/>
        </a:xfrm>
        <a:prstGeom prst="rect">
          <a:avLst/>
        </a:prstGeom>
      </xdr:spPr>
    </xdr:pic>
    <xdr:clientData/>
  </xdr:twoCellAnchor>
  <xdr:twoCellAnchor editAs="absolute">
    <xdr:from>
      <xdr:col>28</xdr:col>
      <xdr:colOff>288676</xdr:colOff>
      <xdr:row>0</xdr:row>
      <xdr:rowOff>137160</xdr:rowOff>
    </xdr:from>
    <xdr:to>
      <xdr:col>28</xdr:col>
      <xdr:colOff>431551</xdr:colOff>
      <xdr:row>0</xdr:row>
      <xdr:rowOff>270511</xdr:rowOff>
    </xdr:to>
    <xdr:pic macro="[0]!Minimize">
      <xdr:nvPicPr>
        <xdr:cNvPr id="14" name="Picture 13">
          <a:extLst>
            <a:ext uri="{FF2B5EF4-FFF2-40B4-BE49-F238E27FC236}">
              <a16:creationId xmlns:a16="http://schemas.microsoft.com/office/drawing/2014/main" id="{00000000-0008-0000-0700-00000E000000}"/>
            </a:ext>
          </a:extLst>
        </xdr:cNvPr>
        <xdr:cNvPicPr>
          <a:picLocks/>
        </xdr:cNvPicPr>
      </xdr:nvPicPr>
      <xdr:blipFill>
        <a:blip xmlns:r="http://schemas.openxmlformats.org/officeDocument/2006/relationships" r:embed="rId2"/>
        <a:stretch>
          <a:fillRect/>
        </a:stretch>
      </xdr:blipFill>
      <xdr:spPr>
        <a:xfrm>
          <a:off x="12080626" y="137160"/>
          <a:ext cx="142875" cy="133351"/>
        </a:xfrm>
        <a:prstGeom prst="rect">
          <a:avLst/>
        </a:prstGeom>
      </xdr:spPr>
    </xdr:pic>
    <xdr:clientData/>
  </xdr:twoCellAnchor>
  <xdr:twoCellAnchor editAs="absolute">
    <xdr:from>
      <xdr:col>12</xdr:col>
      <xdr:colOff>123350</xdr:colOff>
      <xdr:row>0</xdr:row>
      <xdr:rowOff>93345</xdr:rowOff>
    </xdr:from>
    <xdr:to>
      <xdr:col>12</xdr:col>
      <xdr:colOff>351950</xdr:colOff>
      <xdr:row>0</xdr:row>
      <xdr:rowOff>321945</xdr:rowOff>
    </xdr:to>
    <xdr:pic>
      <xdr:nvPicPr>
        <xdr:cNvPr id="15" name="Picture 14">
          <a:extLst>
            <a:ext uri="{FF2B5EF4-FFF2-40B4-BE49-F238E27FC236}">
              <a16:creationId xmlns:a16="http://schemas.microsoft.com/office/drawing/2014/main" id="{00000000-0008-0000-0700-00000F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3850" y="93345"/>
          <a:ext cx="228600" cy="228600"/>
        </a:xfrm>
        <a:prstGeom prst="rect">
          <a:avLst/>
        </a:prstGeom>
        <a:noFill/>
      </xdr:spPr>
    </xdr:pic>
    <xdr:clientData/>
  </xdr:twoCellAnchor>
  <xdr:twoCellAnchor editAs="absolute">
    <xdr:from>
      <xdr:col>27</xdr:col>
      <xdr:colOff>57150</xdr:colOff>
      <xdr:row>11</xdr:row>
      <xdr:rowOff>171451</xdr:rowOff>
    </xdr:from>
    <xdr:to>
      <xdr:col>29</xdr:col>
      <xdr:colOff>285751</xdr:colOff>
      <xdr:row>17</xdr:row>
      <xdr:rowOff>38100</xdr:rowOff>
    </xdr:to>
    <xdr:graphicFrame macro="">
      <xdr:nvGraphicFramePr>
        <xdr:cNvPr id="12" name="Chart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15</xdr:col>
      <xdr:colOff>19051</xdr:colOff>
      <xdr:row>49</xdr:row>
      <xdr:rowOff>118043</xdr:rowOff>
    </xdr:from>
    <xdr:to>
      <xdr:col>18</xdr:col>
      <xdr:colOff>338862</xdr:colOff>
      <xdr:row>55</xdr:row>
      <xdr:rowOff>66675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5"/>
        <a:stretch>
          <a:fillRect/>
        </a:stretch>
      </xdr:blipFill>
      <xdr:spPr>
        <a:xfrm>
          <a:off x="2714626" y="9843068"/>
          <a:ext cx="2234336" cy="1091632"/>
        </a:xfrm>
        <a:prstGeom prst="rect">
          <a:avLst/>
        </a:prstGeom>
      </xdr:spPr>
    </xdr:pic>
    <xdr:clientData/>
  </xdr:twoCellAnchor>
  <xdr:twoCellAnchor editAs="absolute">
    <xdr:from>
      <xdr:col>24</xdr:col>
      <xdr:colOff>76199</xdr:colOff>
      <xdr:row>1</xdr:row>
      <xdr:rowOff>209549</xdr:rowOff>
    </xdr:from>
    <xdr:to>
      <xdr:col>26</xdr:col>
      <xdr:colOff>47624</xdr:colOff>
      <xdr:row>6</xdr:row>
      <xdr:rowOff>19049</xdr:rowOff>
    </xdr:to>
    <xdr:sp macro="" textlink="">
      <xdr:nvSpPr>
        <xdr:cNvPr id="17" name="Freeform: Shape 16">
          <a:extLst>
            <a:ext uri="{FF2B5EF4-FFF2-40B4-BE49-F238E27FC236}">
              <a16:creationId xmlns:a16="http://schemas.microsoft.com/office/drawing/2014/main" id="{ECA33C42-EC8E-824A-48E8-99712E8A62DC}"/>
            </a:ext>
          </a:extLst>
        </xdr:cNvPr>
        <xdr:cNvSpPr/>
      </xdr:nvSpPr>
      <xdr:spPr>
        <a:xfrm>
          <a:off x="8877299" y="590549"/>
          <a:ext cx="981075" cy="981075"/>
        </a:xfrm>
        <a:custGeom>
          <a:avLst/>
          <a:gdLst>
            <a:gd name="connsiteX0" fmla="*/ 548640 w 1097280"/>
            <a:gd name="connsiteY0" fmla="*/ 91440 h 1097280"/>
            <a:gd name="connsiteX1" fmla="*/ 91440 w 1097280"/>
            <a:gd name="connsiteY1" fmla="*/ 548640 h 1097280"/>
            <a:gd name="connsiteX2" fmla="*/ 548640 w 1097280"/>
            <a:gd name="connsiteY2" fmla="*/ 1005840 h 1097280"/>
            <a:gd name="connsiteX3" fmla="*/ 1005840 w 1097280"/>
            <a:gd name="connsiteY3" fmla="*/ 548640 h 1097280"/>
            <a:gd name="connsiteX4" fmla="*/ 548640 w 1097280"/>
            <a:gd name="connsiteY4" fmla="*/ 91440 h 1097280"/>
            <a:gd name="connsiteX5" fmla="*/ 0 w 1097280"/>
            <a:gd name="connsiteY5" fmla="*/ 0 h 1097280"/>
            <a:gd name="connsiteX6" fmla="*/ 1097280 w 1097280"/>
            <a:gd name="connsiteY6" fmla="*/ 0 h 1097280"/>
            <a:gd name="connsiteX7" fmla="*/ 1097280 w 1097280"/>
            <a:gd name="connsiteY7" fmla="*/ 1097280 h 1097280"/>
            <a:gd name="connsiteX8" fmla="*/ 0 w 1097280"/>
            <a:gd name="connsiteY8" fmla="*/ 1097280 h 1097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97280" h="1097280">
              <a:moveTo>
                <a:pt x="548640" y="91440"/>
              </a:moveTo>
              <a:cubicBezTo>
                <a:pt x="296135" y="91440"/>
                <a:pt x="91440" y="296135"/>
                <a:pt x="91440" y="548640"/>
              </a:cubicBezTo>
              <a:cubicBezTo>
                <a:pt x="91440" y="801145"/>
                <a:pt x="296135" y="1005840"/>
                <a:pt x="548640" y="1005840"/>
              </a:cubicBezTo>
              <a:cubicBezTo>
                <a:pt x="801145" y="1005840"/>
                <a:pt x="1005840" y="801145"/>
                <a:pt x="1005840" y="548640"/>
              </a:cubicBezTo>
              <a:cubicBezTo>
                <a:pt x="1005840" y="296135"/>
                <a:pt x="801145" y="91440"/>
                <a:pt x="548640" y="91440"/>
              </a:cubicBezTo>
              <a:close/>
              <a:moveTo>
                <a:pt x="0" y="0"/>
              </a:moveTo>
              <a:lnTo>
                <a:pt x="1097280" y="0"/>
              </a:lnTo>
              <a:lnTo>
                <a:pt x="1097280" y="1097280"/>
              </a:lnTo>
              <a:lnTo>
                <a:pt x="0" y="1097280"/>
              </a:lnTo>
              <a:close/>
            </a:path>
          </a:pathLst>
        </a:cu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12</xdr:col>
      <xdr:colOff>332900</xdr:colOff>
      <xdr:row>0</xdr:row>
      <xdr:rowOff>74295</xdr:rowOff>
    </xdr:from>
    <xdr:to>
      <xdr:col>14</xdr:col>
      <xdr:colOff>190025</xdr:colOff>
      <xdr:row>0</xdr:row>
      <xdr:rowOff>312420</xdr:rowOff>
    </xdr:to>
    <xdr:sp macro="" textlink="">
      <xdr:nvSpPr>
        <xdr:cNvPr id="9" name="TextBox 8">
          <a:extLst>
            <a:ext uri="{FF2B5EF4-FFF2-40B4-BE49-F238E27FC236}">
              <a16:creationId xmlns:a16="http://schemas.microsoft.com/office/drawing/2014/main" id="{59E72FD9-0EA5-443A-8EC5-197D8EF67C9F}"/>
            </a:ext>
          </a:extLst>
        </xdr:cNvPr>
        <xdr:cNvSpPr txBox="1"/>
      </xdr:nvSpPr>
      <xdr:spPr>
        <a:xfrm>
          <a:off x="523400" y="74295"/>
          <a:ext cx="1323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cs typeface="Arial" panose="020B0604020202020204" pitchFamily="34" charset="0"/>
            </a:rPr>
            <a:t>Settings</a:t>
          </a:r>
        </a:p>
      </xdr:txBody>
    </xdr:sp>
    <xdr:clientData/>
  </xdr:twoCellAnchor>
  <xdr:twoCellAnchor editAs="absolute">
    <xdr:from>
      <xdr:col>15</xdr:col>
      <xdr:colOff>19049</xdr:colOff>
      <xdr:row>69</xdr:row>
      <xdr:rowOff>57150</xdr:rowOff>
    </xdr:from>
    <xdr:to>
      <xdr:col>18</xdr:col>
      <xdr:colOff>489669</xdr:colOff>
      <xdr:row>72</xdr:row>
      <xdr:rowOff>361950</xdr:rowOff>
    </xdr:to>
    <xdr:pic>
      <xdr:nvPicPr>
        <xdr:cNvPr id="10" name="Picture 9">
          <a:extLst>
            <a:ext uri="{FF2B5EF4-FFF2-40B4-BE49-F238E27FC236}">
              <a16:creationId xmlns:a16="http://schemas.microsoft.com/office/drawing/2014/main" id="{BC8AF5F6-A312-7BFA-F7D1-C4474911A37F}"/>
            </a:ext>
          </a:extLst>
        </xdr:cNvPr>
        <xdr:cNvPicPr>
          <a:picLocks noChangeAspect="1"/>
        </xdr:cNvPicPr>
      </xdr:nvPicPr>
      <xdr:blipFill rotWithShape="1">
        <a:blip xmlns:r="http://schemas.openxmlformats.org/officeDocument/2006/relationships" r:embed="rId6"/>
        <a:srcRect b="23962"/>
        <a:stretch/>
      </xdr:blipFill>
      <xdr:spPr>
        <a:xfrm>
          <a:off x="2714624" y="13592175"/>
          <a:ext cx="2385145" cy="876300"/>
        </a:xfrm>
        <a:prstGeom prst="rect">
          <a:avLst/>
        </a:prstGeom>
      </xdr:spPr>
    </xdr:pic>
    <xdr:clientData/>
  </xdr:twoCellAnchor>
  <xdr:twoCellAnchor editAs="absolute">
    <xdr:from>
      <xdr:col>25</xdr:col>
      <xdr:colOff>95250</xdr:colOff>
      <xdr:row>35</xdr:row>
      <xdr:rowOff>171449</xdr:rowOff>
    </xdr:from>
    <xdr:to>
      <xdr:col>28</xdr:col>
      <xdr:colOff>485361</xdr:colOff>
      <xdr:row>44</xdr:row>
      <xdr:rowOff>85536</xdr:rowOff>
    </xdr:to>
    <xdr:pic>
      <xdr:nvPicPr>
        <xdr:cNvPr id="16" name="Picture 15">
          <a:extLst>
            <a:ext uri="{FF2B5EF4-FFF2-40B4-BE49-F238E27FC236}">
              <a16:creationId xmlns:a16="http://schemas.microsoft.com/office/drawing/2014/main" id="{08E6A1C1-7A11-93FD-3AD8-52F066E3B6D6}"/>
            </a:ext>
          </a:extLst>
        </xdr:cNvPr>
        <xdr:cNvPicPr>
          <a:picLocks noChangeAspect="1"/>
        </xdr:cNvPicPr>
      </xdr:nvPicPr>
      <xdr:blipFill rotWithShape="1">
        <a:blip xmlns:r="http://schemas.openxmlformats.org/officeDocument/2006/relationships" r:embed="rId7"/>
        <a:srcRect l="1149" t="4431"/>
        <a:stretch/>
      </xdr:blipFill>
      <xdr:spPr>
        <a:xfrm>
          <a:off x="9001125" y="7419974"/>
          <a:ext cx="3276186" cy="1438087"/>
        </a:xfrm>
        <a:prstGeom prst="rect">
          <a:avLst/>
        </a:prstGeom>
      </xdr:spPr>
    </xdr:pic>
    <xdr:clientData/>
  </xdr:twoCellAnchor>
  <xdr:twoCellAnchor editAs="absolute">
    <xdr:from>
      <xdr:col>27</xdr:col>
      <xdr:colOff>638175</xdr:colOff>
      <xdr:row>1</xdr:row>
      <xdr:rowOff>209550</xdr:rowOff>
    </xdr:from>
    <xdr:to>
      <xdr:col>29</xdr:col>
      <xdr:colOff>19050</xdr:colOff>
      <xdr:row>6</xdr:row>
      <xdr:rowOff>133350</xdr:rowOff>
    </xdr:to>
    <xdr:grpSp>
      <xdr:nvGrpSpPr>
        <xdr:cNvPr id="21" name="Group 20">
          <a:extLst>
            <a:ext uri="{FF2B5EF4-FFF2-40B4-BE49-F238E27FC236}">
              <a16:creationId xmlns:a16="http://schemas.microsoft.com/office/drawing/2014/main" id="{32CDC39F-962D-73E8-D3C4-A8C267EAD9DB}"/>
            </a:ext>
          </a:extLst>
        </xdr:cNvPr>
        <xdr:cNvGrpSpPr/>
      </xdr:nvGrpSpPr>
      <xdr:grpSpPr>
        <a:xfrm>
          <a:off x="11468100" y="590550"/>
          <a:ext cx="952500" cy="1095375"/>
          <a:chOff x="7010400" y="1638300"/>
          <a:chExt cx="952500" cy="1095375"/>
        </a:xfrm>
      </xdr:grpSpPr>
      <xdr:sp macro="[0]!cleardata.cleardata" textlink="">
        <xdr:nvSpPr>
          <xdr:cNvPr id="19" name="Rectangle: Rounded Corners 18">
            <a:extLst>
              <a:ext uri="{FF2B5EF4-FFF2-40B4-BE49-F238E27FC236}">
                <a16:creationId xmlns:a16="http://schemas.microsoft.com/office/drawing/2014/main" id="{7DA47BBD-E4C6-3E61-5716-9B31B7094A7B}"/>
              </a:ext>
            </a:extLst>
          </xdr:cNvPr>
          <xdr:cNvSpPr/>
        </xdr:nvSpPr>
        <xdr:spPr>
          <a:xfrm>
            <a:off x="7010400" y="1638300"/>
            <a:ext cx="952500" cy="1095375"/>
          </a:xfrm>
          <a:prstGeom prst="roundRect">
            <a:avLst>
              <a:gd name="adj" fmla="val 25000"/>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lang="en-US" sz="1200" b="0">
                <a:latin typeface="Bahnschrift SemiCondensed" panose="020B0502040204020203" pitchFamily="34" charset="0"/>
              </a:rPr>
              <a:t>Delete </a:t>
            </a:r>
          </a:p>
          <a:p>
            <a:pPr algn="ctr"/>
            <a:r>
              <a:rPr lang="en-US" sz="1200" b="0">
                <a:latin typeface="Bahnschrift SemiCondensed" panose="020B0502040204020203" pitchFamily="34" charset="0"/>
              </a:rPr>
              <a:t>All Data</a:t>
            </a:r>
          </a:p>
        </xdr:txBody>
      </xdr:sp>
      <xdr:pic macro="[0]!cleardata.cleardata">
        <xdr:nvPicPr>
          <xdr:cNvPr id="20" name="Picture 19">
            <a:extLst>
              <a:ext uri="{FF2B5EF4-FFF2-40B4-BE49-F238E27FC236}">
                <a16:creationId xmlns:a16="http://schemas.microsoft.com/office/drawing/2014/main" id="{B7AC45BF-E553-4DF7-9791-78315486D369}"/>
              </a:ext>
            </a:extLst>
          </xdr:cNvPr>
          <xdr:cNvPicPr>
            <a:picLocks noChangeAspect="1"/>
          </xdr:cNvPicPr>
        </xdr:nvPicPr>
        <xdr:blipFill>
          <a:blip xmlns:r="http://schemas.openxmlformats.org/officeDocument/2006/relationships" r:embed="rId8">
            <a:extLst>
              <a:ext uri="{BEBA8EAE-BF5A-486C-A8C5-ECC9F3942E4B}">
                <a14:imgProps xmlns:a14="http://schemas.microsoft.com/office/drawing/2010/main">
                  <a14:imgLayer r:embed="rId9">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7258050" y="1743073"/>
            <a:ext cx="457200" cy="457200"/>
          </a:xfrm>
          <a:prstGeom prst="rect">
            <a:avLst/>
          </a:prstGeom>
        </xdr:spPr>
      </xdr:pic>
    </xdr:grpSp>
    <xdr:clientData/>
  </xdr:twoCellAnchor>
  <xdr:twoCellAnchor editAs="absolute">
    <xdr:from>
      <xdr:col>25</xdr:col>
      <xdr:colOff>203200</xdr:colOff>
      <xdr:row>2</xdr:row>
      <xdr:rowOff>142875</xdr:rowOff>
    </xdr:from>
    <xdr:to>
      <xdr:col>25</xdr:col>
      <xdr:colOff>715308</xdr:colOff>
      <xdr:row>4</xdr:row>
      <xdr:rowOff>210737</xdr:rowOff>
    </xdr:to>
    <xdr:pic>
      <xdr:nvPicPr>
        <xdr:cNvPr id="31" name="fPic">
          <a:extLst>
            <a:ext uri="{FF2B5EF4-FFF2-40B4-BE49-F238E27FC236}">
              <a16:creationId xmlns:a16="http://schemas.microsoft.com/office/drawing/2014/main" id="{F70480CA-93EF-FBB5-5327-F9E2C8CE04AA}"/>
            </a:ext>
          </a:extLst>
        </xdr:cNvPr>
        <xdr:cNvPicPr>
          <a:picLocks noChangeAspect="1"/>
        </xdr:cNvPicPr>
      </xdr:nvPicPr>
      <xdr:blipFill>
        <a:blip xmlns:r="http://schemas.openxmlformats.org/officeDocument/2006/relationships" r:embed="rId10"/>
        <a:stretch>
          <a:fillRect/>
        </a:stretch>
      </xdr:blipFill>
      <xdr:spPr>
        <a:xfrm>
          <a:off x="9109075" y="819150"/>
          <a:ext cx="512108" cy="506012"/>
        </a:xfrm>
        <a:prstGeom prst="rect">
          <a:avLst/>
        </a:prstGeom>
      </xdr:spPr>
    </xdr:pic>
    <xdr:clientData/>
  </xdr:twoCellAnchor>
  <xdr:twoCellAnchor editAs="absolute">
    <xdr:from>
      <xdr:col>22</xdr:col>
      <xdr:colOff>314325</xdr:colOff>
      <xdr:row>5</xdr:row>
      <xdr:rowOff>200025</xdr:rowOff>
    </xdr:from>
    <xdr:to>
      <xdr:col>22</xdr:col>
      <xdr:colOff>1045845</xdr:colOff>
      <xdr:row>6</xdr:row>
      <xdr:rowOff>209550</xdr:rowOff>
    </xdr:to>
    <xdr:grpSp>
      <xdr:nvGrpSpPr>
        <xdr:cNvPr id="5" name="Group 4">
          <a:extLst>
            <a:ext uri="{FF2B5EF4-FFF2-40B4-BE49-F238E27FC236}">
              <a16:creationId xmlns:a16="http://schemas.microsoft.com/office/drawing/2014/main" id="{5F92F09B-3DAA-486D-85FC-BD69CC32D54A}"/>
            </a:ext>
          </a:extLst>
        </xdr:cNvPr>
        <xdr:cNvGrpSpPr/>
      </xdr:nvGrpSpPr>
      <xdr:grpSpPr>
        <a:xfrm>
          <a:off x="7562850" y="1533525"/>
          <a:ext cx="731520" cy="228600"/>
          <a:chOff x="2302611" y="1560217"/>
          <a:chExt cx="793013" cy="249533"/>
        </a:xfrm>
        <a:noFill/>
      </xdr:grpSpPr>
      <xdr:pic macro="[0]!dataDate">
        <xdr:nvPicPr>
          <xdr:cNvPr id="6" name="Picture 5">
            <a:extLst>
              <a:ext uri="{FF2B5EF4-FFF2-40B4-BE49-F238E27FC236}">
                <a16:creationId xmlns:a16="http://schemas.microsoft.com/office/drawing/2014/main" id="{CFE6E4D9-1F18-0A90-D2F8-6728FCF45328}"/>
              </a:ext>
            </a:extLst>
          </xdr:cNvPr>
          <xdr:cNvPicPr>
            <a:picLocks noChangeAspect="1"/>
          </xdr:cNvPicPr>
        </xdr:nvPicPr>
        <xdr:blipFill>
          <a:blip xmlns:r="http://schemas.openxmlformats.org/officeDocument/2006/relationships" r:embed="rId11">
            <a:lum bright="70000" contrast="-70000"/>
            <a:extLst>
              <a:ext uri="{28A0092B-C50C-407E-A947-70E740481C1C}">
                <a14:useLocalDpi xmlns:a14="http://schemas.microsoft.com/office/drawing/2010/main" val="0"/>
              </a:ext>
            </a:extLst>
          </a:blip>
          <a:stretch>
            <a:fillRect/>
          </a:stretch>
        </xdr:blipFill>
        <xdr:spPr>
          <a:xfrm>
            <a:off x="2800350" y="1580208"/>
            <a:ext cx="209550" cy="209550"/>
          </a:xfrm>
          <a:prstGeom prst="rect">
            <a:avLst/>
          </a:prstGeom>
          <a:grpFill/>
        </xdr:spPr>
      </xdr:pic>
      <xdr:sp macro="[0]!dataDate" textlink="">
        <xdr:nvSpPr>
          <xdr:cNvPr id="7" name="SHOWENTRY">
            <a:extLst>
              <a:ext uri="{FF2B5EF4-FFF2-40B4-BE49-F238E27FC236}">
                <a16:creationId xmlns:a16="http://schemas.microsoft.com/office/drawing/2014/main" id="{8F039CE0-1F95-6BCD-2671-6B08F938FC0C}"/>
              </a:ext>
            </a:extLst>
          </xdr:cNvPr>
          <xdr:cNvSpPr/>
        </xdr:nvSpPr>
        <xdr:spPr>
          <a:xfrm>
            <a:off x="2302611" y="1560217"/>
            <a:ext cx="793013" cy="249533"/>
          </a:xfrm>
          <a:prstGeom prst="roundRect">
            <a:avLst>
              <a:gd name="adj" fmla="val 50000"/>
            </a:avLst>
          </a:prstGeom>
          <a:grp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a:solidFill>
                  <a:schemeClr val="bg2"/>
                </a:solidFill>
                <a:latin typeface="Arial" panose="020B0604020202020204" pitchFamily="34" charset="0"/>
                <a:cs typeface="Arial" panose="020B0604020202020204" pitchFamily="34" charset="0"/>
              </a:rPr>
              <a:t>APPLY </a:t>
            </a:r>
          </a:p>
        </xdr:txBody>
      </xdr:sp>
    </xdr:grpSp>
    <xdr:clientData/>
  </xdr:twoCellAnchor>
  <xdr:twoCellAnchor editAs="absolute">
    <xdr:from>
      <xdr:col>12</xdr:col>
      <xdr:colOff>1019175</xdr:colOff>
      <xdr:row>5</xdr:row>
      <xdr:rowOff>171450</xdr:rowOff>
    </xdr:from>
    <xdr:to>
      <xdr:col>14</xdr:col>
      <xdr:colOff>283845</xdr:colOff>
      <xdr:row>6</xdr:row>
      <xdr:rowOff>180975</xdr:rowOff>
    </xdr:to>
    <xdr:grpSp>
      <xdr:nvGrpSpPr>
        <xdr:cNvPr id="8" name="Group 7">
          <a:extLst>
            <a:ext uri="{FF2B5EF4-FFF2-40B4-BE49-F238E27FC236}">
              <a16:creationId xmlns:a16="http://schemas.microsoft.com/office/drawing/2014/main" id="{089DC2D8-19F7-46A8-98C1-F56D16281AD1}"/>
            </a:ext>
          </a:extLst>
        </xdr:cNvPr>
        <xdr:cNvGrpSpPr/>
      </xdr:nvGrpSpPr>
      <xdr:grpSpPr>
        <a:xfrm>
          <a:off x="1209675" y="1504950"/>
          <a:ext cx="731520" cy="228600"/>
          <a:chOff x="2302611" y="1560217"/>
          <a:chExt cx="793013" cy="249533"/>
        </a:xfrm>
        <a:noFill/>
      </xdr:grpSpPr>
      <xdr:pic macro="[0]!currencySettings">
        <xdr:nvPicPr>
          <xdr:cNvPr id="18" name="Picture 17">
            <a:extLst>
              <a:ext uri="{FF2B5EF4-FFF2-40B4-BE49-F238E27FC236}">
                <a16:creationId xmlns:a16="http://schemas.microsoft.com/office/drawing/2014/main" id="{68793670-3970-C46C-6502-AF5279881F7F}"/>
              </a:ext>
            </a:extLst>
          </xdr:cNvPr>
          <xdr:cNvPicPr>
            <a:picLocks noChangeAspect="1"/>
          </xdr:cNvPicPr>
        </xdr:nvPicPr>
        <xdr:blipFill>
          <a:blip xmlns:r="http://schemas.openxmlformats.org/officeDocument/2006/relationships" r:embed="rId11">
            <a:lum bright="70000" contrast="-70000"/>
            <a:extLst>
              <a:ext uri="{28A0092B-C50C-407E-A947-70E740481C1C}">
                <a14:useLocalDpi xmlns:a14="http://schemas.microsoft.com/office/drawing/2010/main" val="0"/>
              </a:ext>
            </a:extLst>
          </a:blip>
          <a:stretch>
            <a:fillRect/>
          </a:stretch>
        </xdr:blipFill>
        <xdr:spPr>
          <a:xfrm>
            <a:off x="2800350" y="1580208"/>
            <a:ext cx="209550" cy="209550"/>
          </a:xfrm>
          <a:prstGeom prst="rect">
            <a:avLst/>
          </a:prstGeom>
          <a:grpFill/>
        </xdr:spPr>
      </xdr:pic>
      <xdr:sp macro="[0]!currencySettings" textlink="">
        <xdr:nvSpPr>
          <xdr:cNvPr id="22" name="SHOWENTRY">
            <a:extLst>
              <a:ext uri="{FF2B5EF4-FFF2-40B4-BE49-F238E27FC236}">
                <a16:creationId xmlns:a16="http://schemas.microsoft.com/office/drawing/2014/main" id="{1DA9C125-A2C6-845E-66A3-51DCB86884A4}"/>
              </a:ext>
            </a:extLst>
          </xdr:cNvPr>
          <xdr:cNvSpPr/>
        </xdr:nvSpPr>
        <xdr:spPr>
          <a:xfrm>
            <a:off x="2302611" y="1560217"/>
            <a:ext cx="793013" cy="249533"/>
          </a:xfrm>
          <a:prstGeom prst="roundRect">
            <a:avLst>
              <a:gd name="adj" fmla="val 50000"/>
            </a:avLst>
          </a:prstGeom>
          <a:grp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a:solidFill>
                  <a:schemeClr val="bg2"/>
                </a:solidFill>
                <a:latin typeface="Arial" panose="020B0604020202020204" pitchFamily="34" charset="0"/>
                <a:cs typeface="Arial" panose="020B0604020202020204" pitchFamily="34" charset="0"/>
              </a:rPr>
              <a:t>APPLY </a:t>
            </a:r>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997.928473958331" createdVersion="8" refreshedVersion="8" minRefreshableVersion="3" recordCount="6" xr:uid="{20C023EA-E91E-4348-9D23-AA1E87D26813}">
  <cacheSource type="worksheet">
    <worksheetSource name="Table3"/>
  </cacheSource>
  <cacheFields count="1">
    <cacheField name="ChartSet" numFmtId="0">
      <sharedItems containsMixedTypes="1" containsNumber="1" containsInteger="1" minValue="20" maxValue="500" count="6">
        <s v="ALL"/>
        <n v="20"/>
        <n v="50"/>
        <n v="100"/>
        <n v="200"/>
        <n v="500"/>
      </sharedItems>
    </cacheField>
  </cacheFields>
  <extLst>
    <ext xmlns:x14="http://schemas.microsoft.com/office/spreadsheetml/2009/9/main" uri="{725AE2AE-9491-48be-B2B4-4EB974FC3084}">
      <x14:pivotCacheDefinition pivotCacheId="62842298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997.928476041663" createdVersion="8" refreshedVersion="8" minRefreshableVersion="3" recordCount="2" xr:uid="{2E2CB777-A8AB-4BD5-9BD7-C9BAD7B80A84}">
  <cacheSource type="worksheet">
    <worksheetSource name="Table1"/>
  </cacheSource>
  <cacheFields count="1">
    <cacheField name="selection" numFmtId="0">
      <sharedItems count="2">
        <s v="Wins &amp; Losses"/>
        <s v="Ave.Profit &amp; Loss"/>
      </sharedItems>
    </cacheField>
  </cacheFields>
  <extLst>
    <ext xmlns:x14="http://schemas.microsoft.com/office/spreadsheetml/2009/9/main" uri="{725AE2AE-9491-48be-B2B4-4EB974FC3084}">
      <x14:pivotCacheDefinition pivotCacheId="95590559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x v="0"/>
  </r>
  <r>
    <x v="1"/>
  </r>
  <r>
    <x v="2"/>
  </r>
  <r>
    <x v="3"/>
  </r>
  <r>
    <x v="4"/>
  </r>
  <r>
    <x v="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x v="0"/>
  </r>
  <r>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9AAC7C-00A4-496E-8547-B14192B2255F}" name="PChart"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C59" firstHeaderRow="0" firstDataRow="0" firstDataCol="0" rowPageCount="1" colPageCount="1"/>
  <pivotFields count="1">
    <pivotField axis="axisPage" showAll="0">
      <items count="7">
        <item x="1"/>
        <item x="2"/>
        <item x="0"/>
        <item x="3"/>
        <item x="4"/>
        <item x="5"/>
        <item t="default"/>
      </items>
    </pivotField>
  </pivotFields>
  <pageFields count="1">
    <pageField fld="0"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DCBB360-D299-4E1C-8491-04DB34ABAEEE}"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C188" firstHeaderRow="0" firstDataRow="0" firstDataCol="0" rowPageCount="1" colPageCount="1"/>
  <pivotFields count="1">
    <pivotField axis="axisPage" showAll="0">
      <items count="3">
        <item x="1"/>
        <item x="0"/>
        <item t="default"/>
      </items>
    </pivotField>
  </pivotFields>
  <pageFields count="1">
    <pageField fld="0"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lection1" xr10:uid="{BAD5EABD-23CA-4719-BC9E-995E4E183DF7}" sourceName="selection">
  <pivotTables>
    <pivotTable tabId="11" name="PivotTable1"/>
  </pivotTables>
  <data>
    <tabular pivotCacheId="955905599">
      <items count="2">
        <i x="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hartSet" xr10:uid="{347124A1-A040-4806-8A46-6DE441C836A9}" sourceName="ChartSet">
  <pivotTables>
    <pivotTable tabId="15" name="PChart"/>
  </pivotTables>
  <data>
    <tabular pivotCacheId="628422985">
      <items count="6">
        <i x="1"/>
        <i x="2" s="1"/>
        <i x="3"/>
        <i x="4"/>
        <i x="5"/>
        <i x="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lection 1" xr10:uid="{C7A988D6-F607-4FB1-B3DA-8C1060391720}" cache="Slicer_selection1" caption="selection" columnCount="2" showCaption="0" style="ftj 2 2" lockedPosition="1" rowHeight="241300"/>
  <slicer name="ChartSet" xr10:uid="{5991C385-7356-4BF9-82DC-DF0FD2F3FA97}" cache="Slicer_ChartSet" caption="ChartSet" columnCount="6" showCaption="0" style="ftj 2 2"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E925656-071C-475B-84AF-FCD7417C6FA0}" name="Table3" displayName="Table3" ref="AB59:AB65" totalsRowShown="0">
  <autoFilter ref="AB59:AB65" xr:uid="{FE925656-071C-475B-84AF-FCD7417C6FA0}"/>
  <tableColumns count="1">
    <tableColumn id="1" xr3:uid="{8D84FD2F-57C7-45F0-9CC8-C10B0305E5DD}" name="ChartSet"/>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4EFB9A-BA5E-42DF-B2CF-FDD1146E83BD}" name="Table1" displayName="Table1" ref="AB188:AB190" totalsRowShown="0">
  <autoFilter ref="AB188:AB190" xr:uid="{C44EFB9A-BA5E-42DF-B2CF-FDD1146E83BD}"/>
  <tableColumns count="1">
    <tableColumn id="1" xr3:uid="{509F49E0-B77E-47DC-B030-8FFFEACF4F24}" name="selectio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forexDark">
      <a:dk1>
        <a:srgbClr val="222A35"/>
      </a:dk1>
      <a:lt1>
        <a:srgbClr val="FFFFFF"/>
      </a:lt1>
      <a:dk2>
        <a:srgbClr val="4B5D75"/>
      </a:dk2>
      <a:lt2>
        <a:srgbClr val="BCBFC6"/>
      </a:lt2>
      <a:accent1>
        <a:srgbClr val="56DDF7"/>
      </a:accent1>
      <a:accent2>
        <a:srgbClr val="F22645"/>
      </a:accent2>
      <a:accent3>
        <a:srgbClr val="1A1F3C"/>
      </a:accent3>
      <a:accent4>
        <a:srgbClr val="111633"/>
      </a:accent4>
      <a:accent5>
        <a:srgbClr val="0A0D2C"/>
      </a:accent5>
      <a:accent6>
        <a:srgbClr val="07091F"/>
      </a:accent6>
      <a:hlink>
        <a:srgbClr val="84071A"/>
      </a:hlink>
      <a:folHlink>
        <a:srgbClr val="84071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2.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D1681-E339-4D1C-BE1F-62D584A930BC}">
  <sheetPr codeName="Sheet1"/>
  <dimension ref="A1:N37"/>
  <sheetViews>
    <sheetView showGridLines="0" showRowColHeaders="0" workbookViewId="0">
      <selection activeCell="G7" sqref="G7"/>
    </sheetView>
  </sheetViews>
  <sheetFormatPr defaultRowHeight="15"/>
  <cols>
    <col min="4" max="4" width="14.7109375" customWidth="1"/>
    <col min="5" max="5" width="16.140625" customWidth="1"/>
    <col min="6" max="6" width="6.5703125" customWidth="1"/>
    <col min="7" max="7" width="65.5703125" customWidth="1"/>
    <col min="8" max="8" width="6.5703125" customWidth="1"/>
    <col min="14" max="14" width="19.42578125" customWidth="1"/>
  </cols>
  <sheetData>
    <row r="1" spans="1:14" ht="64.5" customHeight="1">
      <c r="A1" s="161"/>
      <c r="B1" s="161"/>
      <c r="C1" s="161"/>
      <c r="D1" s="161"/>
      <c r="E1" s="161"/>
      <c r="F1" s="161"/>
      <c r="G1" s="161"/>
      <c r="H1" s="161"/>
      <c r="I1" s="161"/>
      <c r="J1" s="161"/>
      <c r="K1" s="161"/>
      <c r="L1" s="161"/>
      <c r="M1" s="161"/>
      <c r="N1" s="161"/>
    </row>
    <row r="2" spans="1:14" ht="9.75" customHeight="1">
      <c r="A2" s="161"/>
      <c r="B2" s="161"/>
      <c r="C2" s="161"/>
      <c r="D2" s="161"/>
      <c r="E2" s="161"/>
      <c r="F2" s="484"/>
      <c r="G2" s="484"/>
      <c r="H2" s="484"/>
      <c r="I2" s="161"/>
      <c r="J2" s="161"/>
      <c r="K2" s="161"/>
      <c r="L2" s="161"/>
      <c r="M2" s="161"/>
      <c r="N2" s="161"/>
    </row>
    <row r="3" spans="1:14" ht="27.75" customHeight="1">
      <c r="A3" s="161"/>
      <c r="B3" s="161"/>
      <c r="C3" s="161"/>
      <c r="D3" s="161"/>
      <c r="E3" s="161"/>
      <c r="F3" s="484"/>
      <c r="G3" s="485" t="str">
        <f>IF(J18=0,"ACTIVATION FORM",IF(J18=2,"EMERGENCY ACCESS FORM","RE-ACTIVATION FORM"))</f>
        <v>ACTIVATION FORM</v>
      </c>
      <c r="H3" s="484"/>
      <c r="I3" s="161"/>
      <c r="J3" s="161"/>
      <c r="K3" s="161"/>
      <c r="L3" s="161"/>
      <c r="M3" s="161"/>
      <c r="N3" s="161"/>
    </row>
    <row r="4" spans="1:14" ht="29.25" customHeight="1" thickBot="1">
      <c r="A4" s="161"/>
      <c r="B4" s="161"/>
      <c r="C4" s="161"/>
      <c r="D4" s="161"/>
      <c r="E4" s="161"/>
      <c r="F4" s="484"/>
      <c r="G4" s="488" t="s">
        <v>842</v>
      </c>
      <c r="H4" s="484"/>
      <c r="I4" s="161"/>
      <c r="J4" s="161"/>
      <c r="K4" s="161"/>
      <c r="L4" s="161"/>
      <c r="M4" s="161"/>
      <c r="N4" s="161"/>
    </row>
    <row r="5" spans="1:14" ht="27" customHeight="1" thickTop="1" thickBot="1">
      <c r="A5" s="161"/>
      <c r="B5" s="161"/>
      <c r="C5" s="161"/>
      <c r="D5" s="161"/>
      <c r="E5" s="161"/>
      <c r="F5" s="484"/>
      <c r="G5" s="487"/>
      <c r="H5" s="484"/>
      <c r="I5" s="161"/>
      <c r="J5" s="161"/>
      <c r="K5" s="161"/>
      <c r="L5" s="161"/>
      <c r="M5" s="161"/>
      <c r="N5" s="161"/>
    </row>
    <row r="6" spans="1:14" ht="29.25" customHeight="1" thickTop="1" thickBot="1">
      <c r="A6" s="161"/>
      <c r="B6" s="161"/>
      <c r="C6" s="161"/>
      <c r="D6" s="161"/>
      <c r="E6" s="161"/>
      <c r="F6" s="484"/>
      <c r="G6" s="488" t="s">
        <v>704</v>
      </c>
      <c r="H6" s="484"/>
      <c r="I6" s="161"/>
      <c r="J6" s="161"/>
      <c r="K6" s="161"/>
      <c r="L6" s="161"/>
      <c r="M6" s="161"/>
      <c r="N6" s="161"/>
    </row>
    <row r="7" spans="1:14" ht="67.5" customHeight="1" thickTop="1" thickBot="1">
      <c r="A7" s="161"/>
      <c r="B7" s="161"/>
      <c r="C7" s="161"/>
      <c r="D7" s="161"/>
      <c r="E7" s="161"/>
      <c r="F7" s="484"/>
      <c r="G7" s="723"/>
      <c r="H7" s="484"/>
      <c r="I7" s="161"/>
      <c r="J7" s="161"/>
      <c r="K7" s="161"/>
      <c r="L7" s="161"/>
      <c r="M7" s="161"/>
      <c r="N7" s="161"/>
    </row>
    <row r="8" spans="1:14" ht="15.75" thickTop="1">
      <c r="A8" s="161"/>
      <c r="B8" s="161"/>
      <c r="C8" s="161"/>
      <c r="D8" s="161"/>
      <c r="E8" s="161"/>
      <c r="F8" s="484"/>
      <c r="G8" s="484"/>
      <c r="H8" s="484"/>
      <c r="I8" s="161"/>
      <c r="J8" s="161"/>
      <c r="K8" s="161"/>
      <c r="L8" s="161"/>
      <c r="M8" s="161"/>
      <c r="N8" s="161"/>
    </row>
    <row r="9" spans="1:14">
      <c r="A9" s="161"/>
      <c r="B9" s="161"/>
      <c r="C9" s="161"/>
      <c r="D9" s="161"/>
      <c r="E9" s="161"/>
      <c r="F9" s="484"/>
      <c r="G9" s="484"/>
      <c r="H9" s="484"/>
      <c r="I9" s="161"/>
      <c r="J9" s="161"/>
      <c r="K9" s="161"/>
      <c r="L9" s="161"/>
      <c r="M9" s="161"/>
      <c r="N9" s="161"/>
    </row>
    <row r="10" spans="1:14" ht="12" customHeight="1">
      <c r="A10" s="161"/>
      <c r="B10" s="161"/>
      <c r="C10" s="161"/>
      <c r="D10" s="161"/>
      <c r="E10" s="161"/>
      <c r="F10" s="484"/>
      <c r="G10" s="484"/>
      <c r="H10" s="484"/>
      <c r="I10" s="161"/>
      <c r="J10" s="161"/>
      <c r="K10" s="161"/>
      <c r="L10" s="161"/>
      <c r="M10" s="161"/>
      <c r="N10" s="161"/>
    </row>
    <row r="11" spans="1:14">
      <c r="A11" s="161"/>
      <c r="B11" s="161"/>
      <c r="C11" s="161"/>
      <c r="D11" s="161"/>
      <c r="E11" s="161"/>
      <c r="F11" s="484"/>
      <c r="G11" s="484"/>
      <c r="H11" s="484"/>
      <c r="I11" s="161"/>
      <c r="J11" s="161"/>
      <c r="K11" s="161"/>
      <c r="L11" s="161"/>
      <c r="M11" s="161"/>
      <c r="N11" s="161"/>
    </row>
    <row r="12" spans="1:14" ht="7.5" customHeight="1">
      <c r="A12" s="161"/>
      <c r="B12" s="161"/>
      <c r="C12" s="161"/>
      <c r="D12" s="161"/>
      <c r="E12" s="161"/>
      <c r="F12" s="484"/>
      <c r="G12" s="484"/>
      <c r="H12" s="484"/>
      <c r="I12" s="161"/>
      <c r="J12" s="161"/>
      <c r="K12" s="161"/>
      <c r="L12" s="161"/>
      <c r="M12" s="161"/>
      <c r="N12" s="161"/>
    </row>
    <row r="13" spans="1:14" ht="6.75" customHeight="1">
      <c r="A13" s="161"/>
      <c r="B13" s="161"/>
      <c r="C13" s="161"/>
      <c r="D13" s="161"/>
      <c r="E13" s="161"/>
      <c r="F13" s="484"/>
      <c r="G13" s="484"/>
      <c r="H13" s="484"/>
      <c r="I13" s="161"/>
      <c r="J13" s="161"/>
      <c r="K13" s="161"/>
      <c r="L13" s="161"/>
      <c r="M13" s="161"/>
      <c r="N13" s="161"/>
    </row>
    <row r="14" spans="1:14" ht="6.75" customHeight="1">
      <c r="A14" s="161"/>
      <c r="B14" s="161"/>
      <c r="C14" s="161"/>
      <c r="D14" s="161"/>
      <c r="E14" s="161"/>
      <c r="F14" s="484"/>
      <c r="G14" s="484"/>
      <c r="H14" s="484"/>
      <c r="I14" s="161"/>
      <c r="J14" s="161"/>
      <c r="K14" s="161"/>
      <c r="L14" s="161"/>
      <c r="M14" s="161"/>
      <c r="N14" s="161"/>
    </row>
    <row r="15" spans="1:14" ht="6.75" customHeight="1">
      <c r="A15" s="161"/>
      <c r="B15" s="161"/>
      <c r="C15" s="161"/>
      <c r="D15" s="161"/>
      <c r="E15" s="161"/>
      <c r="F15" s="484"/>
      <c r="G15" s="484"/>
      <c r="H15" s="484"/>
      <c r="I15" s="161"/>
      <c r="J15" s="161"/>
      <c r="K15" s="161"/>
      <c r="L15" s="161"/>
      <c r="M15" s="161"/>
      <c r="N15" s="161"/>
    </row>
    <row r="16" spans="1:14">
      <c r="A16" s="161"/>
      <c r="B16" s="161"/>
      <c r="C16" s="161"/>
      <c r="D16" s="161"/>
      <c r="E16" s="161"/>
      <c r="F16" s="161"/>
      <c r="G16" s="161"/>
      <c r="H16" s="161"/>
      <c r="I16" s="161"/>
      <c r="J16" s="161"/>
      <c r="K16" s="161"/>
      <c r="L16" s="161"/>
      <c r="M16" s="161"/>
      <c r="N16" s="161"/>
    </row>
    <row r="17" spans="1:14">
      <c r="A17" s="161"/>
      <c r="B17" s="161"/>
      <c r="C17" s="161"/>
      <c r="D17" s="161"/>
      <c r="E17" s="161"/>
      <c r="F17" s="161"/>
      <c r="G17" s="161"/>
      <c r="H17" s="161"/>
      <c r="I17" s="161"/>
      <c r="J17" s="161"/>
      <c r="K17" s="161"/>
      <c r="L17" s="161"/>
      <c r="M17" s="161"/>
      <c r="N17" s="161"/>
    </row>
    <row r="18" spans="1:14">
      <c r="A18" s="161"/>
      <c r="B18" s="161"/>
      <c r="C18" s="161"/>
      <c r="D18" s="161"/>
      <c r="E18" s="161"/>
      <c r="F18" s="161"/>
      <c r="G18" s="161"/>
      <c r="H18" s="161"/>
      <c r="I18" s="161"/>
      <c r="J18" s="486">
        <v>0</v>
      </c>
      <c r="K18" s="161"/>
      <c r="L18" s="161"/>
      <c r="M18" s="161"/>
      <c r="N18" s="161"/>
    </row>
    <row r="19" spans="1:14">
      <c r="A19" s="161"/>
      <c r="B19" s="161"/>
      <c r="C19" s="161"/>
      <c r="D19" s="161"/>
      <c r="E19" s="161"/>
      <c r="F19" s="161"/>
      <c r="G19" s="161"/>
      <c r="H19" s="161"/>
      <c r="I19" s="161"/>
      <c r="J19" s="161"/>
      <c r="K19" s="161"/>
      <c r="L19" s="161"/>
      <c r="M19" s="161"/>
      <c r="N19" s="161"/>
    </row>
    <row r="20" spans="1:14">
      <c r="A20" s="161"/>
      <c r="B20" s="161"/>
      <c r="C20" s="161"/>
      <c r="D20" s="161"/>
      <c r="E20" s="161"/>
      <c r="F20" s="161"/>
      <c r="G20" s="161"/>
      <c r="H20" s="161"/>
      <c r="I20" s="161"/>
      <c r="J20" s="161"/>
      <c r="K20" s="161"/>
      <c r="L20" s="161"/>
      <c r="M20" s="161"/>
      <c r="N20" s="161"/>
    </row>
    <row r="21" spans="1:14">
      <c r="A21" s="161"/>
      <c r="B21" s="161"/>
      <c r="C21" s="161"/>
      <c r="D21" s="161"/>
      <c r="E21" s="161"/>
      <c r="F21" s="161"/>
      <c r="G21" s="161"/>
      <c r="H21" s="161"/>
      <c r="I21" s="161"/>
      <c r="J21" s="161"/>
      <c r="K21" s="161"/>
      <c r="L21" s="161"/>
      <c r="M21" s="161"/>
      <c r="N21" s="161"/>
    </row>
    <row r="22" spans="1:14">
      <c r="A22" s="161"/>
      <c r="B22" s="161"/>
      <c r="C22" s="161"/>
      <c r="D22" s="161"/>
      <c r="E22" s="161"/>
      <c r="F22" s="161"/>
      <c r="G22" s="161"/>
      <c r="H22" s="161"/>
      <c r="I22" s="161"/>
      <c r="J22" s="161"/>
      <c r="K22" s="161"/>
      <c r="L22" s="161"/>
      <c r="M22" s="161"/>
      <c r="N22" s="161"/>
    </row>
    <row r="23" spans="1:14">
      <c r="A23" s="161"/>
      <c r="B23" s="161"/>
      <c r="C23" s="161"/>
      <c r="D23" s="161"/>
      <c r="E23" s="161"/>
      <c r="F23" s="161"/>
      <c r="G23" s="161"/>
      <c r="H23" s="161"/>
      <c r="I23" s="161"/>
      <c r="J23" s="161"/>
      <c r="K23" s="161"/>
      <c r="L23" s="161"/>
      <c r="M23" s="161"/>
      <c r="N23" s="161"/>
    </row>
    <row r="24" spans="1:14">
      <c r="A24" s="161"/>
      <c r="B24" s="161"/>
      <c r="C24" s="161"/>
      <c r="D24" s="161"/>
      <c r="E24" s="161"/>
      <c r="F24" s="161"/>
      <c r="G24" s="161"/>
      <c r="H24" s="161"/>
      <c r="I24" s="161"/>
      <c r="J24" s="161"/>
      <c r="K24" s="161"/>
      <c r="L24" s="161"/>
      <c r="M24" s="161"/>
      <c r="N24" s="161"/>
    </row>
    <row r="25" spans="1:14">
      <c r="A25" s="161"/>
      <c r="B25" s="161"/>
      <c r="C25" s="161"/>
      <c r="D25" s="161"/>
      <c r="E25" s="161"/>
      <c r="F25" s="161"/>
      <c r="G25" s="161"/>
      <c r="H25" s="161"/>
      <c r="I25" s="161"/>
      <c r="J25" s="161"/>
      <c r="K25" s="161"/>
      <c r="L25" s="161"/>
      <c r="M25" s="161"/>
      <c r="N25" s="161"/>
    </row>
    <row r="26" spans="1:14">
      <c r="A26" s="161"/>
      <c r="B26" s="161"/>
      <c r="C26" s="161"/>
      <c r="D26" s="161"/>
      <c r="E26" s="161"/>
      <c r="F26" s="161"/>
      <c r="G26" s="161"/>
      <c r="H26" s="161"/>
      <c r="I26" s="161"/>
      <c r="J26" s="161"/>
      <c r="K26" s="161"/>
      <c r="L26" s="161"/>
      <c r="M26" s="161"/>
      <c r="N26" s="161"/>
    </row>
    <row r="27" spans="1:14">
      <c r="A27" s="161"/>
      <c r="B27" s="161"/>
      <c r="C27" s="161"/>
      <c r="D27" s="161"/>
      <c r="E27" s="161"/>
      <c r="F27" s="161"/>
      <c r="G27" s="161"/>
      <c r="H27" s="161"/>
      <c r="I27" s="161"/>
      <c r="J27" s="161"/>
      <c r="K27" s="161"/>
      <c r="L27" s="161"/>
      <c r="M27" s="161"/>
      <c r="N27" s="161"/>
    </row>
    <row r="28" spans="1:14">
      <c r="A28" s="161"/>
      <c r="B28" s="161"/>
      <c r="C28" s="161"/>
      <c r="D28" s="161"/>
      <c r="E28" s="161"/>
      <c r="F28" s="161"/>
      <c r="G28" s="161"/>
      <c r="H28" s="161"/>
      <c r="I28" s="161"/>
      <c r="J28" s="161"/>
      <c r="K28" s="161"/>
      <c r="L28" s="161"/>
      <c r="M28" s="161"/>
      <c r="N28" s="161"/>
    </row>
    <row r="29" spans="1:14">
      <c r="A29" s="161"/>
      <c r="B29" s="161"/>
      <c r="C29" s="161"/>
      <c r="D29" s="161"/>
      <c r="E29" s="161"/>
      <c r="F29" s="161"/>
      <c r="G29" s="161"/>
      <c r="H29" s="161"/>
      <c r="I29" s="161"/>
      <c r="J29" s="161"/>
      <c r="K29" s="161"/>
      <c r="L29" s="161"/>
      <c r="M29" s="161"/>
      <c r="N29" s="161"/>
    </row>
    <row r="30" spans="1:14">
      <c r="A30" s="161"/>
      <c r="B30" s="161"/>
      <c r="C30" s="161"/>
      <c r="D30" s="161"/>
      <c r="E30" s="161"/>
      <c r="F30" s="161"/>
      <c r="G30" s="161"/>
      <c r="H30" s="161"/>
      <c r="I30" s="161"/>
      <c r="J30" s="161"/>
      <c r="K30" s="161"/>
      <c r="L30" s="161"/>
      <c r="M30" s="161"/>
      <c r="N30" s="161"/>
    </row>
    <row r="31" spans="1:14">
      <c r="A31" s="161"/>
      <c r="B31" s="161"/>
      <c r="C31" s="161"/>
      <c r="D31" s="161"/>
      <c r="E31" s="161"/>
      <c r="F31" s="161"/>
      <c r="G31" s="161"/>
      <c r="H31" s="161"/>
      <c r="I31" s="161"/>
      <c r="J31" s="161"/>
      <c r="K31" s="161"/>
      <c r="L31" s="161"/>
      <c r="M31" s="161"/>
      <c r="N31" s="161"/>
    </row>
    <row r="32" spans="1:14">
      <c r="A32" s="161"/>
      <c r="B32" s="161"/>
      <c r="C32" s="161"/>
      <c r="D32" s="161"/>
      <c r="E32" s="161"/>
      <c r="F32" s="161"/>
      <c r="G32" s="161"/>
      <c r="H32" s="161"/>
      <c r="I32" s="161"/>
      <c r="J32" s="161"/>
      <c r="K32" s="161"/>
      <c r="L32" s="161"/>
      <c r="M32" s="161"/>
      <c r="N32" s="161"/>
    </row>
    <row r="33" spans="1:14">
      <c r="A33" s="161"/>
      <c r="B33" s="161"/>
      <c r="C33" s="161"/>
      <c r="D33" s="161"/>
      <c r="E33" s="161"/>
      <c r="F33" s="161"/>
      <c r="G33" s="161"/>
      <c r="H33" s="161"/>
      <c r="I33" s="161"/>
      <c r="J33" s="161"/>
      <c r="K33" s="161"/>
      <c r="L33" s="161"/>
      <c r="M33" s="161"/>
      <c r="N33" s="161"/>
    </row>
    <row r="34" spans="1:14">
      <c r="A34" s="161"/>
      <c r="B34" s="161"/>
      <c r="C34" s="161"/>
      <c r="D34" s="161"/>
      <c r="E34" s="161"/>
      <c r="F34" s="161"/>
      <c r="G34" s="161"/>
      <c r="H34" s="161"/>
      <c r="I34" s="161"/>
      <c r="J34" s="161"/>
      <c r="K34" s="161"/>
      <c r="L34" s="161"/>
      <c r="M34" s="161"/>
      <c r="N34" s="161"/>
    </row>
    <row r="35" spans="1:14">
      <c r="A35" s="161"/>
      <c r="B35" s="161"/>
      <c r="C35" s="161"/>
      <c r="D35" s="161"/>
      <c r="E35" s="161"/>
      <c r="F35" s="161"/>
      <c r="G35" s="161"/>
      <c r="H35" s="161"/>
      <c r="I35" s="161"/>
      <c r="J35" s="161"/>
      <c r="K35" s="161"/>
      <c r="L35" s="161"/>
      <c r="M35" s="161"/>
      <c r="N35" s="161"/>
    </row>
    <row r="36" spans="1:14">
      <c r="A36" s="161"/>
      <c r="B36" s="161"/>
      <c r="C36" s="161"/>
      <c r="D36" s="161"/>
      <c r="E36" s="161"/>
      <c r="F36" s="161"/>
      <c r="G36" s="161"/>
      <c r="H36" s="161"/>
      <c r="I36" s="161"/>
      <c r="J36" s="161"/>
      <c r="K36" s="161"/>
      <c r="L36" s="161"/>
      <c r="M36" s="161"/>
      <c r="N36" s="161"/>
    </row>
    <row r="37" spans="1:14">
      <c r="A37" s="161"/>
      <c r="B37" s="161"/>
      <c r="C37" s="161"/>
      <c r="D37" s="161"/>
      <c r="E37" s="161"/>
      <c r="F37" s="161"/>
      <c r="G37" s="161"/>
      <c r="H37" s="161"/>
      <c r="I37" s="161"/>
      <c r="J37" s="161"/>
      <c r="K37" s="161"/>
      <c r="L37" s="161"/>
      <c r="M37" s="161"/>
      <c r="N37" s="161"/>
    </row>
  </sheetData>
  <sheetProtection formatCells="0"/>
  <protectedRanges>
    <protectedRange sqref="A1" name="Range3"/>
    <protectedRange sqref="G7" name="Range1"/>
    <protectedRange sqref="J18" name="Range2"/>
  </protectedRange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me">
    <tabColor rgb="FFFFFAEB"/>
  </sheetPr>
  <dimension ref="A1:X72"/>
  <sheetViews>
    <sheetView showGridLines="0" showRowColHeaders="0" tabSelected="1" zoomScaleNormal="100" workbookViewId="0">
      <selection activeCell="G23" sqref="G23"/>
    </sheetView>
  </sheetViews>
  <sheetFormatPr defaultColWidth="9.140625" defaultRowHeight="15"/>
  <cols>
    <col min="1" max="21" width="9.140625" customWidth="1"/>
    <col min="22" max="22" width="8.7109375" customWidth="1"/>
    <col min="23" max="23" width="9.140625" customWidth="1"/>
  </cols>
  <sheetData>
    <row r="1" spans="1:24" ht="31.5" customHeight="1">
      <c r="A1" s="1"/>
      <c r="B1" s="1"/>
      <c r="C1" s="1"/>
      <c r="D1" s="1"/>
      <c r="E1" s="1"/>
      <c r="F1" s="1"/>
      <c r="G1" s="1"/>
      <c r="H1" s="1"/>
      <c r="I1" s="1"/>
      <c r="J1" s="1"/>
      <c r="K1" s="1"/>
      <c r="L1" s="1"/>
      <c r="M1" s="1"/>
      <c r="N1" s="1"/>
      <c r="O1" s="1"/>
      <c r="P1" s="1"/>
      <c r="Q1" s="1"/>
      <c r="R1" s="1"/>
      <c r="S1" s="1"/>
      <c r="T1" s="1"/>
      <c r="U1" s="1"/>
      <c r="V1" s="1"/>
    </row>
    <row r="2" spans="1:24" ht="36" customHeight="1">
      <c r="A2" s="1"/>
      <c r="B2" s="1"/>
      <c r="C2" s="66"/>
      <c r="D2" s="66"/>
      <c r="E2" s="66"/>
      <c r="F2" s="66"/>
      <c r="G2" s="66"/>
      <c r="H2" s="435"/>
      <c r="I2" s="436"/>
      <c r="J2" s="437"/>
      <c r="K2" s="438" t="s">
        <v>352</v>
      </c>
      <c r="L2" s="438"/>
      <c r="M2" s="439"/>
      <c r="N2" s="439"/>
      <c r="O2" s="60"/>
      <c r="P2" s="60"/>
      <c r="Q2" s="60"/>
      <c r="R2" s="2"/>
      <c r="S2" s="1"/>
      <c r="T2" s="2"/>
      <c r="U2" s="2"/>
      <c r="V2" s="1"/>
    </row>
    <row r="3" spans="1:24" ht="24" customHeight="1">
      <c r="A3" s="1"/>
      <c r="B3" s="2"/>
      <c r="C3" s="2"/>
      <c r="D3" s="2"/>
      <c r="E3" s="2"/>
      <c r="F3" s="2"/>
      <c r="G3" s="2"/>
      <c r="H3" s="2"/>
      <c r="I3" s="2"/>
      <c r="J3" s="4"/>
      <c r="K3" s="65" t="s">
        <v>34</v>
      </c>
      <c r="L3" s="65"/>
      <c r="M3" s="60"/>
      <c r="N3" s="60"/>
      <c r="O3" s="60"/>
      <c r="P3" s="60"/>
      <c r="Q3" s="60"/>
      <c r="R3" s="2"/>
      <c r="S3" s="67" t="s">
        <v>740</v>
      </c>
      <c r="T3" s="2"/>
      <c r="U3" s="2"/>
      <c r="V3" s="1"/>
    </row>
    <row r="4" spans="1:24" ht="16.5" customHeight="1">
      <c r="A4" s="1"/>
      <c r="B4" s="1"/>
      <c r="C4" s="3"/>
      <c r="D4" s="3"/>
      <c r="E4" s="3"/>
      <c r="F4" s="3"/>
      <c r="G4" s="3"/>
      <c r="H4" s="1"/>
      <c r="I4" s="3"/>
      <c r="K4" s="3"/>
      <c r="L4" s="3"/>
      <c r="M4" s="3"/>
      <c r="N4" s="3"/>
      <c r="O4" s="3"/>
      <c r="P4" s="3"/>
      <c r="Q4" s="3"/>
      <c r="R4" s="3"/>
      <c r="S4" s="6" t="str">
        <f>"Registered to "&amp;Nameko</f>
        <v>Registered to Rocketsheets</v>
      </c>
      <c r="T4" s="3"/>
      <c r="U4" s="3"/>
      <c r="V4" s="1"/>
    </row>
    <row r="5" spans="1:24" ht="7.5" customHeight="1">
      <c r="A5" s="1"/>
      <c r="B5" s="5"/>
      <c r="C5" s="5"/>
      <c r="D5" s="5"/>
      <c r="E5" s="5"/>
      <c r="F5" s="5"/>
      <c r="G5" s="5"/>
      <c r="H5" s="5"/>
      <c r="I5" s="5"/>
      <c r="J5" s="5"/>
      <c r="K5" s="5"/>
      <c r="L5" s="5"/>
      <c r="M5" s="5"/>
      <c r="N5" s="5"/>
      <c r="O5" s="5"/>
      <c r="P5" s="5"/>
      <c r="Q5" s="5"/>
      <c r="R5" s="5"/>
      <c r="S5" s="5"/>
      <c r="T5" s="5"/>
      <c r="U5" s="5"/>
      <c r="V5" s="1"/>
    </row>
    <row r="6" spans="1:24" ht="16.5">
      <c r="A6" s="1"/>
      <c r="B6" s="1"/>
      <c r="C6" s="1"/>
      <c r="D6" s="64"/>
      <c r="E6" s="64"/>
      <c r="F6" s="64"/>
      <c r="G6" s="64"/>
      <c r="H6" s="64"/>
      <c r="I6" s="64"/>
      <c r="J6" s="64"/>
      <c r="K6" s="64"/>
      <c r="L6" s="64"/>
      <c r="M6" s="64"/>
      <c r="N6" s="64"/>
      <c r="O6" s="64"/>
      <c r="P6" s="64"/>
      <c r="Q6" s="64"/>
      <c r="R6" s="64"/>
      <c r="S6" s="64"/>
      <c r="T6" s="1"/>
      <c r="U6" s="7"/>
      <c r="V6" s="1"/>
    </row>
    <row r="7" spans="1:24" ht="16.5">
      <c r="A7" s="1"/>
      <c r="B7" s="1"/>
      <c r="C7" s="1"/>
      <c r="D7" s="1"/>
      <c r="E7" s="1"/>
      <c r="F7" s="1"/>
      <c r="G7" s="1"/>
      <c r="H7" s="1"/>
      <c r="I7" s="1"/>
      <c r="J7" s="1"/>
      <c r="K7" s="1"/>
      <c r="L7" s="1"/>
      <c r="M7" s="1"/>
      <c r="N7" s="1"/>
      <c r="O7" s="1"/>
      <c r="P7" s="1"/>
      <c r="Q7" s="1"/>
      <c r="R7" s="1"/>
      <c r="S7" s="1"/>
      <c r="T7" s="1"/>
      <c r="U7" s="1"/>
      <c r="V7" s="1"/>
    </row>
    <row r="8" spans="1:24" ht="7.5" customHeight="1">
      <c r="A8" s="1"/>
      <c r="B8" s="1"/>
      <c r="C8" s="1"/>
      <c r="D8" s="1"/>
      <c r="E8" s="1"/>
      <c r="F8" s="1"/>
      <c r="G8" s="1"/>
      <c r="H8" s="1"/>
      <c r="I8" s="1"/>
      <c r="J8" s="1"/>
      <c r="K8" s="1"/>
      <c r="L8" s="1"/>
      <c r="M8" s="1"/>
      <c r="N8" s="1"/>
      <c r="O8" s="1"/>
      <c r="P8" s="1"/>
      <c r="Q8" s="1"/>
      <c r="R8" s="1"/>
      <c r="S8" s="1"/>
      <c r="T8" s="1"/>
      <c r="U8" s="1"/>
      <c r="V8" s="1"/>
    </row>
    <row r="9" spans="1:24" ht="7.5" customHeight="1">
      <c r="A9" s="1"/>
      <c r="B9" s="1"/>
      <c r="C9" s="1"/>
      <c r="D9" s="1"/>
      <c r="E9" s="1"/>
      <c r="F9" s="1"/>
      <c r="G9" s="1"/>
      <c r="H9" s="1"/>
      <c r="I9" s="1"/>
      <c r="J9" s="1"/>
      <c r="K9" s="1"/>
      <c r="L9" s="1"/>
      <c r="M9" s="1"/>
      <c r="N9" s="1"/>
      <c r="O9" s="1"/>
      <c r="P9" s="1"/>
      <c r="Q9" s="1"/>
      <c r="R9" s="1"/>
      <c r="S9" s="1"/>
      <c r="T9" s="1"/>
      <c r="U9" s="1"/>
      <c r="V9" s="1"/>
    </row>
    <row r="10" spans="1:24" ht="7.5" customHeight="1">
      <c r="A10" s="1"/>
      <c r="B10" s="1"/>
      <c r="C10" s="1"/>
      <c r="D10" s="1"/>
      <c r="E10" s="1"/>
      <c r="F10" s="1"/>
      <c r="G10" s="1"/>
      <c r="H10" s="1"/>
      <c r="I10" s="1"/>
      <c r="J10" s="1"/>
      <c r="K10" s="1"/>
      <c r="L10" s="1"/>
      <c r="M10" s="1"/>
      <c r="N10" s="1"/>
      <c r="O10" s="1"/>
      <c r="P10" s="1"/>
      <c r="Q10" s="1"/>
      <c r="R10" s="1"/>
      <c r="S10" s="1"/>
      <c r="T10" s="1"/>
      <c r="U10" s="1"/>
      <c r="V10" s="1"/>
      <c r="X10">
        <v>1</v>
      </c>
    </row>
    <row r="11" spans="1:24" ht="7.5" customHeight="1">
      <c r="A11" s="1"/>
      <c r="B11" s="1"/>
      <c r="C11" s="1"/>
      <c r="D11" s="1"/>
      <c r="E11" s="1"/>
      <c r="F11" s="1"/>
      <c r="G11" s="1"/>
      <c r="H11" s="1"/>
      <c r="I11" s="1"/>
      <c r="J11" s="1"/>
      <c r="K11" s="1"/>
      <c r="L11" s="1"/>
      <c r="M11" s="1"/>
      <c r="N11" s="1"/>
      <c r="O11" s="1"/>
      <c r="P11" s="1"/>
      <c r="Q11" s="1"/>
      <c r="R11" s="1"/>
      <c r="S11" s="1"/>
      <c r="T11" s="1"/>
      <c r="U11" s="1"/>
      <c r="V11" s="1"/>
    </row>
    <row r="12" spans="1:24" ht="57" customHeight="1">
      <c r="A12" s="1"/>
      <c r="C12" s="68"/>
      <c r="D12" s="766" t="str">
        <f>'Bank Transfers'!W10</f>
        <v>Welcome!</v>
      </c>
      <c r="E12" s="767"/>
      <c r="F12" s="767"/>
      <c r="G12" s="767"/>
      <c r="H12" s="767"/>
      <c r="I12" s="767"/>
      <c r="J12" s="767"/>
      <c r="K12" s="767"/>
      <c r="L12" s="767"/>
      <c r="M12" s="767"/>
      <c r="N12" s="767"/>
      <c r="O12" s="767"/>
      <c r="P12" s="767"/>
      <c r="Q12" s="767"/>
      <c r="R12" s="768"/>
      <c r="S12" s="61"/>
      <c r="T12" s="61"/>
      <c r="U12" s="61"/>
      <c r="V12" s="1"/>
    </row>
    <row r="13" spans="1:24" ht="21.95" customHeight="1">
      <c r="A13" s="1"/>
      <c r="B13" s="13"/>
      <c r="C13" s="13"/>
      <c r="D13" s="717"/>
      <c r="E13" s="717"/>
      <c r="F13" s="718"/>
      <c r="G13" s="719"/>
      <c r="H13" s="719"/>
      <c r="I13" s="719"/>
      <c r="J13" s="719"/>
      <c r="K13" s="720" t="str">
        <f>'Bank Transfers'!W11</f>
        <v>Successfully Registered to Rocketsheets.</v>
      </c>
      <c r="L13" s="719"/>
      <c r="M13" s="719"/>
      <c r="N13" s="719"/>
      <c r="O13" s="719"/>
      <c r="P13" s="719"/>
      <c r="Q13" s="719"/>
      <c r="R13" s="717"/>
      <c r="S13" s="716"/>
      <c r="T13" s="13"/>
      <c r="U13" s="13"/>
      <c r="V13" s="1"/>
    </row>
    <row r="14" spans="1:24" ht="33" customHeight="1">
      <c r="A14" s="1"/>
      <c r="B14" s="1"/>
      <c r="C14" s="1"/>
      <c r="D14" s="1"/>
      <c r="E14" s="1"/>
      <c r="F14" s="1"/>
      <c r="G14" s="1"/>
      <c r="H14" s="1"/>
      <c r="I14" s="1"/>
      <c r="J14" s="1"/>
      <c r="K14" s="1"/>
      <c r="L14" s="1"/>
      <c r="M14" s="1"/>
      <c r="N14" s="1"/>
      <c r="O14" s="1"/>
      <c r="P14" s="1"/>
      <c r="Q14" s="1"/>
      <c r="R14" s="1"/>
      <c r="S14" s="1"/>
      <c r="T14" s="1"/>
      <c r="U14" s="1"/>
      <c r="V14" s="1"/>
    </row>
    <row r="15" spans="1:24" ht="16.5">
      <c r="A15" s="1"/>
      <c r="B15" s="1"/>
      <c r="C15" s="1"/>
      <c r="D15" s="71" t="s">
        <v>68</v>
      </c>
      <c r="E15" s="1"/>
      <c r="F15" s="1"/>
      <c r="G15" s="1"/>
      <c r="H15" s="1"/>
      <c r="I15" s="1"/>
      <c r="J15" s="1"/>
      <c r="K15" s="1"/>
      <c r="L15" s="1"/>
      <c r="M15" s="1"/>
      <c r="N15" s="70" t="s">
        <v>832</v>
      </c>
      <c r="O15" s="1"/>
      <c r="P15" s="1"/>
      <c r="Q15" s="1"/>
      <c r="R15" s="1"/>
      <c r="S15" s="1"/>
      <c r="T15" s="1"/>
      <c r="U15" s="1"/>
      <c r="V15" s="1"/>
    </row>
    <row r="16" spans="1:24" ht="16.5">
      <c r="A16" s="1"/>
      <c r="B16" s="1"/>
      <c r="C16" s="1"/>
      <c r="D16" s="1"/>
      <c r="E16" s="1"/>
      <c r="F16" s="1"/>
      <c r="G16" s="1"/>
      <c r="H16" s="1"/>
      <c r="I16" s="1"/>
      <c r="J16" s="1"/>
      <c r="K16" s="1"/>
      <c r="L16" s="1"/>
      <c r="M16" s="1"/>
      <c r="N16" s="70" t="s">
        <v>833</v>
      </c>
      <c r="O16" s="1"/>
      <c r="P16" s="1"/>
      <c r="Q16" s="1"/>
      <c r="R16" s="1"/>
      <c r="S16" s="1"/>
      <c r="T16" s="1"/>
      <c r="U16" s="1"/>
      <c r="V16" s="1"/>
    </row>
    <row r="17" spans="1:22" ht="18.75">
      <c r="A17" s="1"/>
      <c r="B17" s="1"/>
      <c r="C17" s="1"/>
      <c r="D17" s="440" t="s">
        <v>866</v>
      </c>
      <c r="E17" s="76"/>
      <c r="F17" s="76"/>
      <c r="G17" s="1"/>
      <c r="H17" s="69"/>
      <c r="I17" s="1"/>
      <c r="J17" s="1"/>
      <c r="K17" s="1"/>
      <c r="L17" s="1"/>
      <c r="N17" s="70" t="s">
        <v>834</v>
      </c>
      <c r="O17" s="10"/>
      <c r="P17" s="10"/>
      <c r="Q17" s="10"/>
      <c r="R17" s="10"/>
      <c r="S17" s="10"/>
      <c r="T17" s="8"/>
      <c r="U17" s="1"/>
      <c r="V17" s="1"/>
    </row>
    <row r="18" spans="1:22" ht="16.5">
      <c r="A18" s="1"/>
      <c r="B18" s="1"/>
      <c r="C18" s="1"/>
      <c r="D18" s="1"/>
      <c r="E18" s="1"/>
      <c r="F18" s="1"/>
      <c r="G18" s="1"/>
      <c r="H18" s="1"/>
      <c r="I18" s="1"/>
      <c r="J18" s="1"/>
      <c r="K18" s="1"/>
      <c r="L18" s="9"/>
      <c r="M18" s="1"/>
      <c r="N18" s="70" t="s">
        <v>835</v>
      </c>
      <c r="O18" s="1"/>
      <c r="P18" s="1"/>
      <c r="Q18" s="1"/>
      <c r="R18" s="1"/>
      <c r="S18" s="1"/>
      <c r="T18" s="10"/>
      <c r="U18" s="1"/>
      <c r="V18" s="1"/>
    </row>
    <row r="19" spans="1:22" ht="16.5">
      <c r="A19" s="1"/>
      <c r="B19" s="1"/>
      <c r="C19" s="1"/>
      <c r="D19" s="759" t="s">
        <v>849</v>
      </c>
      <c r="E19" s="74"/>
      <c r="F19" s="1"/>
      <c r="G19" s="1"/>
      <c r="H19" s="1"/>
      <c r="I19" s="1"/>
      <c r="J19" s="1"/>
      <c r="K19" s="1"/>
      <c r="L19" s="9"/>
      <c r="M19" s="1"/>
      <c r="N19" s="1"/>
      <c r="O19" s="1"/>
      <c r="P19" s="1"/>
      <c r="Q19" s="1"/>
      <c r="R19" s="1"/>
      <c r="S19" s="1"/>
      <c r="T19" s="10"/>
      <c r="U19" s="1"/>
      <c r="V19" s="1"/>
    </row>
    <row r="20" spans="1:22" ht="16.5">
      <c r="A20" s="1"/>
      <c r="B20" s="1"/>
      <c r="C20" s="1"/>
      <c r="D20" s="760"/>
      <c r="E20" s="73"/>
      <c r="F20" s="1"/>
      <c r="G20" s="1"/>
      <c r="H20" s="1"/>
      <c r="I20" s="1"/>
      <c r="J20" s="1"/>
      <c r="K20" s="1"/>
      <c r="L20" s="9"/>
      <c r="N20" s="78" t="s">
        <v>357</v>
      </c>
      <c r="O20" s="62"/>
      <c r="P20" s="62"/>
      <c r="Q20" s="62"/>
      <c r="R20" s="62"/>
      <c r="S20" s="62"/>
      <c r="T20" s="10"/>
      <c r="U20" s="1"/>
      <c r="V20" s="1"/>
    </row>
    <row r="21" spans="1:22" ht="16.5">
      <c r="A21" s="1"/>
      <c r="B21" s="1"/>
      <c r="C21" s="1"/>
      <c r="D21" s="761" t="s">
        <v>850</v>
      </c>
      <c r="E21" s="1"/>
      <c r="F21" s="1"/>
      <c r="G21" s="1"/>
      <c r="H21" s="1"/>
      <c r="I21" s="1"/>
      <c r="J21" s="1"/>
      <c r="K21" s="1"/>
      <c r="L21" s="9"/>
      <c r="N21" s="721" t="s">
        <v>358</v>
      </c>
      <c r="O21" s="63"/>
      <c r="P21" s="63"/>
      <c r="Q21" s="63"/>
      <c r="R21" s="63"/>
      <c r="S21" s="63"/>
      <c r="T21" s="10"/>
      <c r="U21" s="1"/>
      <c r="V21" s="1"/>
    </row>
    <row r="22" spans="1:22" ht="30.75" customHeight="1">
      <c r="A22" s="1"/>
      <c r="B22" s="1"/>
      <c r="C22" s="1"/>
      <c r="D22" s="761" t="s">
        <v>851</v>
      </c>
      <c r="E22" s="1"/>
      <c r="F22" s="1"/>
      <c r="G22" s="1"/>
      <c r="H22" s="1"/>
      <c r="I22" s="1"/>
      <c r="J22" s="1"/>
      <c r="K22" s="1"/>
      <c r="L22" s="9"/>
      <c r="M22" s="1"/>
      <c r="N22" s="765" t="s">
        <v>359</v>
      </c>
      <c r="O22" s="1"/>
      <c r="P22" s="1"/>
      <c r="Q22" s="1"/>
      <c r="R22" s="1"/>
      <c r="S22" s="1"/>
      <c r="T22" s="10"/>
      <c r="U22" s="1"/>
      <c r="V22" s="1"/>
    </row>
    <row r="23" spans="1:22" ht="16.5">
      <c r="A23" s="1"/>
      <c r="B23" s="1"/>
      <c r="C23" s="1"/>
      <c r="D23" s="761" t="s">
        <v>852</v>
      </c>
      <c r="E23" s="1"/>
      <c r="F23" s="1"/>
      <c r="G23" s="1"/>
      <c r="H23" s="1"/>
      <c r="I23" s="1"/>
      <c r="J23" s="1"/>
      <c r="K23" s="1"/>
      <c r="L23" s="1"/>
      <c r="M23" s="1"/>
      <c r="O23" s="1"/>
      <c r="P23" s="1"/>
      <c r="Q23" s="1"/>
      <c r="R23" s="1"/>
      <c r="S23" s="1"/>
      <c r="T23" s="1"/>
      <c r="U23" s="1"/>
      <c r="V23" s="1"/>
    </row>
    <row r="24" spans="1:22" ht="18.75">
      <c r="A24" s="1"/>
      <c r="B24" s="1"/>
      <c r="C24" s="1"/>
      <c r="D24" s="761" t="s">
        <v>853</v>
      </c>
      <c r="E24" s="1"/>
      <c r="F24" s="1"/>
      <c r="G24" s="1"/>
      <c r="H24" s="1"/>
      <c r="I24" s="1"/>
      <c r="J24" s="1"/>
      <c r="K24" s="1"/>
      <c r="L24" s="1"/>
      <c r="M24" s="1"/>
      <c r="N24" s="78" t="s">
        <v>360</v>
      </c>
      <c r="O24" s="75"/>
      <c r="P24" s="1"/>
      <c r="Q24" s="1"/>
      <c r="R24" s="1"/>
      <c r="S24" s="1"/>
      <c r="T24" s="8"/>
      <c r="U24" s="1"/>
      <c r="V24" s="1"/>
    </row>
    <row r="25" spans="1:22" ht="16.5">
      <c r="A25" s="1"/>
      <c r="B25" s="1"/>
      <c r="C25" s="1"/>
      <c r="D25" s="761" t="s">
        <v>854</v>
      </c>
      <c r="E25" s="1"/>
      <c r="F25" s="1"/>
      <c r="G25" s="1"/>
      <c r="H25" s="1"/>
      <c r="I25" s="1"/>
      <c r="J25" s="1"/>
      <c r="K25" s="1"/>
      <c r="L25" s="1"/>
      <c r="M25" s="1"/>
      <c r="N25" t="s">
        <v>361</v>
      </c>
      <c r="P25" s="1"/>
      <c r="Q25" s="1"/>
      <c r="R25" s="1"/>
      <c r="S25" s="1"/>
      <c r="T25" s="1"/>
      <c r="U25" s="1"/>
      <c r="V25" s="1"/>
    </row>
    <row r="26" spans="1:22" ht="16.5">
      <c r="A26" s="1"/>
      <c r="B26" s="1"/>
      <c r="C26" s="1"/>
      <c r="D26" s="761" t="s">
        <v>855</v>
      </c>
      <c r="E26" s="1"/>
      <c r="F26" s="1"/>
      <c r="G26" s="1"/>
      <c r="H26" s="1"/>
      <c r="I26" s="1"/>
      <c r="J26" s="1"/>
      <c r="K26" s="1"/>
      <c r="L26" s="1"/>
      <c r="M26" s="72"/>
      <c r="N26" s="77"/>
      <c r="O26" s="75"/>
      <c r="P26" s="72"/>
      <c r="Q26" s="72"/>
      <c r="R26" s="72"/>
      <c r="S26" s="72"/>
      <c r="T26" s="1"/>
      <c r="U26" s="1"/>
      <c r="V26" s="1"/>
    </row>
    <row r="27" spans="1:22" ht="16.5">
      <c r="A27" s="1"/>
      <c r="B27" s="1"/>
      <c r="C27" s="1"/>
      <c r="D27" s="761" t="s">
        <v>856</v>
      </c>
      <c r="E27" s="1"/>
      <c r="F27" s="1"/>
      <c r="G27" s="1"/>
      <c r="H27" s="1"/>
      <c r="I27" s="1"/>
      <c r="J27" s="1"/>
      <c r="K27" s="1"/>
      <c r="L27" s="1"/>
      <c r="M27" s="71"/>
      <c r="N27" s="71"/>
      <c r="O27" s="71"/>
      <c r="P27" s="71"/>
      <c r="Q27" s="71"/>
      <c r="R27" s="71"/>
      <c r="S27" s="71"/>
      <c r="T27" s="1"/>
      <c r="U27" s="1"/>
      <c r="V27" s="1"/>
    </row>
    <row r="28" spans="1:22" ht="16.5">
      <c r="A28" s="1"/>
      <c r="B28" s="1"/>
      <c r="C28" s="1"/>
      <c r="D28" s="761" t="s">
        <v>857</v>
      </c>
      <c r="E28" s="74"/>
      <c r="F28" s="1"/>
      <c r="G28" s="1"/>
      <c r="H28" s="1"/>
      <c r="I28" s="1"/>
      <c r="J28" s="1"/>
      <c r="K28" s="1"/>
      <c r="L28" s="1"/>
      <c r="M28" s="1"/>
      <c r="N28" s="762"/>
      <c r="O28" s="1"/>
      <c r="P28" s="1"/>
      <c r="Q28" s="1"/>
      <c r="R28" s="1"/>
      <c r="S28" s="1"/>
      <c r="T28" s="1"/>
      <c r="U28" s="1"/>
      <c r="V28" s="1"/>
    </row>
    <row r="29" spans="1:22" ht="16.5">
      <c r="A29" s="1"/>
      <c r="B29" s="1"/>
      <c r="C29" s="1"/>
      <c r="D29" s="761" t="s">
        <v>858</v>
      </c>
      <c r="E29" s="1"/>
      <c r="F29" s="1"/>
      <c r="G29" s="1"/>
      <c r="H29" s="1"/>
      <c r="I29" s="1"/>
      <c r="J29" s="1"/>
      <c r="K29" s="1"/>
      <c r="L29" s="1"/>
      <c r="O29" s="1"/>
      <c r="P29" s="1"/>
      <c r="Q29" s="1"/>
      <c r="R29" s="1"/>
      <c r="S29" s="1"/>
      <c r="T29" s="1"/>
      <c r="U29" s="1"/>
      <c r="V29" s="1"/>
    </row>
    <row r="30" spans="1:22" ht="16.5">
      <c r="A30" s="1"/>
      <c r="B30" s="1"/>
      <c r="C30" s="1"/>
      <c r="D30" s="1"/>
      <c r="E30" s="1"/>
      <c r="F30" s="1"/>
      <c r="G30" s="1"/>
      <c r="H30" s="1"/>
      <c r="I30" s="1"/>
      <c r="J30" s="1"/>
      <c r="K30" s="1"/>
      <c r="L30" s="1"/>
      <c r="N30" s="762"/>
      <c r="O30" s="1"/>
      <c r="P30" s="1"/>
      <c r="Q30" s="1"/>
      <c r="R30" s="1"/>
      <c r="S30" s="1"/>
      <c r="T30" s="1"/>
      <c r="U30" s="1"/>
      <c r="V30" s="1"/>
    </row>
    <row r="31" spans="1:22" ht="16.5">
      <c r="A31" s="1"/>
      <c r="B31" s="1"/>
      <c r="C31" s="1"/>
      <c r="D31" s="759" t="s">
        <v>859</v>
      </c>
      <c r="E31" s="1"/>
      <c r="F31" s="1"/>
      <c r="G31" s="1"/>
      <c r="H31" s="1"/>
      <c r="I31" s="1"/>
      <c r="J31" s="1"/>
      <c r="K31" s="1"/>
      <c r="L31" s="1"/>
      <c r="O31" s="1"/>
      <c r="P31" s="1"/>
      <c r="Q31" s="1"/>
      <c r="R31" s="1"/>
      <c r="S31" s="1"/>
      <c r="T31" s="1"/>
      <c r="U31" s="1"/>
      <c r="V31" s="1"/>
    </row>
    <row r="32" spans="1:22" ht="16.5">
      <c r="A32" s="1"/>
      <c r="B32" s="1"/>
      <c r="C32" s="1"/>
      <c r="D32" s="760"/>
      <c r="E32" s="1"/>
      <c r="F32" s="1"/>
      <c r="G32" s="1"/>
      <c r="H32" s="1"/>
      <c r="I32" s="1"/>
      <c r="J32" s="1"/>
      <c r="K32" s="1"/>
      <c r="L32" s="1"/>
      <c r="M32" s="12"/>
      <c r="N32" s="762"/>
      <c r="O32" s="74"/>
      <c r="P32" s="1"/>
      <c r="Q32" s="1"/>
      <c r="R32" s="1"/>
      <c r="U32" s="1"/>
      <c r="V32" s="1"/>
    </row>
    <row r="33" spans="1:22" ht="16.5">
      <c r="A33" s="1"/>
      <c r="B33" s="1"/>
      <c r="C33" s="1"/>
      <c r="D33" s="761" t="s">
        <v>860</v>
      </c>
      <c r="E33" s="1"/>
      <c r="F33" s="1"/>
      <c r="G33" s="1"/>
      <c r="H33" s="1"/>
      <c r="I33" s="1"/>
      <c r="J33" s="1"/>
      <c r="K33" s="1"/>
      <c r="L33" s="1"/>
      <c r="M33" s="1"/>
      <c r="O33" s="1"/>
      <c r="P33" s="1"/>
      <c r="Q33" s="1"/>
      <c r="R33" s="1"/>
      <c r="U33" s="1"/>
      <c r="V33" s="1"/>
    </row>
    <row r="34" spans="1:22" ht="16.5">
      <c r="A34" s="1"/>
      <c r="B34" s="1"/>
      <c r="C34" s="1"/>
      <c r="D34" s="761" t="s">
        <v>861</v>
      </c>
      <c r="E34" s="1"/>
      <c r="F34" s="1"/>
      <c r="G34" s="1"/>
      <c r="H34" s="1"/>
      <c r="I34" s="1"/>
      <c r="J34" s="1"/>
      <c r="K34" s="1"/>
      <c r="L34" s="1"/>
      <c r="M34" s="1"/>
      <c r="N34" s="762"/>
      <c r="O34" s="1"/>
      <c r="P34" s="1"/>
      <c r="Q34" s="1"/>
      <c r="R34" s="1"/>
      <c r="U34" s="1"/>
      <c r="V34" s="1"/>
    </row>
    <row r="35" spans="1:22" ht="16.5">
      <c r="A35" s="1"/>
      <c r="B35" s="1"/>
      <c r="C35" s="1"/>
      <c r="D35" s="761" t="s">
        <v>862</v>
      </c>
      <c r="F35" s="1"/>
      <c r="G35" s="1"/>
      <c r="H35" s="1"/>
      <c r="I35" s="1"/>
      <c r="J35" s="1"/>
      <c r="K35" s="1"/>
      <c r="L35" s="1"/>
      <c r="M35" s="11"/>
      <c r="O35" s="1"/>
      <c r="P35" s="1"/>
      <c r="Q35" s="1"/>
      <c r="R35" s="1"/>
      <c r="U35" s="1"/>
      <c r="V35" s="1"/>
    </row>
    <row r="36" spans="1:22" ht="16.5">
      <c r="A36" s="1"/>
      <c r="B36" s="1"/>
      <c r="C36" s="1"/>
      <c r="D36" s="761" t="s">
        <v>863</v>
      </c>
      <c r="E36" s="74"/>
      <c r="I36" s="1"/>
      <c r="J36" s="1"/>
      <c r="K36" s="1"/>
      <c r="L36" s="1"/>
      <c r="M36" s="1"/>
      <c r="U36" s="1"/>
      <c r="V36" s="1"/>
    </row>
    <row r="37" spans="1:22" ht="16.5">
      <c r="A37" s="1"/>
      <c r="B37" s="1"/>
      <c r="C37" s="1"/>
      <c r="D37" s="761" t="s">
        <v>864</v>
      </c>
      <c r="I37" s="1"/>
      <c r="J37" s="1"/>
      <c r="K37" s="1"/>
      <c r="L37" s="1"/>
      <c r="M37" s="1"/>
      <c r="U37" s="1"/>
      <c r="V37" s="1"/>
    </row>
    <row r="38" spans="1:22" ht="16.5">
      <c r="A38" s="1"/>
      <c r="B38" s="1"/>
      <c r="C38" s="1"/>
      <c r="D38" s="761" t="s">
        <v>865</v>
      </c>
      <c r="I38" s="1"/>
      <c r="J38" s="1"/>
      <c r="K38" s="1"/>
      <c r="L38" s="1"/>
      <c r="M38" s="1"/>
      <c r="U38" s="1"/>
      <c r="V38" s="1"/>
    </row>
    <row r="39" spans="1:22" ht="16.5">
      <c r="A39" s="1"/>
      <c r="B39" s="1"/>
      <c r="C39" s="1"/>
      <c r="I39" s="1"/>
      <c r="J39" s="1"/>
      <c r="K39" s="1"/>
      <c r="L39" s="1"/>
      <c r="M39" s="1"/>
      <c r="O39" s="1"/>
      <c r="P39" s="1"/>
      <c r="Q39" s="1"/>
      <c r="R39" s="1"/>
      <c r="S39" s="1"/>
      <c r="T39" s="1"/>
      <c r="U39" s="1"/>
      <c r="V39" s="1"/>
    </row>
    <row r="40" spans="1:22" ht="15.75">
      <c r="D40" s="763" t="s">
        <v>888</v>
      </c>
    </row>
    <row r="41" spans="1:22" ht="16.5">
      <c r="J41" s="1"/>
    </row>
    <row r="42" spans="1:22" ht="16.5">
      <c r="D42" s="764" t="s">
        <v>889</v>
      </c>
      <c r="J42" s="1"/>
    </row>
    <row r="43" spans="1:22" ht="16.5">
      <c r="D43" s="760"/>
      <c r="J43" s="1"/>
    </row>
    <row r="44" spans="1:22" ht="16.5">
      <c r="D44" s="761" t="s">
        <v>867</v>
      </c>
      <c r="J44" s="1"/>
    </row>
    <row r="45" spans="1:22" ht="16.5">
      <c r="D45" s="761" t="s">
        <v>868</v>
      </c>
      <c r="J45" s="1"/>
    </row>
    <row r="46" spans="1:22" ht="16.5">
      <c r="D46" s="761" t="s">
        <v>869</v>
      </c>
      <c r="J46" s="1"/>
    </row>
    <row r="47" spans="1:22" ht="16.5">
      <c r="D47" s="761" t="s">
        <v>870</v>
      </c>
      <c r="J47" s="1"/>
    </row>
    <row r="48" spans="1:22">
      <c r="D48" s="761" t="s">
        <v>871</v>
      </c>
    </row>
    <row r="49" spans="1:22">
      <c r="D49" s="761" t="s">
        <v>872</v>
      </c>
    </row>
    <row r="50" spans="1:22">
      <c r="D50" s="761" t="s">
        <v>873</v>
      </c>
    </row>
    <row r="51" spans="1:22" ht="16.5">
      <c r="A51" s="1"/>
      <c r="B51" s="1"/>
      <c r="C51" s="1"/>
      <c r="D51" s="761" t="s">
        <v>874</v>
      </c>
      <c r="E51" s="1"/>
      <c r="F51" s="1"/>
      <c r="G51" s="1"/>
      <c r="H51" s="1"/>
      <c r="I51" s="1"/>
      <c r="J51" s="1"/>
      <c r="K51" s="1"/>
      <c r="L51" s="1"/>
      <c r="M51" s="1"/>
      <c r="N51" s="1"/>
      <c r="O51" s="1"/>
      <c r="P51" s="1"/>
      <c r="Q51" s="1"/>
      <c r="R51" s="1"/>
      <c r="S51" s="1"/>
      <c r="T51" s="1"/>
      <c r="U51" s="1"/>
      <c r="V51" s="1"/>
    </row>
    <row r="52" spans="1:22">
      <c r="D52" s="761" t="s">
        <v>875</v>
      </c>
    </row>
    <row r="53" spans="1:22">
      <c r="D53" s="761" t="s">
        <v>876</v>
      </c>
    </row>
    <row r="54" spans="1:22">
      <c r="D54" s="761" t="s">
        <v>877</v>
      </c>
    </row>
    <row r="57" spans="1:22" ht="16.5">
      <c r="D57" s="764" t="s">
        <v>890</v>
      </c>
    </row>
    <row r="58" spans="1:22">
      <c r="D58" s="760"/>
    </row>
    <row r="59" spans="1:22">
      <c r="D59" s="761" t="s">
        <v>878</v>
      </c>
    </row>
    <row r="60" spans="1:22">
      <c r="D60" s="761" t="s">
        <v>879</v>
      </c>
    </row>
    <row r="61" spans="1:22">
      <c r="D61" s="761" t="s">
        <v>880</v>
      </c>
    </row>
    <row r="62" spans="1:22">
      <c r="D62" s="761" t="s">
        <v>881</v>
      </c>
    </row>
    <row r="63" spans="1:22">
      <c r="D63" s="761" t="s">
        <v>882</v>
      </c>
    </row>
    <row r="64" spans="1:22">
      <c r="D64" s="761" t="s">
        <v>883</v>
      </c>
    </row>
    <row r="65" spans="4:18">
      <c r="D65" s="761" t="s">
        <v>884</v>
      </c>
    </row>
    <row r="66" spans="4:18">
      <c r="D66" s="761" t="s">
        <v>885</v>
      </c>
    </row>
    <row r="67" spans="4:18">
      <c r="D67" s="761" t="s">
        <v>886</v>
      </c>
    </row>
    <row r="69" spans="4:18" ht="15.75" customHeight="1">
      <c r="D69" s="769" t="s">
        <v>887</v>
      </c>
      <c r="E69" s="769"/>
      <c r="F69" s="769"/>
      <c r="G69" s="769"/>
      <c r="H69" s="769"/>
      <c r="I69" s="769"/>
      <c r="J69" s="769"/>
      <c r="K69" s="769"/>
      <c r="L69" s="769"/>
      <c r="M69" s="769"/>
      <c r="N69" s="769"/>
      <c r="O69" s="769"/>
      <c r="P69" s="769"/>
      <c r="Q69" s="769"/>
      <c r="R69" s="769"/>
    </row>
    <row r="70" spans="4:18">
      <c r="D70" s="769"/>
      <c r="E70" s="769"/>
      <c r="F70" s="769"/>
      <c r="G70" s="769"/>
      <c r="H70" s="769"/>
      <c r="I70" s="769"/>
      <c r="J70" s="769"/>
      <c r="K70" s="769"/>
      <c r="L70" s="769"/>
      <c r="M70" s="769"/>
      <c r="N70" s="769"/>
      <c r="O70" s="769"/>
      <c r="P70" s="769"/>
      <c r="Q70" s="769"/>
      <c r="R70" s="769"/>
    </row>
    <row r="71" spans="4:18">
      <c r="D71" s="769"/>
      <c r="E71" s="769"/>
      <c r="F71" s="769"/>
      <c r="G71" s="769"/>
      <c r="H71" s="769"/>
      <c r="I71" s="769"/>
      <c r="J71" s="769"/>
      <c r="K71" s="769"/>
      <c r="L71" s="769"/>
      <c r="M71" s="769"/>
      <c r="N71" s="769"/>
      <c r="O71" s="769"/>
      <c r="P71" s="769"/>
      <c r="Q71" s="769"/>
      <c r="R71" s="769"/>
    </row>
    <row r="72" spans="4:18">
      <c r="D72" s="769"/>
      <c r="E72" s="769"/>
      <c r="F72" s="769"/>
      <c r="G72" s="769"/>
      <c r="H72" s="769"/>
      <c r="I72" s="769"/>
      <c r="J72" s="769"/>
      <c r="K72" s="769"/>
      <c r="L72" s="769"/>
      <c r="M72" s="769"/>
      <c r="N72" s="769"/>
      <c r="O72" s="769"/>
      <c r="P72" s="769"/>
      <c r="Q72" s="769"/>
      <c r="R72" s="769"/>
    </row>
  </sheetData>
  <sheetProtection algorithmName="SHA-512" hashValue="LF3dy6BHxS1isSfJPNegnNlmgdbUYMYFsdVSpkAC/w6PYKBndfvtH9WzO/CGvK/hF9brit94+CrOHvmiZRdUMQ==" saltValue="ml8OEQ+46krqx6yZ37mDTA==" spinCount="100000" sheet="1" objects="1" scenarios="1" formatCells="0"/>
  <mergeCells count="2">
    <mergeCell ref="D12:R12"/>
    <mergeCell ref="D69:R72"/>
  </mergeCells>
  <conditionalFormatting sqref="B5:U5">
    <cfRule type="containsText" dxfId="294" priority="11" operator="containsText" text="Macro">
      <formula>NOT(ISERROR(SEARCH("Macro",B5)))</formula>
    </cfRule>
  </conditionalFormatting>
  <conditionalFormatting sqref="G13:Q13">
    <cfRule type="containsText" dxfId="293" priority="9" operator="containsText" text="tutorial">
      <formula>NOT(ISERROR(SEARCH("tutorial",G13)))</formula>
    </cfRule>
  </conditionalFormatting>
  <conditionalFormatting sqref="S12:U12 C12:D12">
    <cfRule type="containsText" dxfId="292" priority="5" operator="containsText" text="error">
      <formula>NOT(ISERROR(SEARCH("error",C12)))</formula>
    </cfRule>
    <cfRule type="containsText" dxfId="291" priority="6" operator="containsText" text="macro">
      <formula>NOT(ISERROR(SEARCH("macro",C12)))</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ankTransfers"/>
  <dimension ref="A1:AP514"/>
  <sheetViews>
    <sheetView showGridLines="0" zoomScale="70" zoomScaleNormal="70" workbookViewId="0">
      <pane ySplit="14" topLeftCell="A15" activePane="bottomLeft" state="frozen"/>
      <selection activeCell="B1" sqref="B1"/>
      <selection pane="bottomLeft" activeCell="AI9" sqref="AI9"/>
    </sheetView>
  </sheetViews>
  <sheetFormatPr defaultColWidth="8" defaultRowHeight="15"/>
  <cols>
    <col min="1" max="1" width="2.28515625" customWidth="1"/>
    <col min="2" max="2" width="0.42578125" customWidth="1"/>
    <col min="3" max="3" width="4.140625" customWidth="1"/>
    <col min="4" max="4" width="19.140625" customWidth="1"/>
    <col min="5" max="5" width="20.42578125" customWidth="1"/>
    <col min="6" max="6" width="25.42578125" customWidth="1"/>
    <col min="7" max="7" width="19.7109375" customWidth="1"/>
    <col min="8" max="11" width="25.42578125" customWidth="1"/>
    <col min="12" max="12" width="8.7109375" bestFit="1" customWidth="1"/>
    <col min="13" max="13" width="10.140625" customWidth="1"/>
    <col min="14" max="14" width="8.28515625" customWidth="1"/>
    <col min="15" max="15" width="14" customWidth="1"/>
    <col min="16" max="19" width="11" customWidth="1"/>
    <col min="20" max="20" width="7.7109375" customWidth="1"/>
    <col min="21" max="21" width="1.28515625" customWidth="1"/>
    <col min="22" max="22" width="11.42578125" customWidth="1"/>
    <col min="23" max="23" width="18.7109375" customWidth="1"/>
    <col min="24" max="24" width="11" customWidth="1"/>
    <col min="25" max="25" width="9.28515625" customWidth="1"/>
    <col min="26" max="26" width="15.5703125" customWidth="1"/>
    <col min="27" max="28" width="9.140625" customWidth="1"/>
    <col min="29" max="29" width="14.42578125" customWidth="1"/>
    <col min="30" max="30" width="9.140625" customWidth="1"/>
    <col min="31" max="31" width="13.85546875" customWidth="1"/>
    <col min="32" max="40" width="9.140625" customWidth="1"/>
    <col min="41" max="41" width="15.7109375" customWidth="1"/>
    <col min="42" max="42" width="8" customWidth="1"/>
  </cols>
  <sheetData>
    <row r="1" spans="1:42" ht="15.75" customHeight="1">
      <c r="A1">
        <v>1</v>
      </c>
      <c r="W1" t="s">
        <v>146</v>
      </c>
      <c r="X1" t="s">
        <v>146</v>
      </c>
      <c r="Y1" t="s">
        <v>843</v>
      </c>
      <c r="Z1" t="str">
        <f>CLEAN(Y1)</f>
        <v>R4ALEEARUDAB4AARMN4LH008ER</v>
      </c>
    </row>
    <row r="2" spans="1:42" ht="15.75" customHeight="1">
      <c r="W2" t="s">
        <v>361</v>
      </c>
      <c r="Z2" s="14">
        <f>IFERROR(IF(Z1="",W3-2,IF(AE6="HR",AO7,W3-2)),W3-2)</f>
        <v>44998</v>
      </c>
      <c r="AO2" t="s">
        <v>836</v>
      </c>
    </row>
    <row r="3" spans="1:42" ht="14.1" customHeight="1">
      <c r="W3" s="14">
        <v>45000</v>
      </c>
      <c r="Z3" t="str">
        <f>IF(AA3="","Rocketsheets",AA3)</f>
        <v>Rocketsheets</v>
      </c>
      <c r="AA3" t="str">
        <f>PROPER(TRIM(CONCATENATE(AJ15,AJ16,AJ17,AJ18,AJ19,AJ20,AJ21,AJ22,AJ23,AJ24,AJ25,AJ26,AJ27,AJ28,AJ29,AJ30,AJ31,AJ32,AJ33,AJ34,AJ35,AJ36,AJ37,AJ38,AJ39,AJ40,AJ41,AJ42,AJ43,AJ44,AJ45,AJ46,AJ47,AJ48,AJ49,AJ50,AJ51,AJ52,AJ53,AJ54)))</f>
        <v/>
      </c>
      <c r="AD3" t="s">
        <v>838</v>
      </c>
      <c r="AE3" t="str">
        <f>AB7</f>
        <v/>
      </c>
      <c r="AF3">
        <f>LEN(AE3)</f>
        <v>0</v>
      </c>
      <c r="AO3" s="32">
        <v>0</v>
      </c>
      <c r="AP3" s="32"/>
    </row>
    <row r="4" spans="1:42" ht="14.1" customHeight="1">
      <c r="H4" t="s">
        <v>151</v>
      </c>
      <c r="I4" t="s">
        <v>152</v>
      </c>
      <c r="L4" t="s">
        <v>3</v>
      </c>
      <c r="W4" s="14">
        <v>44998</v>
      </c>
      <c r="AO4" s="32" t="e">
        <f ca="1">VALUE($AN$15&amp;$AN$16&amp;"/"&amp;$AN$17&amp;$AN$18&amp;"/"&amp;$AN$19&amp;$AN$20)</f>
        <v>#N/A</v>
      </c>
      <c r="AP4" s="32" t="s">
        <v>692</v>
      </c>
    </row>
    <row r="5" spans="1:42" ht="14.1" customHeight="1">
      <c r="H5">
        <f ca="1">SUMIF(E15:E1048576,"Deposit",$H$15:$H$514)</f>
        <v>50000</v>
      </c>
      <c r="I5">
        <f ca="1">SUMIF(E15:E1048576,"Withdraw",$H$15:$H$514)</f>
        <v>0</v>
      </c>
      <c r="J5">
        <f ca="1">I5+H5</f>
        <v>50000</v>
      </c>
      <c r="L5" t="s">
        <v>7</v>
      </c>
      <c r="AD5" t="s">
        <v>837</v>
      </c>
      <c r="AE5">
        <f>aCode</f>
        <v>0</v>
      </c>
      <c r="AO5" s="32" t="e">
        <f ca="1">VALUE($AN$17&amp;$AN$18&amp;"/"&amp;$AN$15&amp;$AN$16&amp;"/"&amp;$AN$19&amp;$AN$20)</f>
        <v>#N/A</v>
      </c>
      <c r="AP5" s="32" t="s">
        <v>693</v>
      </c>
    </row>
    <row r="6" spans="1:42" ht="14.1" customHeight="1">
      <c r="W6">
        <v>1</v>
      </c>
      <c r="Y6" t="s">
        <v>840</v>
      </c>
      <c r="Z6" s="14"/>
      <c r="AD6" t="s">
        <v>839</v>
      </c>
      <c r="AE6" t="str">
        <f>AG9&amp;AH9</f>
        <v>00</v>
      </c>
      <c r="AO6" s="32" t="e">
        <f ca="1">VALUE(AN19&amp;AN20&amp;"/"&amp;AN15&amp;AN16&amp;"/"&amp;AN17&amp;AN18)</f>
        <v>#N/A</v>
      </c>
      <c r="AP6" s="32" t="s">
        <v>694</v>
      </c>
    </row>
    <row r="7" spans="1:42" ht="14.1" customHeight="1">
      <c r="H7" t="s">
        <v>41</v>
      </c>
      <c r="I7" t="s">
        <v>40</v>
      </c>
      <c r="J7" t="s">
        <v>126</v>
      </c>
      <c r="L7" t="s">
        <v>13</v>
      </c>
      <c r="W7">
        <v>2</v>
      </c>
      <c r="Y7" t="s">
        <v>841</v>
      </c>
      <c r="Z7" s="19">
        <f>Form!G5</f>
        <v>0</v>
      </c>
      <c r="AA7">
        <f>LEN(Z7)</f>
        <v>1</v>
      </c>
      <c r="AB7" s="722" t="str">
        <f>TRIM(Z16&amp;Z17&amp;Z18&amp;Z19&amp;Z20&amp;Z21&amp;Z22&amp;Z23&amp;Z24&amp;Z25&amp;Z26&amp;Z27&amp;Z28&amp;Z29&amp;Z30&amp;Z31&amp;Z32&amp;Z33&amp;Z34&amp;Z35&amp;Z36&amp;Z37&amp;Z38&amp;Z39&amp;Z40&amp;Z41&amp;Z42&amp;Z43&amp;Z44&amp;Z45&amp;Z46&amp;Z47&amp;Z48&amp;Z49&amp;Z50&amp;Z51&amp;Z52&amp;Z53&amp;Z54&amp;Z55)</f>
        <v/>
      </c>
      <c r="AO7" s="32" t="e">
        <f ca="1">IF(AO3=0,AO4,IF(AO3=1,AO5,AO6))</f>
        <v>#N/A</v>
      </c>
      <c r="AP7" s="32"/>
    </row>
    <row r="8" spans="1:42" ht="14.1" customHeight="1">
      <c r="F8" t="s">
        <v>38</v>
      </c>
      <c r="H8">
        <f ca="1">H5</f>
        <v>50000</v>
      </c>
      <c r="I8">
        <f ca="1">IF(-I5&gt;H8,H8,-I5)</f>
        <v>0</v>
      </c>
      <c r="J8">
        <f ca="1">H8-I8</f>
        <v>50000</v>
      </c>
      <c r="L8" t="s">
        <v>14</v>
      </c>
      <c r="W8" t="s">
        <v>147</v>
      </c>
    </row>
    <row r="9" spans="1:42" ht="14.1" customHeight="1">
      <c r="F9" t="s">
        <v>127</v>
      </c>
      <c r="H9">
        <f>'TRADE STATISTICS'!AO9+'MONTHLY REPORT'!M14</f>
        <v>4271.4200000000055</v>
      </c>
      <c r="I9">
        <f ca="1">-(IF(-I5&gt;H8,(I5+H8),0))</f>
        <v>0</v>
      </c>
      <c r="J9">
        <f ca="1">H9-I9</f>
        <v>4271.4200000000055</v>
      </c>
      <c r="Y9" t="str">
        <f>AB7&amp;AE5</f>
        <v>0</v>
      </c>
      <c r="AA9" s="726"/>
      <c r="AB9" s="724" t="str">
        <f>RIGHT(LEFT(AE5,2),1)</f>
        <v>0</v>
      </c>
      <c r="AC9" s="724" t="str">
        <f>RIGHT(LEFT(AE5,5),1)</f>
        <v>0</v>
      </c>
      <c r="AD9" s="725" t="e">
        <f>INDEX($AF$15:$AF$54,MATCH($AB$9,$AC$15:$AC$54,0))</f>
        <v>#N/A</v>
      </c>
      <c r="AE9" s="725" t="e">
        <f>INDEX($AF$15:$AF$54,MATCH($AC$9,$AC$15:$AC$54,0))</f>
        <v>#N/A</v>
      </c>
      <c r="AG9" s="727" t="str">
        <f>LEFT(AE5,1)</f>
        <v>0</v>
      </c>
      <c r="AH9" s="727" t="str">
        <f>RIGHT(AE5,1)</f>
        <v>0</v>
      </c>
    </row>
    <row r="10" spans="1:42" ht="14.1" customHeight="1">
      <c r="F10" t="s">
        <v>39</v>
      </c>
      <c r="H10">
        <f ca="1">H8+H9</f>
        <v>54271.420000000006</v>
      </c>
      <c r="I10">
        <f ca="1">I9+I8</f>
        <v>0</v>
      </c>
      <c r="J10">
        <f ca="1">J9+J8</f>
        <v>54271.420000000006</v>
      </c>
      <c r="W10" t="str">
        <f>IF(W6="","Please Enable Macro",IF(W6=1,IF(AND(W6=1,OR(W7="",W7=1)),"Registration Error!","Welcome!"),"Welcome!"))</f>
        <v>Welcome!</v>
      </c>
      <c r="AA10" s="724">
        <f ca="1">YEAR(TODAY())</f>
        <v>2023</v>
      </c>
      <c r="AB10" s="724" t="str">
        <f>RIGHT(LEFT(AE5,4),1)</f>
        <v>0</v>
      </c>
      <c r="AC10" s="724" t="str">
        <f>RIGHT(LEFT(AE5,3),1)</f>
        <v>0</v>
      </c>
      <c r="AD10" s="725" t="e">
        <f>INDEX($AF$15:$AF$54,MATCH($AB$10,$AC$15:$AC$54,0))</f>
        <v>#N/A</v>
      </c>
      <c r="AE10" s="725" t="e">
        <f>INDEX($AF$15:$AF$54,MATCH($AC$10,$AC$15:$AC$54,0))</f>
        <v>#N/A</v>
      </c>
      <c r="AG10" s="728" t="e">
        <f>INDEX($AF$15:$AF$54,MATCH($AG$9,$AC$15:$AC$54,0))</f>
        <v>#N/A</v>
      </c>
      <c r="AH10" s="728" t="e">
        <f>INDEX($AF$15:$AF$54,MATCH($AH$9,$AC$15:$AC$54,0))</f>
        <v>#N/A</v>
      </c>
    </row>
    <row r="11" spans="1:42" ht="12" customHeight="1">
      <c r="W11" t="str">
        <f>IF(W10="registration error!","Registered to "&amp;Nameko&amp;". Please contact AAES if you received this error.",IF(W10="Please Enable Macro","All sheet calculations are based on macro, scroll down for tutorial.","Successfully "&amp;HOME!S4&amp;"."))</f>
        <v>Successfully Registered to Rocketsheets.</v>
      </c>
      <c r="X11" t="s">
        <v>690</v>
      </c>
      <c r="AA11" s="724" t="str">
        <f ca="1">RIGHT(AA10,2)</f>
        <v>23</v>
      </c>
      <c r="AB11" s="724" t="str">
        <f ca="1">LEFT(AA11,1)</f>
        <v>2</v>
      </c>
      <c r="AC11" s="724" t="str">
        <f ca="1">RIGHT(AA11,1)</f>
        <v>3</v>
      </c>
      <c r="AD11" s="725" t="str">
        <f ca="1">AB11</f>
        <v>2</v>
      </c>
      <c r="AE11" s="725" t="str">
        <f ca="1">AC11</f>
        <v>3</v>
      </c>
    </row>
    <row r="12" spans="1:42" ht="6.75" customHeight="1"/>
    <row r="13" spans="1:42" ht="20.100000000000001" customHeight="1">
      <c r="D13" t="s">
        <v>142</v>
      </c>
    </row>
    <row r="14" spans="1:42" ht="15" customHeight="1">
      <c r="C14" t="s">
        <v>17</v>
      </c>
      <c r="D14" t="s">
        <v>0</v>
      </c>
      <c r="E14" t="s">
        <v>5</v>
      </c>
      <c r="F14" t="s">
        <v>6</v>
      </c>
      <c r="H14" t="s">
        <v>15</v>
      </c>
      <c r="I14" t="s">
        <v>16</v>
      </c>
      <c r="O14">
        <f>COUNTIF('TRADE LOG'!$C$14:$C$733,"&gt;"&amp;'Bank Transfers'!D15)</f>
        <v>56</v>
      </c>
      <c r="AC14" t="s">
        <v>847</v>
      </c>
      <c r="AF14" t="s">
        <v>845</v>
      </c>
      <c r="AG14" t="s">
        <v>846</v>
      </c>
      <c r="AI14" t="s">
        <v>844</v>
      </c>
      <c r="AN14" t="s">
        <v>837</v>
      </c>
    </row>
    <row r="15" spans="1:42" ht="20.100000000000001" customHeight="1">
      <c r="C15">
        <v>1</v>
      </c>
      <c r="D15">
        <f>IFERROR(INDEX(Datelog,SMALL('TRADE LOG'!$AD$15:$AD$9733,C15)),"")</f>
        <v>43977.241886574076</v>
      </c>
      <c r="E15" t="str">
        <f t="shared" ref="E15:E78" si="0">IF(F15="","",IF(F15&gt;0,"Deposit","Withdraw"))</f>
        <v>Deposit</v>
      </c>
      <c r="F15">
        <f>IFERROR(INDEX('TRADE LOG'!$T$15:$T$733,SMALL('TRADE LOG'!$AD$15:$AD$733,C15)),"")</f>
        <v>50000</v>
      </c>
      <c r="H15">
        <f>F15</f>
        <v>50000</v>
      </c>
      <c r="I15" t="s">
        <v>227</v>
      </c>
      <c r="L15">
        <f>IFERROR(DATE(YEAR(D15),MONTH(D15),DAY(1)),"")</f>
        <v>43952</v>
      </c>
      <c r="M15">
        <f>SETTINGS!AH2</f>
        <v>45024</v>
      </c>
      <c r="O15">
        <f>COUNTIFS('TRADE LOG'!$C$14:$C$733,"&lt;"&amp;'Bank Transfers'!D15,'TRADE LOG'!$C$14:$C$733,"&gt;="&amp;'Bank Transfers'!D14)</f>
        <v>0</v>
      </c>
      <c r="P15">
        <f>O15</f>
        <v>0</v>
      </c>
      <c r="AN15" t="e">
        <f>AD9</f>
        <v>#N/A</v>
      </c>
    </row>
    <row r="16" spans="1:42" ht="20.100000000000001" customHeight="1">
      <c r="C16">
        <f>C15+1</f>
        <v>2</v>
      </c>
      <c r="D16" t="str">
        <f>IF(J16=0,"",J16)</f>
        <v/>
      </c>
      <c r="E16" t="str">
        <f t="shared" si="0"/>
        <v/>
      </c>
      <c r="F16" t="str">
        <f>IF(J16=0,"",IFERROR(INDEX('TRADE LOG'!$T$15:$T$733,SMALL('TRADE LOG'!$AD$15:$AD$733,C16)),""))</f>
        <v/>
      </c>
      <c r="H16" t="str">
        <f t="shared" ref="H16:H79" si="1">F16</f>
        <v/>
      </c>
      <c r="J16" t="str">
        <f>IFERROR(INDEX(Datelog,SMALL('TRADE LOG'!$AD$15:$AD$9733,C16)),"")</f>
        <v/>
      </c>
      <c r="L16" t="e">
        <f>DATE(YEAR(D16),MONTH(D16),DAY(1))</f>
        <v>#VALUE!</v>
      </c>
      <c r="M16">
        <f>DATE(YEAR(M15),MONTH(M15),DAY(1))</f>
        <v>45017</v>
      </c>
      <c r="O16">
        <f>COUNTIFS('TRADE LOG'!$C$14:$C$733,"&lt;"&amp;'Bank Transfers'!D16,'TRADE LOG'!$C$14:$C$733,"&gt;="&amp;'Bank Transfers'!D15)</f>
        <v>0</v>
      </c>
      <c r="P16">
        <f>O16</f>
        <v>0</v>
      </c>
      <c r="AN16" t="e">
        <f>AE9</f>
        <v>#N/A</v>
      </c>
    </row>
    <row r="17" spans="3:40" ht="20.100000000000001" customHeight="1">
      <c r="C17">
        <f t="shared" ref="C17:C80" si="2">C16+1</f>
        <v>3</v>
      </c>
      <c r="D17" t="str">
        <f>IFERROR(INDEX(Datelog,SMALL('TRADE LOG'!$AD$15:$AD$9733,C17)),"")</f>
        <v/>
      </c>
      <c r="E17" t="str">
        <f t="shared" si="0"/>
        <v/>
      </c>
      <c r="F17" t="str">
        <f>IFERROR(INDEX('TRADE LOG'!$T$15:$T$733,SMALL('TRADE LOG'!$AD$15:$AD$733,C17)),"")</f>
        <v/>
      </c>
      <c r="H17" t="str">
        <f t="shared" si="1"/>
        <v/>
      </c>
      <c r="L17" t="e">
        <f t="shared" ref="L17:L80" si="3">DATE(YEAR(D17),MONTH(D17),DAY(1))</f>
        <v>#VALUE!</v>
      </c>
      <c r="M17">
        <f>SUMIFS(H15:H514,L15:L514,M16,E15:E514,"deposit")</f>
        <v>0</v>
      </c>
      <c r="N17" t="b">
        <f>IF(COUNT('MONTHLY REPORT'!$X$15)=0,IF(M16=SETTINGS!#REF!,SETTINGS!S86+'Bank Transfers'!M17,'Bank Transfers'!M17))</f>
        <v>0</v>
      </c>
      <c r="O17">
        <f>COUNTIFS('TRADE LOG'!$C$14:$C$733,"&lt;"&amp;'Bank Transfers'!D17,'TRADE LOG'!$C$14:$C$733,"&gt;="&amp;'Bank Transfers'!D16)</f>
        <v>0</v>
      </c>
      <c r="P17">
        <f>O17+P16</f>
        <v>0</v>
      </c>
      <c r="AN17" t="e">
        <f>AD10</f>
        <v>#N/A</v>
      </c>
    </row>
    <row r="18" spans="3:40" ht="20.100000000000001" customHeight="1">
      <c r="C18">
        <f t="shared" si="2"/>
        <v>4</v>
      </c>
      <c r="D18" t="str">
        <f>IFERROR(INDEX(Datelog,SMALL('TRADE LOG'!$AD$15:$AD$9733,C18)),"")</f>
        <v/>
      </c>
      <c r="E18" t="str">
        <f t="shared" si="0"/>
        <v/>
      </c>
      <c r="F18" t="str">
        <f>IFERROR(INDEX('TRADE LOG'!$T$15:$T$733,SMALL('TRADE LOG'!$AD$15:$AD$733,C18)),"")</f>
        <v/>
      </c>
      <c r="H18" t="str">
        <f t="shared" si="1"/>
        <v/>
      </c>
      <c r="L18" t="e">
        <f t="shared" si="3"/>
        <v>#VALUE!</v>
      </c>
      <c r="M18">
        <f>SUMIFS(H15:H514,L15:L514,M16,E15:E514,"withdraw")</f>
        <v>0</v>
      </c>
      <c r="N18" t="b">
        <f>IF(COUNT('MONTHLY REPORT'!$X$15)=0,IF(M16=SETTINGS!#REF!,SETTINGS!S87+'Bank Transfers'!M18,'Bank Transfers'!M18))</f>
        <v>0</v>
      </c>
      <c r="O18">
        <f>COUNTIFS('TRADE LOG'!$C$14:$C$733,"&lt;"&amp;'Bank Transfers'!D18,'TRADE LOG'!$C$14:$C$733,"&gt;="&amp;'Bank Transfers'!D17)</f>
        <v>0</v>
      </c>
      <c r="P18">
        <f>O18+P17</f>
        <v>0</v>
      </c>
      <c r="AN18" t="e">
        <f>AE10</f>
        <v>#N/A</v>
      </c>
    </row>
    <row r="19" spans="3:40" ht="20.100000000000001" customHeight="1">
      <c r="C19">
        <f t="shared" si="2"/>
        <v>5</v>
      </c>
      <c r="D19" t="str">
        <f>IFERROR(INDEX(Datelog,SMALL('TRADE LOG'!$AD$15:$AD$9733,C19)),"")</f>
        <v/>
      </c>
      <c r="E19" t="str">
        <f t="shared" si="0"/>
        <v/>
      </c>
      <c r="F19" t="str">
        <f>IFERROR(INDEX('TRADE LOG'!$T$15:$T$733,SMALL('TRADE LOG'!$AD$15:$AD$733,C19)),"")</f>
        <v/>
      </c>
      <c r="H19" t="str">
        <f t="shared" si="1"/>
        <v/>
      </c>
      <c r="L19" t="e">
        <f t="shared" si="3"/>
        <v>#VALUE!</v>
      </c>
      <c r="O19">
        <f>COUNTIFS('TRADE LOG'!$C$14:$C$733,"&lt;"&amp;'Bank Transfers'!D19,'TRADE LOG'!$C$14:$C$733,"&gt;="&amp;'Bank Transfers'!D18)</f>
        <v>0</v>
      </c>
      <c r="P19">
        <f>O19+P18</f>
        <v>0</v>
      </c>
      <c r="AN19" t="str">
        <f ca="1">AD11</f>
        <v>2</v>
      </c>
    </row>
    <row r="20" spans="3:40" ht="20.100000000000001" customHeight="1">
      <c r="C20">
        <f t="shared" si="2"/>
        <v>6</v>
      </c>
      <c r="D20" t="str">
        <f>IFERROR(INDEX(Datelog,SMALL('TRADE LOG'!$AD$15:$AD$9733,C20)),"")</f>
        <v/>
      </c>
      <c r="E20" t="str">
        <f t="shared" si="0"/>
        <v/>
      </c>
      <c r="F20" t="str">
        <f>IFERROR(INDEX('TRADE LOG'!$T$15:$T$733,SMALL('TRADE LOG'!$AD$15:$AD$733,C20)),"")</f>
        <v/>
      </c>
      <c r="H20" t="str">
        <f t="shared" si="1"/>
        <v/>
      </c>
      <c r="L20" t="e">
        <f t="shared" si="3"/>
        <v>#VALUE!</v>
      </c>
      <c r="O20">
        <f>COUNTIFS('TRADE LOG'!$C$14:$C$733,"&lt;"&amp;'Bank Transfers'!D20,'TRADE LOG'!$C$14:$C$733,"&gt;="&amp;'Bank Transfers'!D19)</f>
        <v>0</v>
      </c>
      <c r="P20">
        <f t="shared" ref="P20:P83" si="4">O20+P19</f>
        <v>0</v>
      </c>
      <c r="AN20" t="str">
        <f ca="1">AE11</f>
        <v>3</v>
      </c>
    </row>
    <row r="21" spans="3:40" ht="20.100000000000001" customHeight="1">
      <c r="C21">
        <f t="shared" si="2"/>
        <v>7</v>
      </c>
      <c r="D21" t="str">
        <f>IFERROR(INDEX(Datelog,SMALL('TRADE LOG'!$AD$15:$AD$9733,C21)),"")</f>
        <v/>
      </c>
      <c r="E21" t="str">
        <f t="shared" si="0"/>
        <v/>
      </c>
      <c r="F21" t="str">
        <f>IFERROR(INDEX('TRADE LOG'!$T$15:$T$733,SMALL('TRADE LOG'!$AD$15:$AD$733,C21)),"")</f>
        <v/>
      </c>
      <c r="H21" t="str">
        <f t="shared" si="1"/>
        <v/>
      </c>
      <c r="L21" t="e">
        <f t="shared" si="3"/>
        <v>#VALUE!</v>
      </c>
      <c r="O21">
        <f>COUNTIFS('TRADE LOG'!$C$14:$C$733,"&lt;"&amp;'Bank Transfers'!D21,'TRADE LOG'!$C$14:$C$733,"&gt;="&amp;'Bank Transfers'!D20)</f>
        <v>0</v>
      </c>
      <c r="P21">
        <f t="shared" si="4"/>
        <v>0</v>
      </c>
    </row>
    <row r="22" spans="3:40" ht="20.100000000000001" customHeight="1">
      <c r="C22">
        <f t="shared" si="2"/>
        <v>8</v>
      </c>
      <c r="D22" t="str">
        <f>IFERROR(INDEX(Datelog,SMALL('TRADE LOG'!$AD$15:$AD$9733,C22)),"")</f>
        <v/>
      </c>
      <c r="E22" t="str">
        <f t="shared" si="0"/>
        <v/>
      </c>
      <c r="F22" t="str">
        <f>IFERROR(INDEX('TRADE LOG'!$T$15:$T$733,SMALL('TRADE LOG'!$AD$15:$AD$733,C22)),"")</f>
        <v/>
      </c>
      <c r="H22" t="str">
        <f t="shared" si="1"/>
        <v/>
      </c>
      <c r="L22" t="e">
        <f t="shared" si="3"/>
        <v>#VALUE!</v>
      </c>
      <c r="O22">
        <f>COUNTIFS('TRADE LOG'!$C$14:$C$733,"&lt;"&amp;'Bank Transfers'!D22,'TRADE LOG'!$C$14:$C$733,"&gt;="&amp;'Bank Transfers'!D21)</f>
        <v>0</v>
      </c>
      <c r="P22">
        <f t="shared" si="4"/>
        <v>0</v>
      </c>
    </row>
    <row r="23" spans="3:40" ht="20.100000000000001" customHeight="1">
      <c r="C23">
        <f t="shared" si="2"/>
        <v>9</v>
      </c>
      <c r="D23" t="str">
        <f>IFERROR(INDEX(Datelog,SMALL('TRADE LOG'!$AD$15:$AD$9733,C23)),"")</f>
        <v/>
      </c>
      <c r="E23" t="str">
        <f t="shared" si="0"/>
        <v/>
      </c>
      <c r="F23" t="str">
        <f>IFERROR(INDEX('TRADE LOG'!$T$15:$T$733,SMALL('TRADE LOG'!$AD$15:$AD$733,C23)),"")</f>
        <v/>
      </c>
      <c r="H23" t="str">
        <f t="shared" si="1"/>
        <v/>
      </c>
      <c r="L23" t="e">
        <f t="shared" si="3"/>
        <v>#VALUE!</v>
      </c>
      <c r="O23">
        <f>COUNTIFS('TRADE LOG'!$C$14:$C$733,"&lt;"&amp;'Bank Transfers'!D23,'TRADE LOG'!$C$14:$C$733,"&gt;="&amp;'Bank Transfers'!D22)</f>
        <v>0</v>
      </c>
      <c r="P23">
        <f t="shared" si="4"/>
        <v>0</v>
      </c>
    </row>
    <row r="24" spans="3:40" ht="20.100000000000001" customHeight="1">
      <c r="C24">
        <f t="shared" si="2"/>
        <v>10</v>
      </c>
      <c r="D24" t="str">
        <f>IFERROR(INDEX(Datelog,SMALL('TRADE LOG'!$AD$15:$AD$9733,C24)),"")</f>
        <v/>
      </c>
      <c r="E24" t="str">
        <f t="shared" si="0"/>
        <v/>
      </c>
      <c r="F24" t="str">
        <f>IFERROR(INDEX('TRADE LOG'!$T$15:$T$733,SMALL('TRADE LOG'!$AD$15:$AD$733,C24)),"")</f>
        <v/>
      </c>
      <c r="H24" t="str">
        <f t="shared" si="1"/>
        <v/>
      </c>
      <c r="L24" t="e">
        <f t="shared" si="3"/>
        <v>#VALUE!</v>
      </c>
      <c r="O24">
        <f>COUNTIFS('TRADE LOG'!$C$14:$C$733,"&lt;"&amp;'Bank Transfers'!D24,'TRADE LOG'!$C$14:$C$733,"&gt;="&amp;'Bank Transfers'!D23)</f>
        <v>0</v>
      </c>
      <c r="P24">
        <f t="shared" si="4"/>
        <v>0</v>
      </c>
    </row>
    <row r="25" spans="3:40" ht="20.100000000000001" customHeight="1">
      <c r="C25">
        <f t="shared" si="2"/>
        <v>11</v>
      </c>
      <c r="D25" t="str">
        <f>IFERROR(INDEX(Datelog,SMALL('TRADE LOG'!$AD$15:$AD$9733,C25)),"")</f>
        <v/>
      </c>
      <c r="E25" t="str">
        <f t="shared" si="0"/>
        <v/>
      </c>
      <c r="F25" t="str">
        <f>IFERROR(INDEX('TRADE LOG'!$T$15:$T$733,SMALL('TRADE LOG'!$AD$15:$AD$733,C25)),"")</f>
        <v/>
      </c>
      <c r="H25" t="str">
        <f t="shared" si="1"/>
        <v/>
      </c>
      <c r="L25" t="e">
        <f t="shared" si="3"/>
        <v>#VALUE!</v>
      </c>
      <c r="O25">
        <f>COUNTIFS('TRADE LOG'!$C$14:$C$733,"&lt;"&amp;'Bank Transfers'!D25,'TRADE LOG'!$C$14:$C$733,"&gt;="&amp;'Bank Transfers'!D24)</f>
        <v>0</v>
      </c>
      <c r="P25">
        <f t="shared" si="4"/>
        <v>0</v>
      </c>
    </row>
    <row r="26" spans="3:40" ht="20.100000000000001" customHeight="1">
      <c r="C26">
        <f t="shared" si="2"/>
        <v>12</v>
      </c>
      <c r="D26" t="str">
        <f>IFERROR(INDEX(Datelog,SMALL('TRADE LOG'!$AD$15:$AD$9733,C26)),"")</f>
        <v/>
      </c>
      <c r="E26" t="str">
        <f t="shared" si="0"/>
        <v/>
      </c>
      <c r="F26" t="str">
        <f>IFERROR(INDEX('TRADE LOG'!$T$15:$T$733,SMALL('TRADE LOG'!$AD$15:$AD$733,C26)),"")</f>
        <v/>
      </c>
      <c r="H26" t="str">
        <f t="shared" si="1"/>
        <v/>
      </c>
      <c r="L26" t="e">
        <f t="shared" si="3"/>
        <v>#VALUE!</v>
      </c>
      <c r="O26">
        <f>COUNTIFS('TRADE LOG'!$C$14:$C$733,"&lt;"&amp;'Bank Transfers'!D26,'TRADE LOG'!$C$14:$C$733,"&gt;="&amp;'Bank Transfers'!D25)</f>
        <v>0</v>
      </c>
      <c r="P26">
        <f t="shared" si="4"/>
        <v>0</v>
      </c>
    </row>
    <row r="27" spans="3:40" ht="20.100000000000001" customHeight="1">
      <c r="C27">
        <f t="shared" si="2"/>
        <v>13</v>
      </c>
      <c r="D27" t="str">
        <f>IFERROR(INDEX(Datelog,SMALL('TRADE LOG'!$AD$15:$AD$9733,C27)),"")</f>
        <v/>
      </c>
      <c r="E27" t="str">
        <f t="shared" si="0"/>
        <v/>
      </c>
      <c r="F27" t="str">
        <f>IFERROR(INDEX('TRADE LOG'!$T$15:$T$733,SMALL('TRADE LOG'!$AD$15:$AD$733,C27)),"")</f>
        <v/>
      </c>
      <c r="H27" t="str">
        <f t="shared" si="1"/>
        <v/>
      </c>
      <c r="L27" t="e">
        <f t="shared" si="3"/>
        <v>#VALUE!</v>
      </c>
      <c r="O27">
        <f>COUNTIFS('TRADE LOG'!$C$14:$C$733,"&lt;"&amp;'Bank Transfers'!D27,'TRADE LOG'!$C$14:$C$733,"&gt;="&amp;'Bank Transfers'!D26)</f>
        <v>0</v>
      </c>
      <c r="P27">
        <f t="shared" si="4"/>
        <v>0</v>
      </c>
    </row>
    <row r="28" spans="3:40" ht="20.100000000000001" customHeight="1">
      <c r="C28">
        <f t="shared" si="2"/>
        <v>14</v>
      </c>
      <c r="D28" t="str">
        <f>IFERROR(INDEX(Datelog,SMALL('TRADE LOG'!$AD$15:$AD$9733,C28)),"")</f>
        <v/>
      </c>
      <c r="E28" t="str">
        <f t="shared" si="0"/>
        <v/>
      </c>
      <c r="F28" t="str">
        <f>IFERROR(INDEX('TRADE LOG'!$T$15:$T$733,SMALL('TRADE LOG'!$AD$15:$AD$733,C28)),"")</f>
        <v/>
      </c>
      <c r="H28" t="str">
        <f t="shared" si="1"/>
        <v/>
      </c>
      <c r="L28" t="e">
        <f t="shared" si="3"/>
        <v>#VALUE!</v>
      </c>
      <c r="O28">
        <f>COUNTIFS('TRADE LOG'!$C$14:$C$733,"&lt;"&amp;'Bank Transfers'!D28,'TRADE LOG'!$C$14:$C$733,"&gt;="&amp;'Bank Transfers'!D27)</f>
        <v>0</v>
      </c>
      <c r="P28">
        <f t="shared" si="4"/>
        <v>0</v>
      </c>
    </row>
    <row r="29" spans="3:40" ht="20.100000000000001" customHeight="1">
      <c r="C29">
        <f t="shared" si="2"/>
        <v>15</v>
      </c>
      <c r="D29" t="str">
        <f>IFERROR(INDEX(Datelog,SMALL('TRADE LOG'!$AD$15:$AD$9733,C29)),"")</f>
        <v/>
      </c>
      <c r="E29" t="str">
        <f t="shared" si="0"/>
        <v/>
      </c>
      <c r="F29" t="str">
        <f>IFERROR(INDEX('TRADE LOG'!$T$15:$T$733,SMALL('TRADE LOG'!$AD$15:$AD$733,C29)),"")</f>
        <v/>
      </c>
      <c r="H29" t="str">
        <f t="shared" si="1"/>
        <v/>
      </c>
      <c r="L29" t="e">
        <f t="shared" si="3"/>
        <v>#VALUE!</v>
      </c>
      <c r="O29">
        <f>COUNTIFS('TRADE LOG'!$C$14:$C$733,"&lt;"&amp;'Bank Transfers'!D29,'TRADE LOG'!$C$14:$C$733,"&gt;="&amp;'Bank Transfers'!D28)</f>
        <v>0</v>
      </c>
      <c r="P29">
        <f t="shared" si="4"/>
        <v>0</v>
      </c>
    </row>
    <row r="30" spans="3:40" ht="20.100000000000001" customHeight="1">
      <c r="C30">
        <f t="shared" si="2"/>
        <v>16</v>
      </c>
      <c r="D30" t="str">
        <f>IFERROR(INDEX(Datelog,SMALL('TRADE LOG'!$AD$15:$AD$9733,C30)),"")</f>
        <v/>
      </c>
      <c r="E30" t="str">
        <f t="shared" si="0"/>
        <v/>
      </c>
      <c r="F30" t="str">
        <f>IFERROR(INDEX('TRADE LOG'!$T$15:$T$733,SMALL('TRADE LOG'!$AD$15:$AD$733,C30)),"")</f>
        <v/>
      </c>
      <c r="H30" t="str">
        <f t="shared" si="1"/>
        <v/>
      </c>
      <c r="L30" t="e">
        <f t="shared" si="3"/>
        <v>#VALUE!</v>
      </c>
      <c r="O30">
        <f>COUNTIFS('TRADE LOG'!$C$14:$C$733,"&lt;"&amp;'Bank Transfers'!D30,'TRADE LOG'!$C$14:$C$733,"&gt;="&amp;'Bank Transfers'!D29)</f>
        <v>0</v>
      </c>
      <c r="P30">
        <f t="shared" si="4"/>
        <v>0</v>
      </c>
    </row>
    <row r="31" spans="3:40" ht="20.100000000000001" customHeight="1">
      <c r="C31">
        <f t="shared" si="2"/>
        <v>17</v>
      </c>
      <c r="D31" t="str">
        <f>IFERROR(INDEX(Datelog,SMALL('TRADE LOG'!$AD$15:$AD$9733,C31)),"")</f>
        <v/>
      </c>
      <c r="E31" t="str">
        <f t="shared" si="0"/>
        <v/>
      </c>
      <c r="F31" t="str">
        <f>IFERROR(INDEX('TRADE LOG'!$T$15:$T$733,SMALL('TRADE LOG'!$AD$15:$AD$733,C31)),"")</f>
        <v/>
      </c>
      <c r="H31" t="str">
        <f t="shared" si="1"/>
        <v/>
      </c>
      <c r="L31" t="e">
        <f t="shared" si="3"/>
        <v>#VALUE!</v>
      </c>
      <c r="O31">
        <f>COUNTIFS('TRADE LOG'!$C$14:$C$733,"&lt;"&amp;'Bank Transfers'!D31,'TRADE LOG'!$C$14:$C$733,"&gt;="&amp;'Bank Transfers'!D30)</f>
        <v>0</v>
      </c>
      <c r="P31">
        <f t="shared" si="4"/>
        <v>0</v>
      </c>
    </row>
    <row r="32" spans="3:40" ht="20.100000000000001" customHeight="1">
      <c r="C32">
        <f t="shared" si="2"/>
        <v>18</v>
      </c>
      <c r="D32" t="str">
        <f>IFERROR(INDEX(Datelog,SMALL('TRADE LOG'!$AD$15:$AD$9733,C32)),"")</f>
        <v/>
      </c>
      <c r="E32" t="str">
        <f t="shared" si="0"/>
        <v/>
      </c>
      <c r="F32" t="str">
        <f>IFERROR(INDEX('TRADE LOG'!$T$15:$T$733,SMALL('TRADE LOG'!$AD$15:$AD$733,C32)),"")</f>
        <v/>
      </c>
      <c r="H32" t="str">
        <f t="shared" si="1"/>
        <v/>
      </c>
      <c r="L32" t="e">
        <f t="shared" si="3"/>
        <v>#VALUE!</v>
      </c>
      <c r="O32">
        <f>COUNTIFS('TRADE LOG'!$C$14:$C$733,"&lt;"&amp;'Bank Transfers'!D32,'TRADE LOG'!$C$14:$C$733,"&gt;="&amp;'Bank Transfers'!D31)</f>
        <v>0</v>
      </c>
      <c r="P32">
        <f t="shared" si="4"/>
        <v>0</v>
      </c>
    </row>
    <row r="33" spans="3:16" ht="20.100000000000001" customHeight="1">
      <c r="C33">
        <f t="shared" si="2"/>
        <v>19</v>
      </c>
      <c r="D33" t="str">
        <f>IFERROR(INDEX(Datelog,SMALL('TRADE LOG'!$AD$15:$AD$9733,C33)),"")</f>
        <v/>
      </c>
      <c r="E33" t="str">
        <f t="shared" si="0"/>
        <v/>
      </c>
      <c r="F33" t="str">
        <f>IFERROR(INDEX('TRADE LOG'!$T$15:$T$733,SMALL('TRADE LOG'!$AD$15:$AD$733,C33)),"")</f>
        <v/>
      </c>
      <c r="H33" t="str">
        <f t="shared" si="1"/>
        <v/>
      </c>
      <c r="L33" t="e">
        <f t="shared" si="3"/>
        <v>#VALUE!</v>
      </c>
      <c r="O33">
        <f>COUNTIFS('TRADE LOG'!$C$14:$C$733,"&lt;"&amp;'Bank Transfers'!D33,'TRADE LOG'!$C$14:$C$733,"&gt;="&amp;'Bank Transfers'!D32)</f>
        <v>0</v>
      </c>
      <c r="P33">
        <f t="shared" si="4"/>
        <v>0</v>
      </c>
    </row>
    <row r="34" spans="3:16" ht="20.100000000000001" customHeight="1">
      <c r="C34">
        <f t="shared" si="2"/>
        <v>20</v>
      </c>
      <c r="D34" t="str">
        <f>IFERROR(INDEX(Datelog,SMALL('TRADE LOG'!$AD$15:$AD$9733,C34)),"")</f>
        <v/>
      </c>
      <c r="E34" t="str">
        <f t="shared" si="0"/>
        <v/>
      </c>
      <c r="F34" t="str">
        <f>IFERROR(INDEX('TRADE LOG'!$T$15:$T$733,SMALL('TRADE LOG'!$AD$15:$AD$733,C34)),"")</f>
        <v/>
      </c>
      <c r="H34" t="str">
        <f t="shared" si="1"/>
        <v/>
      </c>
      <c r="L34" t="e">
        <f t="shared" si="3"/>
        <v>#VALUE!</v>
      </c>
      <c r="O34">
        <f>COUNTIFS('TRADE LOG'!$C$14:$C$733,"&lt;"&amp;'Bank Transfers'!D34,'TRADE LOG'!$C$14:$C$733,"&gt;="&amp;'Bank Transfers'!D33)</f>
        <v>0</v>
      </c>
      <c r="P34">
        <f t="shared" si="4"/>
        <v>0</v>
      </c>
    </row>
    <row r="35" spans="3:16" ht="20.100000000000001" customHeight="1">
      <c r="C35">
        <f t="shared" si="2"/>
        <v>21</v>
      </c>
      <c r="D35" t="str">
        <f>IFERROR(INDEX(Datelog,SMALL('TRADE LOG'!$AD$15:$AD$9733,C35)),"")</f>
        <v/>
      </c>
      <c r="E35" t="str">
        <f t="shared" si="0"/>
        <v/>
      </c>
      <c r="F35" t="str">
        <f>IFERROR(INDEX('TRADE LOG'!$T$15:$T$733,SMALL('TRADE LOG'!$AD$15:$AD$733,C35)),"")</f>
        <v/>
      </c>
      <c r="H35" t="str">
        <f t="shared" si="1"/>
        <v/>
      </c>
      <c r="L35" t="e">
        <f t="shared" si="3"/>
        <v>#VALUE!</v>
      </c>
      <c r="O35">
        <f>COUNTIFS('TRADE LOG'!$C$14:$C$733,"&lt;"&amp;'Bank Transfers'!D35,'TRADE LOG'!$C$14:$C$733,"&gt;="&amp;'Bank Transfers'!D34)</f>
        <v>0</v>
      </c>
      <c r="P35">
        <f t="shared" si="4"/>
        <v>0</v>
      </c>
    </row>
    <row r="36" spans="3:16" ht="20.100000000000001" customHeight="1">
      <c r="C36">
        <f t="shared" si="2"/>
        <v>22</v>
      </c>
      <c r="D36" t="str">
        <f>IFERROR(INDEX(Datelog,SMALL('TRADE LOG'!$AD$15:$AD$9733,C36)),"")</f>
        <v/>
      </c>
      <c r="E36" t="str">
        <f t="shared" si="0"/>
        <v/>
      </c>
      <c r="F36" t="str">
        <f>IFERROR(INDEX('TRADE LOG'!$T$15:$T$733,SMALL('TRADE LOG'!$AD$15:$AD$733,C36)),"")</f>
        <v/>
      </c>
      <c r="H36" t="str">
        <f t="shared" si="1"/>
        <v/>
      </c>
      <c r="L36" t="e">
        <f t="shared" si="3"/>
        <v>#VALUE!</v>
      </c>
      <c r="O36">
        <f>COUNTIFS('TRADE LOG'!$C$14:$C$733,"&lt;"&amp;'Bank Transfers'!D36,'TRADE LOG'!$C$14:$C$733,"&gt;="&amp;'Bank Transfers'!D35)</f>
        <v>0</v>
      </c>
      <c r="P36">
        <f t="shared" si="4"/>
        <v>0</v>
      </c>
    </row>
    <row r="37" spans="3:16" ht="20.100000000000001" customHeight="1">
      <c r="C37">
        <f t="shared" si="2"/>
        <v>23</v>
      </c>
      <c r="D37" t="str">
        <f>IFERROR(INDEX(Datelog,SMALL('TRADE LOG'!$AD$15:$AD$9733,C37)),"")</f>
        <v/>
      </c>
      <c r="E37" t="str">
        <f t="shared" si="0"/>
        <v/>
      </c>
      <c r="F37" t="str">
        <f>IFERROR(INDEX('TRADE LOG'!$T$15:$T$733,SMALL('TRADE LOG'!$AD$15:$AD$733,C37)),"")</f>
        <v/>
      </c>
      <c r="H37" t="str">
        <f t="shared" si="1"/>
        <v/>
      </c>
      <c r="L37" t="e">
        <f t="shared" si="3"/>
        <v>#VALUE!</v>
      </c>
      <c r="O37">
        <f>COUNTIFS('TRADE LOG'!$C$14:$C$733,"&lt;"&amp;'Bank Transfers'!D37,'TRADE LOG'!$C$14:$C$733,"&gt;="&amp;'Bank Transfers'!D36)</f>
        <v>0</v>
      </c>
      <c r="P37">
        <f t="shared" si="4"/>
        <v>0</v>
      </c>
    </row>
    <row r="38" spans="3:16" ht="20.100000000000001" customHeight="1">
      <c r="C38">
        <f t="shared" si="2"/>
        <v>24</v>
      </c>
      <c r="D38" t="str">
        <f>IFERROR(INDEX(Datelog,SMALL('TRADE LOG'!$AD$15:$AD$9733,C38)),"")</f>
        <v/>
      </c>
      <c r="E38" t="str">
        <f t="shared" si="0"/>
        <v/>
      </c>
      <c r="F38" t="str">
        <f>IFERROR(INDEX('TRADE LOG'!$T$15:$T$733,SMALL('TRADE LOG'!$AD$15:$AD$733,C38)),"")</f>
        <v/>
      </c>
      <c r="H38" t="str">
        <f t="shared" si="1"/>
        <v/>
      </c>
      <c r="L38" t="e">
        <f t="shared" si="3"/>
        <v>#VALUE!</v>
      </c>
      <c r="O38">
        <f>COUNTIFS('TRADE LOG'!$C$14:$C$733,"&lt;"&amp;'Bank Transfers'!D38,'TRADE LOG'!$C$14:$C$733,"&gt;="&amp;'Bank Transfers'!D37)</f>
        <v>0</v>
      </c>
      <c r="P38">
        <f t="shared" si="4"/>
        <v>0</v>
      </c>
    </row>
    <row r="39" spans="3:16" ht="20.100000000000001" customHeight="1">
      <c r="C39">
        <f t="shared" si="2"/>
        <v>25</v>
      </c>
      <c r="D39" t="str">
        <f>IFERROR(INDEX(Datelog,SMALL('TRADE LOG'!$AD$15:$AD$9733,C39)),"")</f>
        <v/>
      </c>
      <c r="E39" t="str">
        <f t="shared" si="0"/>
        <v/>
      </c>
      <c r="F39" t="str">
        <f>IFERROR(INDEX('TRADE LOG'!$T$15:$T$733,SMALL('TRADE LOG'!$AD$15:$AD$733,C39)),"")</f>
        <v/>
      </c>
      <c r="H39" t="str">
        <f t="shared" si="1"/>
        <v/>
      </c>
      <c r="L39" t="e">
        <f t="shared" si="3"/>
        <v>#VALUE!</v>
      </c>
      <c r="O39">
        <f>COUNTIFS('TRADE LOG'!$C$14:$C$733,"&lt;"&amp;'Bank Transfers'!D39,'TRADE LOG'!$C$14:$C$733,"&gt;="&amp;'Bank Transfers'!D38)</f>
        <v>0</v>
      </c>
      <c r="P39">
        <f t="shared" si="4"/>
        <v>0</v>
      </c>
    </row>
    <row r="40" spans="3:16" ht="20.100000000000001" customHeight="1">
      <c r="C40">
        <f t="shared" si="2"/>
        <v>26</v>
      </c>
      <c r="D40" t="str">
        <f>IFERROR(INDEX(Datelog,SMALL('TRADE LOG'!$AD$15:$AD$9733,C40)),"")</f>
        <v/>
      </c>
      <c r="E40" t="str">
        <f t="shared" si="0"/>
        <v/>
      </c>
      <c r="F40" t="str">
        <f>IFERROR(INDEX('TRADE LOG'!$T$15:$T$733,SMALL('TRADE LOG'!$AD$15:$AD$733,C40)),"")</f>
        <v/>
      </c>
      <c r="H40" t="str">
        <f t="shared" si="1"/>
        <v/>
      </c>
      <c r="L40" t="e">
        <f t="shared" si="3"/>
        <v>#VALUE!</v>
      </c>
      <c r="O40">
        <f>COUNTIFS('TRADE LOG'!$C$14:$C$733,"&lt;"&amp;'Bank Transfers'!D40,'TRADE LOG'!$C$14:$C$733,"&gt;="&amp;'Bank Transfers'!D39)</f>
        <v>0</v>
      </c>
      <c r="P40">
        <f t="shared" si="4"/>
        <v>0</v>
      </c>
    </row>
    <row r="41" spans="3:16" ht="20.100000000000001" customHeight="1">
      <c r="C41">
        <f t="shared" si="2"/>
        <v>27</v>
      </c>
      <c r="D41" t="str">
        <f>IFERROR(INDEX(Datelog,SMALL('TRADE LOG'!$AD$15:$AD$9733,C41)),"")</f>
        <v/>
      </c>
      <c r="E41" t="str">
        <f t="shared" si="0"/>
        <v/>
      </c>
      <c r="F41" t="str">
        <f>IFERROR(INDEX('TRADE LOG'!$T$15:$T$733,SMALL('TRADE LOG'!$AD$15:$AD$733,C41)),"")</f>
        <v/>
      </c>
      <c r="H41" t="str">
        <f t="shared" si="1"/>
        <v/>
      </c>
      <c r="L41" t="e">
        <f t="shared" si="3"/>
        <v>#VALUE!</v>
      </c>
      <c r="O41">
        <f>COUNTIFS('TRADE LOG'!$C$14:$C$733,"&lt;"&amp;'Bank Transfers'!D41,'TRADE LOG'!$C$14:$C$733,"&gt;="&amp;'Bank Transfers'!D40)</f>
        <v>0</v>
      </c>
      <c r="P41">
        <f t="shared" si="4"/>
        <v>0</v>
      </c>
    </row>
    <row r="42" spans="3:16" ht="20.100000000000001" customHeight="1">
      <c r="C42">
        <f t="shared" si="2"/>
        <v>28</v>
      </c>
      <c r="D42" t="str">
        <f>IFERROR(INDEX(Datelog,SMALL('TRADE LOG'!$AD$15:$AD$9733,C42)),"")</f>
        <v/>
      </c>
      <c r="E42" t="str">
        <f t="shared" si="0"/>
        <v/>
      </c>
      <c r="F42" t="str">
        <f>IFERROR(INDEX('TRADE LOG'!$T$15:$T$733,SMALL('TRADE LOG'!$AD$15:$AD$733,C42)),"")</f>
        <v/>
      </c>
      <c r="H42" t="str">
        <f t="shared" si="1"/>
        <v/>
      </c>
      <c r="L42" t="e">
        <f t="shared" si="3"/>
        <v>#VALUE!</v>
      </c>
      <c r="O42">
        <f>COUNTIFS('TRADE LOG'!$C$14:$C$733,"&lt;"&amp;'Bank Transfers'!D42,'TRADE LOG'!$C$14:$C$733,"&gt;="&amp;'Bank Transfers'!D41)</f>
        <v>0</v>
      </c>
      <c r="P42">
        <f t="shared" si="4"/>
        <v>0</v>
      </c>
    </row>
    <row r="43" spans="3:16" ht="20.100000000000001" customHeight="1">
      <c r="C43">
        <f t="shared" si="2"/>
        <v>29</v>
      </c>
      <c r="D43" t="str">
        <f>IFERROR(INDEX(Datelog,SMALL('TRADE LOG'!$AD$15:$AD$9733,C43)),"")</f>
        <v/>
      </c>
      <c r="E43" t="str">
        <f t="shared" si="0"/>
        <v/>
      </c>
      <c r="F43" t="str">
        <f>IFERROR(INDEX('TRADE LOG'!$T$15:$T$733,SMALL('TRADE LOG'!$AD$15:$AD$733,C43)),"")</f>
        <v/>
      </c>
      <c r="H43" t="str">
        <f t="shared" si="1"/>
        <v/>
      </c>
      <c r="L43" t="e">
        <f t="shared" si="3"/>
        <v>#VALUE!</v>
      </c>
      <c r="O43">
        <f>COUNTIFS('TRADE LOG'!$C$14:$C$733,"&lt;"&amp;'Bank Transfers'!D43,'TRADE LOG'!$C$14:$C$733,"&gt;="&amp;'Bank Transfers'!D42)</f>
        <v>0</v>
      </c>
      <c r="P43">
        <f t="shared" si="4"/>
        <v>0</v>
      </c>
    </row>
    <row r="44" spans="3:16" ht="20.100000000000001" customHeight="1">
      <c r="C44">
        <f t="shared" si="2"/>
        <v>30</v>
      </c>
      <c r="D44" t="str">
        <f>IFERROR(INDEX(Datelog,SMALL('TRADE LOG'!$AD$15:$AD$9733,C44)),"")</f>
        <v/>
      </c>
      <c r="E44" t="str">
        <f t="shared" si="0"/>
        <v/>
      </c>
      <c r="F44" t="str">
        <f>IFERROR(INDEX('TRADE LOG'!$T$15:$T$733,SMALL('TRADE LOG'!$AD$15:$AD$733,C44)),"")</f>
        <v/>
      </c>
      <c r="H44" t="str">
        <f t="shared" si="1"/>
        <v/>
      </c>
      <c r="L44" t="e">
        <f t="shared" si="3"/>
        <v>#VALUE!</v>
      </c>
      <c r="O44">
        <f>COUNTIFS('TRADE LOG'!$C$14:$C$733,"&lt;"&amp;'Bank Transfers'!D44,'TRADE LOG'!$C$14:$C$733,"&gt;="&amp;'Bank Transfers'!D43)</f>
        <v>0</v>
      </c>
      <c r="P44">
        <f t="shared" si="4"/>
        <v>0</v>
      </c>
    </row>
    <row r="45" spans="3:16" ht="20.100000000000001" customHeight="1">
      <c r="C45">
        <f t="shared" si="2"/>
        <v>31</v>
      </c>
      <c r="D45" t="str">
        <f>IFERROR(INDEX(Datelog,SMALL('TRADE LOG'!$AD$15:$AD$9733,C45)),"")</f>
        <v/>
      </c>
      <c r="E45" t="str">
        <f t="shared" si="0"/>
        <v/>
      </c>
      <c r="F45" t="str">
        <f>IFERROR(INDEX('TRADE LOG'!$T$15:$T$733,SMALL('TRADE LOG'!$AD$15:$AD$733,C45)),"")</f>
        <v/>
      </c>
      <c r="H45" t="str">
        <f t="shared" si="1"/>
        <v/>
      </c>
      <c r="L45" t="e">
        <f t="shared" si="3"/>
        <v>#VALUE!</v>
      </c>
      <c r="O45">
        <f>COUNTIFS('TRADE LOG'!$C$14:$C$733,"&lt;"&amp;'Bank Transfers'!D45,'TRADE LOG'!$C$14:$C$733,"&gt;="&amp;'Bank Transfers'!D44)</f>
        <v>0</v>
      </c>
      <c r="P45">
        <f t="shared" si="4"/>
        <v>0</v>
      </c>
    </row>
    <row r="46" spans="3:16" ht="20.100000000000001" customHeight="1">
      <c r="C46">
        <f t="shared" si="2"/>
        <v>32</v>
      </c>
      <c r="D46" t="str">
        <f>IFERROR(INDEX(Datelog,SMALL('TRADE LOG'!$AD$15:$AD$9733,C46)),"")</f>
        <v/>
      </c>
      <c r="E46" t="str">
        <f t="shared" si="0"/>
        <v/>
      </c>
      <c r="F46" t="str">
        <f>IFERROR(INDEX('TRADE LOG'!$T$15:$T$733,SMALL('TRADE LOG'!$AD$15:$AD$733,C46)),"")</f>
        <v/>
      </c>
      <c r="H46" t="str">
        <f t="shared" si="1"/>
        <v/>
      </c>
      <c r="L46" t="e">
        <f t="shared" si="3"/>
        <v>#VALUE!</v>
      </c>
      <c r="O46">
        <f>COUNTIFS('TRADE LOG'!$C$14:$C$733,"&lt;"&amp;'Bank Transfers'!D46,'TRADE LOG'!$C$14:$C$733,"&gt;="&amp;'Bank Transfers'!D45)</f>
        <v>0</v>
      </c>
      <c r="P46">
        <f t="shared" si="4"/>
        <v>0</v>
      </c>
    </row>
    <row r="47" spans="3:16" ht="20.100000000000001" customHeight="1">
      <c r="C47">
        <f t="shared" si="2"/>
        <v>33</v>
      </c>
      <c r="D47" t="str">
        <f>IFERROR(INDEX(Datelog,SMALL('TRADE LOG'!$AD$15:$AD$9733,C47)),"")</f>
        <v/>
      </c>
      <c r="E47" t="str">
        <f t="shared" si="0"/>
        <v/>
      </c>
      <c r="F47" t="str">
        <f>IFERROR(INDEX('TRADE LOG'!$T$15:$T$733,SMALL('TRADE LOG'!$AD$15:$AD$733,C47)),"")</f>
        <v/>
      </c>
      <c r="H47" t="str">
        <f t="shared" si="1"/>
        <v/>
      </c>
      <c r="L47" t="e">
        <f t="shared" si="3"/>
        <v>#VALUE!</v>
      </c>
      <c r="O47">
        <f>COUNTIFS('TRADE LOG'!$C$14:$C$733,"&lt;"&amp;'Bank Transfers'!D47,'TRADE LOG'!$C$14:$C$733,"&gt;="&amp;'Bank Transfers'!D46)</f>
        <v>0</v>
      </c>
      <c r="P47">
        <f t="shared" si="4"/>
        <v>0</v>
      </c>
    </row>
    <row r="48" spans="3:16" ht="20.100000000000001" customHeight="1">
      <c r="C48">
        <f t="shared" si="2"/>
        <v>34</v>
      </c>
      <c r="D48" t="str">
        <f>IFERROR(INDEX(Datelog,SMALL('TRADE LOG'!$AD$15:$AD$9733,C48)),"")</f>
        <v/>
      </c>
      <c r="E48" t="str">
        <f t="shared" si="0"/>
        <v/>
      </c>
      <c r="F48" t="str">
        <f>IFERROR(INDEX('TRADE LOG'!$T$15:$T$733,SMALL('TRADE LOG'!$AD$15:$AD$733,C48)),"")</f>
        <v/>
      </c>
      <c r="H48" t="str">
        <f t="shared" si="1"/>
        <v/>
      </c>
      <c r="L48" t="e">
        <f t="shared" si="3"/>
        <v>#VALUE!</v>
      </c>
      <c r="O48">
        <f>COUNTIFS('TRADE LOG'!$C$14:$C$733,"&lt;"&amp;'Bank Transfers'!D48,'TRADE LOG'!$C$14:$C$733,"&gt;="&amp;'Bank Transfers'!D47)</f>
        <v>0</v>
      </c>
      <c r="P48">
        <f t="shared" si="4"/>
        <v>0</v>
      </c>
    </row>
    <row r="49" spans="3:16" ht="20.100000000000001" customHeight="1">
      <c r="C49">
        <f t="shared" si="2"/>
        <v>35</v>
      </c>
      <c r="D49" t="str">
        <f>IFERROR(INDEX(Datelog,SMALL('TRADE LOG'!$AD$15:$AD$9733,C49)),"")</f>
        <v/>
      </c>
      <c r="E49" t="str">
        <f t="shared" si="0"/>
        <v/>
      </c>
      <c r="F49" t="str">
        <f>IFERROR(INDEX('TRADE LOG'!$T$15:$T$733,SMALL('TRADE LOG'!$AD$15:$AD$733,C49)),"")</f>
        <v/>
      </c>
      <c r="H49" t="str">
        <f t="shared" si="1"/>
        <v/>
      </c>
      <c r="L49" t="e">
        <f t="shared" si="3"/>
        <v>#VALUE!</v>
      </c>
      <c r="O49">
        <f>COUNTIFS('TRADE LOG'!$C$14:$C$733,"&lt;"&amp;'Bank Transfers'!D49,'TRADE LOG'!$C$14:$C$733,"&gt;="&amp;'Bank Transfers'!D48)</f>
        <v>0</v>
      </c>
      <c r="P49">
        <f t="shared" si="4"/>
        <v>0</v>
      </c>
    </row>
    <row r="50" spans="3:16" ht="20.100000000000001" customHeight="1">
      <c r="C50">
        <f t="shared" si="2"/>
        <v>36</v>
      </c>
      <c r="D50" t="str">
        <f>IFERROR(INDEX(Datelog,SMALL('TRADE LOG'!$AD$15:$AD$9733,C50)),"")</f>
        <v/>
      </c>
      <c r="E50" t="str">
        <f t="shared" si="0"/>
        <v/>
      </c>
      <c r="F50" t="str">
        <f>IFERROR(INDEX('TRADE LOG'!$T$15:$T$733,SMALL('TRADE LOG'!$AD$15:$AD$733,C50)),"")</f>
        <v/>
      </c>
      <c r="H50" t="str">
        <f t="shared" si="1"/>
        <v/>
      </c>
      <c r="L50" t="e">
        <f t="shared" si="3"/>
        <v>#VALUE!</v>
      </c>
      <c r="O50">
        <f>COUNTIFS('TRADE LOG'!$C$14:$C$733,"&lt;"&amp;'Bank Transfers'!D50,'TRADE LOG'!$C$14:$C$733,"&gt;="&amp;'Bank Transfers'!D49)</f>
        <v>0</v>
      </c>
      <c r="P50">
        <f t="shared" si="4"/>
        <v>0</v>
      </c>
    </row>
    <row r="51" spans="3:16" ht="20.100000000000001" customHeight="1">
      <c r="C51">
        <f t="shared" si="2"/>
        <v>37</v>
      </c>
      <c r="D51" t="str">
        <f>IFERROR(INDEX(Datelog,SMALL('TRADE LOG'!$AD$15:$AD$9733,C51)),"")</f>
        <v/>
      </c>
      <c r="E51" t="str">
        <f t="shared" si="0"/>
        <v/>
      </c>
      <c r="F51" t="str">
        <f>IFERROR(INDEX('TRADE LOG'!$T$15:$T$733,SMALL('TRADE LOG'!$AD$15:$AD$733,C51)),"")</f>
        <v/>
      </c>
      <c r="H51" t="str">
        <f t="shared" si="1"/>
        <v/>
      </c>
      <c r="L51" t="e">
        <f t="shared" si="3"/>
        <v>#VALUE!</v>
      </c>
      <c r="O51">
        <f>COUNTIFS('TRADE LOG'!$C$14:$C$733,"&lt;"&amp;'Bank Transfers'!D51,'TRADE LOG'!$C$14:$C$733,"&gt;="&amp;'Bank Transfers'!D50)</f>
        <v>0</v>
      </c>
      <c r="P51">
        <f t="shared" si="4"/>
        <v>0</v>
      </c>
    </row>
    <row r="52" spans="3:16" ht="20.100000000000001" customHeight="1">
      <c r="C52">
        <f t="shared" si="2"/>
        <v>38</v>
      </c>
      <c r="D52" t="str">
        <f>IFERROR(INDEX(Datelog,SMALL('TRADE LOG'!$AD$15:$AD$9733,C52)),"")</f>
        <v/>
      </c>
      <c r="E52" t="str">
        <f t="shared" si="0"/>
        <v/>
      </c>
      <c r="F52" t="str">
        <f>IFERROR(INDEX('TRADE LOG'!$T$15:$T$733,SMALL('TRADE LOG'!$AD$15:$AD$733,C52)),"")</f>
        <v/>
      </c>
      <c r="H52" t="str">
        <f t="shared" si="1"/>
        <v/>
      </c>
      <c r="L52" t="e">
        <f t="shared" si="3"/>
        <v>#VALUE!</v>
      </c>
      <c r="O52">
        <f>COUNTIFS('TRADE LOG'!$C$14:$C$733,"&lt;"&amp;'Bank Transfers'!D52,'TRADE LOG'!$C$14:$C$733,"&gt;="&amp;'Bank Transfers'!D51)</f>
        <v>0</v>
      </c>
      <c r="P52">
        <f t="shared" si="4"/>
        <v>0</v>
      </c>
    </row>
    <row r="53" spans="3:16" ht="20.100000000000001" customHeight="1">
      <c r="C53">
        <f t="shared" si="2"/>
        <v>39</v>
      </c>
      <c r="D53" t="str">
        <f>IFERROR(INDEX(Datelog,SMALL('TRADE LOG'!$AD$15:$AD$9733,C53)),"")</f>
        <v/>
      </c>
      <c r="E53" t="str">
        <f t="shared" si="0"/>
        <v/>
      </c>
      <c r="F53" t="str">
        <f>IFERROR(INDEX('TRADE LOG'!$T$15:$T$733,SMALL('TRADE LOG'!$AD$15:$AD$733,C53)),"")</f>
        <v/>
      </c>
      <c r="H53" t="str">
        <f t="shared" si="1"/>
        <v/>
      </c>
      <c r="L53" t="e">
        <f t="shared" si="3"/>
        <v>#VALUE!</v>
      </c>
      <c r="O53">
        <f>COUNTIFS('TRADE LOG'!$C$14:$C$733,"&lt;"&amp;'Bank Transfers'!D53,'TRADE LOG'!$C$14:$C$733,"&gt;="&amp;'Bank Transfers'!D52)</f>
        <v>0</v>
      </c>
      <c r="P53">
        <f t="shared" si="4"/>
        <v>0</v>
      </c>
    </row>
    <row r="54" spans="3:16" ht="20.100000000000001" customHeight="1">
      <c r="C54">
        <f t="shared" si="2"/>
        <v>40</v>
      </c>
      <c r="D54" t="str">
        <f>IFERROR(INDEX(Datelog,SMALL('TRADE LOG'!$AD$15:$AD$9733,C54)),"")</f>
        <v/>
      </c>
      <c r="E54" t="str">
        <f t="shared" si="0"/>
        <v/>
      </c>
      <c r="F54" t="str">
        <f>IFERROR(INDEX('TRADE LOG'!$T$15:$T$733,SMALL('TRADE LOG'!$AD$15:$AD$733,C54)),"")</f>
        <v/>
      </c>
      <c r="H54" t="str">
        <f t="shared" si="1"/>
        <v/>
      </c>
      <c r="L54" t="e">
        <f t="shared" si="3"/>
        <v>#VALUE!</v>
      </c>
      <c r="O54">
        <f>COUNTIFS('TRADE LOG'!$C$14:$C$733,"&lt;"&amp;'Bank Transfers'!D54,'TRADE LOG'!$C$14:$C$733,"&gt;="&amp;'Bank Transfers'!D53)</f>
        <v>0</v>
      </c>
      <c r="P54">
        <f t="shared" si="4"/>
        <v>0</v>
      </c>
    </row>
    <row r="55" spans="3:16" ht="20.100000000000001" customHeight="1">
      <c r="C55">
        <f t="shared" si="2"/>
        <v>41</v>
      </c>
      <c r="D55" t="str">
        <f>IFERROR(INDEX(Datelog,SMALL('TRADE LOG'!$AD$15:$AD$9733,C55)),"")</f>
        <v/>
      </c>
      <c r="E55" t="str">
        <f t="shared" si="0"/>
        <v/>
      </c>
      <c r="F55" t="str">
        <f>IFERROR(INDEX('TRADE LOG'!$T$15:$T$733,SMALL('TRADE LOG'!$AD$15:$AD$733,C55)),"")</f>
        <v/>
      </c>
      <c r="H55" t="str">
        <f t="shared" si="1"/>
        <v/>
      </c>
      <c r="L55" t="e">
        <f t="shared" si="3"/>
        <v>#VALUE!</v>
      </c>
      <c r="O55">
        <f>COUNTIFS('TRADE LOG'!$C$14:$C$733,"&lt;"&amp;'Bank Transfers'!D55,'TRADE LOG'!$C$14:$C$733,"&gt;="&amp;'Bank Transfers'!D54)</f>
        <v>0</v>
      </c>
      <c r="P55">
        <f t="shared" si="4"/>
        <v>0</v>
      </c>
    </row>
    <row r="56" spans="3:16" ht="20.100000000000001" customHeight="1">
      <c r="C56">
        <f t="shared" si="2"/>
        <v>42</v>
      </c>
      <c r="D56" t="str">
        <f>IFERROR(INDEX(Datelog,SMALL('TRADE LOG'!$AD$15:$AD$9733,C56)),"")</f>
        <v/>
      </c>
      <c r="E56" t="str">
        <f t="shared" si="0"/>
        <v/>
      </c>
      <c r="F56" t="str">
        <f>IFERROR(INDEX('TRADE LOG'!$T$15:$T$733,SMALL('TRADE LOG'!$AD$15:$AD$733,C56)),"")</f>
        <v/>
      </c>
      <c r="H56" t="str">
        <f t="shared" si="1"/>
        <v/>
      </c>
      <c r="L56" t="e">
        <f t="shared" si="3"/>
        <v>#VALUE!</v>
      </c>
      <c r="O56">
        <f>COUNTIFS('TRADE LOG'!$C$14:$C$733,"&lt;"&amp;'Bank Transfers'!D56,'TRADE LOG'!$C$14:$C$733,"&gt;="&amp;'Bank Transfers'!D55)</f>
        <v>0</v>
      </c>
      <c r="P56">
        <f t="shared" si="4"/>
        <v>0</v>
      </c>
    </row>
    <row r="57" spans="3:16" ht="20.100000000000001" customHeight="1">
      <c r="C57">
        <f t="shared" si="2"/>
        <v>43</v>
      </c>
      <c r="D57" t="str">
        <f>IFERROR(INDEX(Datelog,SMALL('TRADE LOG'!$AD$15:$AD$9733,C57)),"")</f>
        <v/>
      </c>
      <c r="E57" t="str">
        <f t="shared" si="0"/>
        <v/>
      </c>
      <c r="F57" t="str">
        <f>IFERROR(INDEX('TRADE LOG'!$T$15:$T$733,SMALL('TRADE LOG'!$AD$15:$AD$733,C57)),"")</f>
        <v/>
      </c>
      <c r="H57" t="str">
        <f t="shared" si="1"/>
        <v/>
      </c>
      <c r="L57" t="e">
        <f t="shared" si="3"/>
        <v>#VALUE!</v>
      </c>
      <c r="O57">
        <f>COUNTIFS('TRADE LOG'!$C$14:$C$733,"&lt;"&amp;'Bank Transfers'!D57,'TRADE LOG'!$C$14:$C$733,"&gt;="&amp;'Bank Transfers'!D56)</f>
        <v>0</v>
      </c>
      <c r="P57">
        <f t="shared" si="4"/>
        <v>0</v>
      </c>
    </row>
    <row r="58" spans="3:16" ht="20.100000000000001" customHeight="1">
      <c r="C58">
        <f t="shared" si="2"/>
        <v>44</v>
      </c>
      <c r="D58" t="str">
        <f>IFERROR(INDEX(Datelog,SMALL('TRADE LOG'!$AD$15:$AD$9733,C58)),"")</f>
        <v/>
      </c>
      <c r="E58" t="str">
        <f t="shared" si="0"/>
        <v/>
      </c>
      <c r="F58" t="str">
        <f>IFERROR(INDEX('TRADE LOG'!$T$15:$T$733,SMALL('TRADE LOG'!$AD$15:$AD$733,C58)),"")</f>
        <v/>
      </c>
      <c r="H58" t="str">
        <f t="shared" si="1"/>
        <v/>
      </c>
      <c r="L58" t="e">
        <f t="shared" si="3"/>
        <v>#VALUE!</v>
      </c>
      <c r="O58">
        <f>COUNTIFS('TRADE LOG'!$C$14:$C$733,"&lt;"&amp;'Bank Transfers'!D58,'TRADE LOG'!$C$14:$C$733,"&gt;="&amp;'Bank Transfers'!D57)</f>
        <v>0</v>
      </c>
      <c r="P58">
        <f t="shared" si="4"/>
        <v>0</v>
      </c>
    </row>
    <row r="59" spans="3:16" ht="20.100000000000001" customHeight="1">
      <c r="C59">
        <f t="shared" si="2"/>
        <v>45</v>
      </c>
      <c r="D59" t="str">
        <f>IFERROR(INDEX(Datelog,SMALL('TRADE LOG'!$AD$15:$AD$9733,C59)),"")</f>
        <v/>
      </c>
      <c r="E59" t="str">
        <f t="shared" si="0"/>
        <v/>
      </c>
      <c r="F59" t="str">
        <f>IFERROR(INDEX('TRADE LOG'!$T$15:$T$733,SMALL('TRADE LOG'!$AD$15:$AD$733,C59)),"")</f>
        <v/>
      </c>
      <c r="H59" t="str">
        <f t="shared" si="1"/>
        <v/>
      </c>
      <c r="L59" t="e">
        <f t="shared" si="3"/>
        <v>#VALUE!</v>
      </c>
      <c r="O59">
        <f>COUNTIFS('TRADE LOG'!$C$14:$C$733,"&lt;"&amp;'Bank Transfers'!D59,'TRADE LOG'!$C$14:$C$733,"&gt;="&amp;'Bank Transfers'!D58)</f>
        <v>0</v>
      </c>
      <c r="P59">
        <f t="shared" si="4"/>
        <v>0</v>
      </c>
    </row>
    <row r="60" spans="3:16" ht="20.100000000000001" customHeight="1">
      <c r="C60">
        <f t="shared" si="2"/>
        <v>46</v>
      </c>
      <c r="D60" t="str">
        <f>IFERROR(INDEX(Datelog,SMALL('TRADE LOG'!$AD$15:$AD$9733,C60)),"")</f>
        <v/>
      </c>
      <c r="E60" t="str">
        <f t="shared" si="0"/>
        <v/>
      </c>
      <c r="F60" t="str">
        <f>IFERROR(INDEX('TRADE LOG'!$T$15:$T$733,SMALL('TRADE LOG'!$AD$15:$AD$733,C60)),"")</f>
        <v/>
      </c>
      <c r="H60" t="str">
        <f t="shared" si="1"/>
        <v/>
      </c>
      <c r="L60" t="e">
        <f t="shared" si="3"/>
        <v>#VALUE!</v>
      </c>
      <c r="O60">
        <f>COUNTIFS('TRADE LOG'!$C$14:$C$733,"&lt;"&amp;'Bank Transfers'!D60,'TRADE LOG'!$C$14:$C$733,"&gt;="&amp;'Bank Transfers'!D59)</f>
        <v>0</v>
      </c>
      <c r="P60">
        <f t="shared" si="4"/>
        <v>0</v>
      </c>
    </row>
    <row r="61" spans="3:16" ht="20.100000000000001" customHeight="1">
      <c r="C61">
        <f t="shared" si="2"/>
        <v>47</v>
      </c>
      <c r="D61" t="str">
        <f>IFERROR(INDEX(Datelog,SMALL('TRADE LOG'!$AD$15:$AD$9733,C61)),"")</f>
        <v/>
      </c>
      <c r="E61" t="str">
        <f t="shared" si="0"/>
        <v/>
      </c>
      <c r="F61" t="str">
        <f>IFERROR(INDEX('TRADE LOG'!$T$15:$T$733,SMALL('TRADE LOG'!$AD$15:$AD$733,C61)),"")</f>
        <v/>
      </c>
      <c r="H61" t="str">
        <f t="shared" si="1"/>
        <v/>
      </c>
      <c r="L61" t="e">
        <f t="shared" si="3"/>
        <v>#VALUE!</v>
      </c>
      <c r="O61">
        <f>COUNTIFS('TRADE LOG'!$C$14:$C$733,"&lt;"&amp;'Bank Transfers'!D61,'TRADE LOG'!$C$14:$C$733,"&gt;="&amp;'Bank Transfers'!D60)</f>
        <v>0</v>
      </c>
      <c r="P61">
        <f t="shared" si="4"/>
        <v>0</v>
      </c>
    </row>
    <row r="62" spans="3:16" ht="20.100000000000001" customHeight="1">
      <c r="C62">
        <f t="shared" si="2"/>
        <v>48</v>
      </c>
      <c r="D62" t="str">
        <f>IFERROR(INDEX(Datelog,SMALL('TRADE LOG'!$AD$15:$AD$9733,C62)),"")</f>
        <v/>
      </c>
      <c r="E62" t="str">
        <f t="shared" si="0"/>
        <v/>
      </c>
      <c r="F62" t="str">
        <f>IFERROR(INDEX('TRADE LOG'!$T$15:$T$733,SMALL('TRADE LOG'!$AD$15:$AD$733,C62)),"")</f>
        <v/>
      </c>
      <c r="H62" t="str">
        <f t="shared" si="1"/>
        <v/>
      </c>
      <c r="L62" t="e">
        <f t="shared" si="3"/>
        <v>#VALUE!</v>
      </c>
      <c r="O62">
        <f>COUNTIFS('TRADE LOG'!$C$14:$C$733,"&lt;"&amp;'Bank Transfers'!D62,'TRADE LOG'!$C$14:$C$733,"&gt;="&amp;'Bank Transfers'!D61)</f>
        <v>0</v>
      </c>
      <c r="P62">
        <f t="shared" si="4"/>
        <v>0</v>
      </c>
    </row>
    <row r="63" spans="3:16" ht="20.100000000000001" customHeight="1">
      <c r="C63">
        <f t="shared" si="2"/>
        <v>49</v>
      </c>
      <c r="D63" t="str">
        <f>IFERROR(INDEX(Datelog,SMALL('TRADE LOG'!$AD$15:$AD$9733,C63)),"")</f>
        <v/>
      </c>
      <c r="E63" t="str">
        <f t="shared" si="0"/>
        <v/>
      </c>
      <c r="F63" t="str">
        <f>IFERROR(INDEX('TRADE LOG'!$T$15:$T$733,SMALL('TRADE LOG'!$AD$15:$AD$733,C63)),"")</f>
        <v/>
      </c>
      <c r="H63" t="str">
        <f t="shared" si="1"/>
        <v/>
      </c>
      <c r="L63" t="e">
        <f t="shared" si="3"/>
        <v>#VALUE!</v>
      </c>
      <c r="O63">
        <f>COUNTIFS('TRADE LOG'!$C$14:$C$733,"&lt;"&amp;'Bank Transfers'!D63,'TRADE LOG'!$C$14:$C$733,"&gt;="&amp;'Bank Transfers'!D62)</f>
        <v>0</v>
      </c>
      <c r="P63">
        <f t="shared" si="4"/>
        <v>0</v>
      </c>
    </row>
    <row r="64" spans="3:16" ht="20.100000000000001" customHeight="1">
      <c r="C64">
        <f t="shared" si="2"/>
        <v>50</v>
      </c>
      <c r="D64" t="str">
        <f>IFERROR(INDEX(Datelog,SMALL('TRADE LOG'!$AD$15:$AD$9733,C64)),"")</f>
        <v/>
      </c>
      <c r="E64" t="str">
        <f t="shared" si="0"/>
        <v/>
      </c>
      <c r="F64" t="str">
        <f>IFERROR(INDEX('TRADE LOG'!$T$15:$T$733,SMALL('TRADE LOG'!$AD$15:$AD$733,C64)),"")</f>
        <v/>
      </c>
      <c r="H64" t="str">
        <f t="shared" si="1"/>
        <v/>
      </c>
      <c r="L64" t="e">
        <f t="shared" si="3"/>
        <v>#VALUE!</v>
      </c>
      <c r="O64">
        <f>COUNTIFS('TRADE LOG'!$C$14:$C$733,"&lt;"&amp;'Bank Transfers'!D64,'TRADE LOG'!$C$14:$C$733,"&gt;="&amp;'Bank Transfers'!D63)</f>
        <v>0</v>
      </c>
      <c r="P64">
        <f t="shared" si="4"/>
        <v>0</v>
      </c>
    </row>
    <row r="65" spans="3:16" ht="20.100000000000001" customHeight="1">
      <c r="C65">
        <f t="shared" si="2"/>
        <v>51</v>
      </c>
      <c r="D65" t="str">
        <f>IFERROR(INDEX(Datelog,SMALL('TRADE LOG'!$AD$15:$AD$9733,C65)),"")</f>
        <v/>
      </c>
      <c r="E65" t="str">
        <f t="shared" si="0"/>
        <v/>
      </c>
      <c r="F65" t="str">
        <f>IFERROR(INDEX('TRADE LOG'!$T$15:$T$733,SMALL('TRADE LOG'!$AD$15:$AD$733,C65)),"")</f>
        <v/>
      </c>
      <c r="H65" t="str">
        <f t="shared" si="1"/>
        <v/>
      </c>
      <c r="L65" t="e">
        <f t="shared" si="3"/>
        <v>#VALUE!</v>
      </c>
      <c r="O65">
        <f>COUNTIFS('TRADE LOG'!$C$14:$C$733,"&lt;"&amp;'Bank Transfers'!D65,'TRADE LOG'!$C$14:$C$733,"&gt;="&amp;'Bank Transfers'!D64)</f>
        <v>0</v>
      </c>
      <c r="P65">
        <f t="shared" si="4"/>
        <v>0</v>
      </c>
    </row>
    <row r="66" spans="3:16" ht="20.100000000000001" customHeight="1">
      <c r="C66">
        <f t="shared" si="2"/>
        <v>52</v>
      </c>
      <c r="D66" t="str">
        <f>IFERROR(INDEX(Datelog,SMALL('TRADE LOG'!$AD$15:$AD$9733,C66)),"")</f>
        <v/>
      </c>
      <c r="E66" t="str">
        <f t="shared" si="0"/>
        <v/>
      </c>
      <c r="F66" t="str">
        <f>IFERROR(INDEX('TRADE LOG'!$T$15:$T$733,SMALL('TRADE LOG'!$AD$15:$AD$733,C66)),"")</f>
        <v/>
      </c>
      <c r="H66" t="str">
        <f t="shared" si="1"/>
        <v/>
      </c>
      <c r="L66" t="e">
        <f t="shared" si="3"/>
        <v>#VALUE!</v>
      </c>
      <c r="O66">
        <f>COUNTIFS('TRADE LOG'!$C$14:$C$733,"&lt;"&amp;'Bank Transfers'!D66,'TRADE LOG'!$C$14:$C$733,"&gt;="&amp;'Bank Transfers'!D65)</f>
        <v>0</v>
      </c>
      <c r="P66">
        <f t="shared" si="4"/>
        <v>0</v>
      </c>
    </row>
    <row r="67" spans="3:16" ht="20.100000000000001" customHeight="1">
      <c r="C67">
        <f t="shared" si="2"/>
        <v>53</v>
      </c>
      <c r="D67" t="str">
        <f>IFERROR(INDEX(Datelog,SMALL('TRADE LOG'!$AD$15:$AD$9733,C67)),"")</f>
        <v/>
      </c>
      <c r="E67" t="str">
        <f t="shared" si="0"/>
        <v/>
      </c>
      <c r="F67" t="str">
        <f>IFERROR(INDEX('TRADE LOG'!$T$15:$T$733,SMALL('TRADE LOG'!$AD$15:$AD$733,C67)),"")</f>
        <v/>
      </c>
      <c r="H67" t="str">
        <f t="shared" si="1"/>
        <v/>
      </c>
      <c r="L67" t="e">
        <f t="shared" si="3"/>
        <v>#VALUE!</v>
      </c>
      <c r="O67">
        <f>COUNTIFS('TRADE LOG'!$C$14:$C$733,"&lt;"&amp;'Bank Transfers'!D67,'TRADE LOG'!$C$14:$C$733,"&gt;="&amp;'Bank Transfers'!D66)</f>
        <v>0</v>
      </c>
      <c r="P67">
        <f t="shared" si="4"/>
        <v>0</v>
      </c>
    </row>
    <row r="68" spans="3:16" ht="20.100000000000001" customHeight="1">
      <c r="C68">
        <f t="shared" si="2"/>
        <v>54</v>
      </c>
      <c r="D68" t="str">
        <f>IFERROR(INDEX(Datelog,SMALL('TRADE LOG'!$AD$15:$AD$9733,C68)),"")</f>
        <v/>
      </c>
      <c r="E68" t="str">
        <f t="shared" si="0"/>
        <v/>
      </c>
      <c r="F68" t="str">
        <f>IFERROR(INDEX('TRADE LOG'!$T$15:$T$733,SMALL('TRADE LOG'!$AD$15:$AD$733,C68)),"")</f>
        <v/>
      </c>
      <c r="H68" t="str">
        <f t="shared" si="1"/>
        <v/>
      </c>
      <c r="L68" t="e">
        <f t="shared" si="3"/>
        <v>#VALUE!</v>
      </c>
      <c r="O68">
        <f>COUNTIFS('TRADE LOG'!$C$14:$C$733,"&lt;"&amp;'Bank Transfers'!D68,'TRADE LOG'!$C$14:$C$733,"&gt;="&amp;'Bank Transfers'!D67)</f>
        <v>0</v>
      </c>
      <c r="P68">
        <f t="shared" si="4"/>
        <v>0</v>
      </c>
    </row>
    <row r="69" spans="3:16" ht="20.100000000000001" customHeight="1">
      <c r="C69">
        <f t="shared" si="2"/>
        <v>55</v>
      </c>
      <c r="D69" t="str">
        <f>IFERROR(INDEX(Datelog,SMALL('TRADE LOG'!$AD$15:$AD$9733,C69)),"")</f>
        <v/>
      </c>
      <c r="E69" t="str">
        <f t="shared" si="0"/>
        <v/>
      </c>
      <c r="F69" t="str">
        <f>IFERROR(INDEX('TRADE LOG'!$T$15:$T$733,SMALL('TRADE LOG'!$AD$15:$AD$733,C69)),"")</f>
        <v/>
      </c>
      <c r="H69" t="str">
        <f t="shared" si="1"/>
        <v/>
      </c>
      <c r="L69" t="e">
        <f t="shared" si="3"/>
        <v>#VALUE!</v>
      </c>
      <c r="O69">
        <f>COUNTIFS('TRADE LOG'!$C$14:$C$733,"&lt;"&amp;'Bank Transfers'!D69,'TRADE LOG'!$C$14:$C$733,"&gt;="&amp;'Bank Transfers'!D68)</f>
        <v>0</v>
      </c>
      <c r="P69">
        <f t="shared" si="4"/>
        <v>0</v>
      </c>
    </row>
    <row r="70" spans="3:16" ht="20.100000000000001" customHeight="1">
      <c r="C70">
        <f t="shared" si="2"/>
        <v>56</v>
      </c>
      <c r="D70" t="str">
        <f>IFERROR(INDEX(Datelog,SMALL('TRADE LOG'!$AD$15:$AD$9733,C70)),"")</f>
        <v/>
      </c>
      <c r="E70" t="str">
        <f t="shared" si="0"/>
        <v/>
      </c>
      <c r="F70" t="str">
        <f>IFERROR(INDEX('TRADE LOG'!$T$15:$T$733,SMALL('TRADE LOG'!$AD$15:$AD$733,C70)),"")</f>
        <v/>
      </c>
      <c r="H70" t="str">
        <f t="shared" si="1"/>
        <v/>
      </c>
      <c r="L70" t="e">
        <f t="shared" si="3"/>
        <v>#VALUE!</v>
      </c>
      <c r="O70">
        <f>COUNTIFS('TRADE LOG'!$C$14:$C$733,"&lt;"&amp;'Bank Transfers'!D70,'TRADE LOG'!$C$14:$C$733,"&gt;="&amp;'Bank Transfers'!D69)</f>
        <v>0</v>
      </c>
      <c r="P70">
        <f t="shared" si="4"/>
        <v>0</v>
      </c>
    </row>
    <row r="71" spans="3:16" ht="20.100000000000001" customHeight="1">
      <c r="C71">
        <f t="shared" si="2"/>
        <v>57</v>
      </c>
      <c r="D71" t="str">
        <f>IFERROR(INDEX(Datelog,SMALL('TRADE LOG'!$AD$15:$AD$9733,C71)),"")</f>
        <v/>
      </c>
      <c r="E71" t="str">
        <f t="shared" si="0"/>
        <v/>
      </c>
      <c r="F71" t="str">
        <f>IFERROR(INDEX('TRADE LOG'!$T$15:$T$733,SMALL('TRADE LOG'!$AD$15:$AD$733,C71)),"")</f>
        <v/>
      </c>
      <c r="H71" t="str">
        <f t="shared" si="1"/>
        <v/>
      </c>
      <c r="L71" t="e">
        <f t="shared" si="3"/>
        <v>#VALUE!</v>
      </c>
      <c r="O71">
        <f>COUNTIFS('TRADE LOG'!$C$14:$C$733,"&lt;"&amp;'Bank Transfers'!D71,'TRADE LOG'!$C$14:$C$733,"&gt;="&amp;'Bank Transfers'!D70)</f>
        <v>0</v>
      </c>
      <c r="P71">
        <f t="shared" si="4"/>
        <v>0</v>
      </c>
    </row>
    <row r="72" spans="3:16" ht="20.100000000000001" customHeight="1">
      <c r="C72">
        <f t="shared" si="2"/>
        <v>58</v>
      </c>
      <c r="D72" t="str">
        <f>IFERROR(INDEX(Datelog,SMALL('TRADE LOG'!$AD$15:$AD$9733,C72)),"")</f>
        <v/>
      </c>
      <c r="E72" t="str">
        <f t="shared" si="0"/>
        <v/>
      </c>
      <c r="F72" t="str">
        <f>IFERROR(INDEX('TRADE LOG'!$T$15:$T$733,SMALL('TRADE LOG'!$AD$15:$AD$733,C72)),"")</f>
        <v/>
      </c>
      <c r="H72" t="str">
        <f t="shared" si="1"/>
        <v/>
      </c>
      <c r="L72" t="e">
        <f t="shared" si="3"/>
        <v>#VALUE!</v>
      </c>
      <c r="O72">
        <f>COUNTIFS('TRADE LOG'!$C$14:$C$733,"&lt;"&amp;'Bank Transfers'!D72,'TRADE LOG'!$C$14:$C$733,"&gt;="&amp;'Bank Transfers'!D71)</f>
        <v>0</v>
      </c>
      <c r="P72">
        <f t="shared" si="4"/>
        <v>0</v>
      </c>
    </row>
    <row r="73" spans="3:16" ht="20.100000000000001" customHeight="1">
      <c r="C73">
        <f t="shared" si="2"/>
        <v>59</v>
      </c>
      <c r="D73" t="str">
        <f>IFERROR(INDEX(Datelog,SMALL('TRADE LOG'!$AD$15:$AD$9733,C73)),"")</f>
        <v/>
      </c>
      <c r="E73" t="str">
        <f t="shared" si="0"/>
        <v/>
      </c>
      <c r="F73" t="str">
        <f>IFERROR(INDEX('TRADE LOG'!$T$15:$T$733,SMALL('TRADE LOG'!$AD$15:$AD$733,C73)),"")</f>
        <v/>
      </c>
      <c r="H73" t="str">
        <f t="shared" si="1"/>
        <v/>
      </c>
      <c r="L73" t="e">
        <f t="shared" si="3"/>
        <v>#VALUE!</v>
      </c>
      <c r="O73">
        <f>COUNTIFS('TRADE LOG'!$C$14:$C$733,"&lt;"&amp;'Bank Transfers'!D73,'TRADE LOG'!$C$14:$C$733,"&gt;="&amp;'Bank Transfers'!D72)</f>
        <v>0</v>
      </c>
      <c r="P73">
        <f t="shared" si="4"/>
        <v>0</v>
      </c>
    </row>
    <row r="74" spans="3:16" ht="20.100000000000001" customHeight="1">
      <c r="C74">
        <f t="shared" si="2"/>
        <v>60</v>
      </c>
      <c r="D74" t="str">
        <f>IFERROR(INDEX(Datelog,SMALL('TRADE LOG'!$AD$15:$AD$9733,C74)),"")</f>
        <v/>
      </c>
      <c r="E74" t="str">
        <f t="shared" si="0"/>
        <v/>
      </c>
      <c r="F74" t="str">
        <f>IFERROR(INDEX('TRADE LOG'!$T$15:$T$733,SMALL('TRADE LOG'!$AD$15:$AD$733,C74)),"")</f>
        <v/>
      </c>
      <c r="H74" t="str">
        <f t="shared" si="1"/>
        <v/>
      </c>
      <c r="L74" t="e">
        <f t="shared" si="3"/>
        <v>#VALUE!</v>
      </c>
      <c r="O74">
        <f>COUNTIFS('TRADE LOG'!$C$14:$C$733,"&lt;"&amp;'Bank Transfers'!D74,'TRADE LOG'!$C$14:$C$733,"&gt;="&amp;'Bank Transfers'!D73)</f>
        <v>0</v>
      </c>
      <c r="P74">
        <f t="shared" si="4"/>
        <v>0</v>
      </c>
    </row>
    <row r="75" spans="3:16" ht="20.100000000000001" customHeight="1">
      <c r="C75">
        <f t="shared" si="2"/>
        <v>61</v>
      </c>
      <c r="D75" t="str">
        <f>IFERROR(INDEX(Datelog,SMALL('TRADE LOG'!$AD$15:$AD$9733,C75)),"")</f>
        <v/>
      </c>
      <c r="E75" t="str">
        <f t="shared" si="0"/>
        <v/>
      </c>
      <c r="F75" t="str">
        <f>IFERROR(INDEX('TRADE LOG'!$T$15:$T$733,SMALL('TRADE LOG'!$AD$15:$AD$733,C75)),"")</f>
        <v/>
      </c>
      <c r="H75" t="str">
        <f t="shared" si="1"/>
        <v/>
      </c>
      <c r="L75" t="e">
        <f t="shared" si="3"/>
        <v>#VALUE!</v>
      </c>
      <c r="O75">
        <f>COUNTIFS('TRADE LOG'!$C$14:$C$733,"&lt;"&amp;'Bank Transfers'!D75,'TRADE LOG'!$C$14:$C$733,"&gt;="&amp;'Bank Transfers'!D74)</f>
        <v>0</v>
      </c>
      <c r="P75">
        <f t="shared" si="4"/>
        <v>0</v>
      </c>
    </row>
    <row r="76" spans="3:16" ht="20.100000000000001" customHeight="1">
      <c r="C76">
        <f t="shared" si="2"/>
        <v>62</v>
      </c>
      <c r="D76" t="str">
        <f>IFERROR(INDEX(Datelog,SMALL('TRADE LOG'!$AD$15:$AD$9733,C76)),"")</f>
        <v/>
      </c>
      <c r="E76" t="str">
        <f t="shared" si="0"/>
        <v/>
      </c>
      <c r="F76" t="str">
        <f>IFERROR(INDEX('TRADE LOG'!$T$15:$T$733,SMALL('TRADE LOG'!$AD$15:$AD$733,C76)),"")</f>
        <v/>
      </c>
      <c r="H76" t="str">
        <f t="shared" si="1"/>
        <v/>
      </c>
      <c r="L76" t="e">
        <f t="shared" si="3"/>
        <v>#VALUE!</v>
      </c>
      <c r="O76">
        <f>COUNTIFS('TRADE LOG'!$C$14:$C$733,"&lt;"&amp;'Bank Transfers'!D76,'TRADE LOG'!$C$14:$C$733,"&gt;="&amp;'Bank Transfers'!D75)</f>
        <v>0</v>
      </c>
      <c r="P76">
        <f t="shared" si="4"/>
        <v>0</v>
      </c>
    </row>
    <row r="77" spans="3:16" ht="20.100000000000001" customHeight="1">
      <c r="C77">
        <f t="shared" si="2"/>
        <v>63</v>
      </c>
      <c r="D77" t="str">
        <f>IFERROR(INDEX(Datelog,SMALL('TRADE LOG'!$AD$15:$AD$9733,C77)),"")</f>
        <v/>
      </c>
      <c r="E77" t="str">
        <f t="shared" si="0"/>
        <v/>
      </c>
      <c r="F77" t="str">
        <f>IFERROR(INDEX('TRADE LOG'!$T$15:$T$733,SMALL('TRADE LOG'!$AD$15:$AD$733,C77)),"")</f>
        <v/>
      </c>
      <c r="H77" t="str">
        <f t="shared" si="1"/>
        <v/>
      </c>
      <c r="L77" t="e">
        <f t="shared" si="3"/>
        <v>#VALUE!</v>
      </c>
      <c r="O77">
        <f>COUNTIFS('TRADE LOG'!$C$14:$C$733,"&lt;"&amp;'Bank Transfers'!D77,'TRADE LOG'!$C$14:$C$733,"&gt;="&amp;'Bank Transfers'!D76)</f>
        <v>0</v>
      </c>
      <c r="P77">
        <f t="shared" si="4"/>
        <v>0</v>
      </c>
    </row>
    <row r="78" spans="3:16" ht="20.100000000000001" customHeight="1">
      <c r="C78">
        <f t="shared" si="2"/>
        <v>64</v>
      </c>
      <c r="D78" t="str">
        <f>IFERROR(INDEX(Datelog,SMALL('TRADE LOG'!$AD$15:$AD$9733,C78)),"")</f>
        <v/>
      </c>
      <c r="E78" t="str">
        <f t="shared" si="0"/>
        <v/>
      </c>
      <c r="F78" t="str">
        <f>IFERROR(INDEX('TRADE LOG'!$T$15:$T$733,SMALL('TRADE LOG'!$AD$15:$AD$733,C78)),"")</f>
        <v/>
      </c>
      <c r="H78" t="str">
        <f t="shared" si="1"/>
        <v/>
      </c>
      <c r="L78" t="e">
        <f t="shared" si="3"/>
        <v>#VALUE!</v>
      </c>
      <c r="O78">
        <f>COUNTIFS('TRADE LOG'!$C$14:$C$733,"&lt;"&amp;'Bank Transfers'!D78,'TRADE LOG'!$C$14:$C$733,"&gt;="&amp;'Bank Transfers'!D77)</f>
        <v>0</v>
      </c>
      <c r="P78">
        <f t="shared" si="4"/>
        <v>0</v>
      </c>
    </row>
    <row r="79" spans="3:16" ht="20.100000000000001" customHeight="1">
      <c r="C79">
        <f t="shared" si="2"/>
        <v>65</v>
      </c>
      <c r="D79" t="str">
        <f>IFERROR(INDEX(Datelog,SMALL('TRADE LOG'!$AD$15:$AD$9733,C79)),"")</f>
        <v/>
      </c>
      <c r="E79" t="str">
        <f t="shared" ref="E79:E114" si="5">IF(F79="","",IF(F79&gt;0,"Deposit","Withdraw"))</f>
        <v/>
      </c>
      <c r="F79" t="str">
        <f>IFERROR(INDEX('TRADE LOG'!$T$15:$T$733,SMALL('TRADE LOG'!$AD$15:$AD$733,C79)),"")</f>
        <v/>
      </c>
      <c r="H79" t="str">
        <f t="shared" si="1"/>
        <v/>
      </c>
      <c r="L79" t="e">
        <f t="shared" si="3"/>
        <v>#VALUE!</v>
      </c>
      <c r="O79">
        <f>COUNTIFS('TRADE LOG'!$C$14:$C$733,"&lt;"&amp;'Bank Transfers'!D79,'TRADE LOG'!$C$14:$C$733,"&gt;="&amp;'Bank Transfers'!D78)</f>
        <v>0</v>
      </c>
      <c r="P79">
        <f t="shared" si="4"/>
        <v>0</v>
      </c>
    </row>
    <row r="80" spans="3:16" ht="20.100000000000001" customHeight="1">
      <c r="C80">
        <f t="shared" si="2"/>
        <v>66</v>
      </c>
      <c r="D80" t="str">
        <f>IFERROR(INDEX(Datelog,SMALL('TRADE LOG'!$AD$15:$AD$9733,C80)),"")</f>
        <v/>
      </c>
      <c r="E80" t="str">
        <f t="shared" si="5"/>
        <v/>
      </c>
      <c r="F80" t="str">
        <f>IFERROR(INDEX('TRADE LOG'!$T$15:$T$733,SMALL('TRADE LOG'!$AD$15:$AD$733,C80)),"")</f>
        <v/>
      </c>
      <c r="H80" t="str">
        <f t="shared" ref="H80:H114" si="6">F80</f>
        <v/>
      </c>
      <c r="L80" t="e">
        <f t="shared" si="3"/>
        <v>#VALUE!</v>
      </c>
      <c r="O80">
        <f>COUNTIFS('TRADE LOG'!$C$14:$C$733,"&lt;"&amp;'Bank Transfers'!D80,'TRADE LOG'!$C$14:$C$733,"&gt;="&amp;'Bank Transfers'!D79)</f>
        <v>0</v>
      </c>
      <c r="P80">
        <f t="shared" si="4"/>
        <v>0</v>
      </c>
    </row>
    <row r="81" spans="3:16" ht="20.100000000000001" customHeight="1">
      <c r="C81">
        <f t="shared" ref="C81:C114" si="7">C80+1</f>
        <v>67</v>
      </c>
      <c r="D81" t="str">
        <f>IFERROR(INDEX(Datelog,SMALL('TRADE LOG'!$AD$15:$AD$9733,C81)),"")</f>
        <v/>
      </c>
      <c r="E81" t="str">
        <f t="shared" si="5"/>
        <v/>
      </c>
      <c r="F81" t="str">
        <f>IFERROR(INDEX('TRADE LOG'!$T$15:$T$733,SMALL('TRADE LOG'!$AD$15:$AD$733,C81)),"")</f>
        <v/>
      </c>
      <c r="H81" t="str">
        <f t="shared" si="6"/>
        <v/>
      </c>
      <c r="L81" t="e">
        <f t="shared" ref="L81:L114" si="8">DATE(YEAR(D81),MONTH(D81),DAY(1))</f>
        <v>#VALUE!</v>
      </c>
      <c r="O81">
        <f>COUNTIFS('TRADE LOG'!$C$14:$C$733,"&lt;"&amp;'Bank Transfers'!D81,'TRADE LOG'!$C$14:$C$733,"&gt;="&amp;'Bank Transfers'!D80)</f>
        <v>0</v>
      </c>
      <c r="P81">
        <f t="shared" si="4"/>
        <v>0</v>
      </c>
    </row>
    <row r="82" spans="3:16" ht="20.100000000000001" customHeight="1">
      <c r="C82">
        <f t="shared" si="7"/>
        <v>68</v>
      </c>
      <c r="D82" t="str">
        <f>IFERROR(INDEX(Datelog,SMALL('TRADE LOG'!$AD$15:$AD$9733,C82)),"")</f>
        <v/>
      </c>
      <c r="E82" t="str">
        <f t="shared" si="5"/>
        <v/>
      </c>
      <c r="F82" t="str">
        <f>IFERROR(INDEX('TRADE LOG'!$T$15:$T$733,SMALL('TRADE LOG'!$AD$15:$AD$733,C82)),"")</f>
        <v/>
      </c>
      <c r="H82" t="str">
        <f t="shared" si="6"/>
        <v/>
      </c>
      <c r="L82" t="e">
        <f t="shared" si="8"/>
        <v>#VALUE!</v>
      </c>
      <c r="O82">
        <f>COUNTIFS('TRADE LOG'!$C$14:$C$733,"&lt;"&amp;'Bank Transfers'!D82,'TRADE LOG'!$C$14:$C$733,"&gt;="&amp;'Bank Transfers'!D81)</f>
        <v>0</v>
      </c>
      <c r="P82">
        <f t="shared" si="4"/>
        <v>0</v>
      </c>
    </row>
    <row r="83" spans="3:16" ht="20.100000000000001" customHeight="1">
      <c r="C83">
        <f t="shared" si="7"/>
        <v>69</v>
      </c>
      <c r="D83" t="str">
        <f>IFERROR(INDEX(Datelog,SMALL('TRADE LOG'!$AD$15:$AD$9733,C83)),"")</f>
        <v/>
      </c>
      <c r="E83" t="str">
        <f t="shared" si="5"/>
        <v/>
      </c>
      <c r="F83" t="str">
        <f>IFERROR(INDEX('TRADE LOG'!$T$15:$T$733,SMALL('TRADE LOG'!$AD$15:$AD$733,C83)),"")</f>
        <v/>
      </c>
      <c r="H83" t="str">
        <f t="shared" si="6"/>
        <v/>
      </c>
      <c r="L83" t="e">
        <f t="shared" si="8"/>
        <v>#VALUE!</v>
      </c>
      <c r="O83">
        <f>COUNTIFS('TRADE LOG'!$C$14:$C$733,"&lt;"&amp;'Bank Transfers'!D83,'TRADE LOG'!$C$14:$C$733,"&gt;="&amp;'Bank Transfers'!D82)</f>
        <v>0</v>
      </c>
      <c r="P83">
        <f t="shared" si="4"/>
        <v>0</v>
      </c>
    </row>
    <row r="84" spans="3:16" ht="20.100000000000001" customHeight="1">
      <c r="C84">
        <f t="shared" si="7"/>
        <v>70</v>
      </c>
      <c r="D84" t="str">
        <f>IFERROR(INDEX(Datelog,SMALL('TRADE LOG'!$AD$15:$AD$9733,C84)),"")</f>
        <v/>
      </c>
      <c r="E84" t="str">
        <f t="shared" si="5"/>
        <v/>
      </c>
      <c r="F84" t="str">
        <f>IFERROR(INDEX('TRADE LOG'!$T$15:$T$733,SMALL('TRADE LOG'!$AD$15:$AD$733,C84)),"")</f>
        <v/>
      </c>
      <c r="H84" t="str">
        <f t="shared" si="6"/>
        <v/>
      </c>
      <c r="L84" t="e">
        <f t="shared" si="8"/>
        <v>#VALUE!</v>
      </c>
      <c r="O84">
        <f>COUNTIFS('TRADE LOG'!$C$14:$C$733,"&lt;"&amp;'Bank Transfers'!D84,'TRADE LOG'!$C$14:$C$733,"&gt;="&amp;'Bank Transfers'!D83)</f>
        <v>0</v>
      </c>
      <c r="P84">
        <f t="shared" ref="P84:P114" si="9">O84+P83</f>
        <v>0</v>
      </c>
    </row>
    <row r="85" spans="3:16" ht="20.100000000000001" customHeight="1">
      <c r="C85">
        <f t="shared" si="7"/>
        <v>71</v>
      </c>
      <c r="D85" t="str">
        <f>IFERROR(INDEX(Datelog,SMALL('TRADE LOG'!$AD$15:$AD$9733,C85)),"")</f>
        <v/>
      </c>
      <c r="E85" t="str">
        <f t="shared" si="5"/>
        <v/>
      </c>
      <c r="F85" t="str">
        <f>IFERROR(INDEX('TRADE LOG'!$T$15:$T$733,SMALL('TRADE LOG'!$AD$15:$AD$733,C85)),"")</f>
        <v/>
      </c>
      <c r="H85" t="str">
        <f t="shared" si="6"/>
        <v/>
      </c>
      <c r="L85" t="e">
        <f t="shared" si="8"/>
        <v>#VALUE!</v>
      </c>
      <c r="O85">
        <f>COUNTIFS('TRADE LOG'!$C$14:$C$733,"&lt;"&amp;'Bank Transfers'!D85,'TRADE LOG'!$C$14:$C$733,"&gt;="&amp;'Bank Transfers'!D84)</f>
        <v>0</v>
      </c>
      <c r="P85">
        <f t="shared" si="9"/>
        <v>0</v>
      </c>
    </row>
    <row r="86" spans="3:16" ht="20.100000000000001" customHeight="1">
      <c r="C86">
        <f t="shared" si="7"/>
        <v>72</v>
      </c>
      <c r="D86" t="str">
        <f>IFERROR(INDEX(Datelog,SMALL('TRADE LOG'!$AD$15:$AD$9733,C86)),"")</f>
        <v/>
      </c>
      <c r="E86" t="str">
        <f t="shared" si="5"/>
        <v/>
      </c>
      <c r="F86" t="str">
        <f>IFERROR(INDEX('TRADE LOG'!$T$15:$T$733,SMALL('TRADE LOG'!$AD$15:$AD$733,C86)),"")</f>
        <v/>
      </c>
      <c r="H86" t="str">
        <f t="shared" si="6"/>
        <v/>
      </c>
      <c r="L86" t="e">
        <f t="shared" si="8"/>
        <v>#VALUE!</v>
      </c>
      <c r="O86">
        <f>COUNTIFS('TRADE LOG'!$C$14:$C$733,"&lt;"&amp;'Bank Transfers'!D86,'TRADE LOG'!$C$14:$C$733,"&gt;="&amp;'Bank Transfers'!D85)</f>
        <v>0</v>
      </c>
      <c r="P86">
        <f t="shared" si="9"/>
        <v>0</v>
      </c>
    </row>
    <row r="87" spans="3:16" ht="20.100000000000001" customHeight="1">
      <c r="C87">
        <f t="shared" si="7"/>
        <v>73</v>
      </c>
      <c r="D87" t="str">
        <f>IFERROR(INDEX(Datelog,SMALL('TRADE LOG'!$AD$15:$AD$9733,C87)),"")</f>
        <v/>
      </c>
      <c r="E87" t="str">
        <f t="shared" si="5"/>
        <v/>
      </c>
      <c r="F87" t="str">
        <f>IFERROR(INDEX('TRADE LOG'!$T$15:$T$733,SMALL('TRADE LOG'!$AD$15:$AD$733,C87)),"")</f>
        <v/>
      </c>
      <c r="H87" t="str">
        <f t="shared" si="6"/>
        <v/>
      </c>
      <c r="L87" t="e">
        <f t="shared" si="8"/>
        <v>#VALUE!</v>
      </c>
      <c r="O87">
        <f>COUNTIFS('TRADE LOG'!$C$14:$C$733,"&lt;"&amp;'Bank Transfers'!D87,'TRADE LOG'!$C$14:$C$733,"&gt;="&amp;'Bank Transfers'!D86)</f>
        <v>0</v>
      </c>
      <c r="P87">
        <f t="shared" si="9"/>
        <v>0</v>
      </c>
    </row>
    <row r="88" spans="3:16" ht="20.100000000000001" customHeight="1">
      <c r="C88">
        <f t="shared" si="7"/>
        <v>74</v>
      </c>
      <c r="D88" t="str">
        <f>IFERROR(INDEX(Datelog,SMALL('TRADE LOG'!$AD$15:$AD$9733,C88)),"")</f>
        <v/>
      </c>
      <c r="E88" t="str">
        <f t="shared" si="5"/>
        <v/>
      </c>
      <c r="F88" t="str">
        <f>IFERROR(INDEX('TRADE LOG'!$T$15:$T$733,SMALL('TRADE LOG'!$AD$15:$AD$733,C88)),"")</f>
        <v/>
      </c>
      <c r="H88" t="str">
        <f t="shared" si="6"/>
        <v/>
      </c>
      <c r="L88" t="e">
        <f t="shared" si="8"/>
        <v>#VALUE!</v>
      </c>
      <c r="O88">
        <f>COUNTIFS('TRADE LOG'!$C$14:$C$733,"&lt;"&amp;'Bank Transfers'!D88,'TRADE LOG'!$C$14:$C$733,"&gt;="&amp;'Bank Transfers'!D87)</f>
        <v>0</v>
      </c>
      <c r="P88">
        <f t="shared" si="9"/>
        <v>0</v>
      </c>
    </row>
    <row r="89" spans="3:16" ht="20.100000000000001" customHeight="1">
      <c r="C89">
        <f t="shared" si="7"/>
        <v>75</v>
      </c>
      <c r="D89" t="str">
        <f>IFERROR(INDEX(Datelog,SMALL('TRADE LOG'!$AD$15:$AD$9733,C89)),"")</f>
        <v/>
      </c>
      <c r="E89" t="str">
        <f t="shared" si="5"/>
        <v/>
      </c>
      <c r="F89" t="str">
        <f>IFERROR(INDEX('TRADE LOG'!$T$15:$T$733,SMALL('TRADE LOG'!$AD$15:$AD$733,C89)),"")</f>
        <v/>
      </c>
      <c r="H89" t="str">
        <f t="shared" si="6"/>
        <v/>
      </c>
      <c r="L89" t="e">
        <f t="shared" si="8"/>
        <v>#VALUE!</v>
      </c>
      <c r="O89">
        <f>COUNTIFS('TRADE LOG'!$C$14:$C$733,"&lt;"&amp;'Bank Transfers'!D89,'TRADE LOG'!$C$14:$C$733,"&gt;="&amp;'Bank Transfers'!D88)</f>
        <v>0</v>
      </c>
      <c r="P89">
        <f t="shared" si="9"/>
        <v>0</v>
      </c>
    </row>
    <row r="90" spans="3:16" ht="20.100000000000001" customHeight="1">
      <c r="C90">
        <f t="shared" si="7"/>
        <v>76</v>
      </c>
      <c r="D90" t="str">
        <f>IFERROR(INDEX(Datelog,SMALL('TRADE LOG'!$AD$15:$AD$9733,C90)),"")</f>
        <v/>
      </c>
      <c r="E90" t="str">
        <f t="shared" si="5"/>
        <v/>
      </c>
      <c r="F90" t="str">
        <f>IFERROR(INDEX('TRADE LOG'!$T$15:$T$733,SMALL('TRADE LOG'!$AD$15:$AD$733,C90)),"")</f>
        <v/>
      </c>
      <c r="H90" t="str">
        <f t="shared" si="6"/>
        <v/>
      </c>
      <c r="L90" t="e">
        <f t="shared" si="8"/>
        <v>#VALUE!</v>
      </c>
      <c r="O90">
        <f>COUNTIFS('TRADE LOG'!$C$14:$C$733,"&lt;"&amp;'Bank Transfers'!D90,'TRADE LOG'!$C$14:$C$733,"&gt;="&amp;'Bank Transfers'!D89)</f>
        <v>0</v>
      </c>
      <c r="P90">
        <f t="shared" si="9"/>
        <v>0</v>
      </c>
    </row>
    <row r="91" spans="3:16" ht="20.100000000000001" customHeight="1">
      <c r="C91">
        <f t="shared" si="7"/>
        <v>77</v>
      </c>
      <c r="D91" t="str">
        <f>IFERROR(INDEX(Datelog,SMALL('TRADE LOG'!$AD$15:$AD$9733,C91)),"")</f>
        <v/>
      </c>
      <c r="E91" t="str">
        <f t="shared" si="5"/>
        <v/>
      </c>
      <c r="F91" t="str">
        <f>IFERROR(INDEX('TRADE LOG'!$T$15:$T$733,SMALL('TRADE LOG'!$AD$15:$AD$733,C91)),"")</f>
        <v/>
      </c>
      <c r="H91" t="str">
        <f t="shared" si="6"/>
        <v/>
      </c>
      <c r="L91" t="e">
        <f t="shared" si="8"/>
        <v>#VALUE!</v>
      </c>
      <c r="O91">
        <f>COUNTIFS('TRADE LOG'!$C$14:$C$733,"&lt;"&amp;'Bank Transfers'!D91,'TRADE LOG'!$C$14:$C$733,"&gt;="&amp;'Bank Transfers'!D90)</f>
        <v>0</v>
      </c>
      <c r="P91">
        <f t="shared" si="9"/>
        <v>0</v>
      </c>
    </row>
    <row r="92" spans="3:16" ht="20.100000000000001" customHeight="1">
      <c r="C92">
        <f t="shared" si="7"/>
        <v>78</v>
      </c>
      <c r="D92" t="str">
        <f>IFERROR(INDEX(Datelog,SMALL('TRADE LOG'!$AD$15:$AD$9733,C92)),"")</f>
        <v/>
      </c>
      <c r="E92" t="str">
        <f t="shared" si="5"/>
        <v/>
      </c>
      <c r="F92" t="str">
        <f>IFERROR(INDEX('TRADE LOG'!$T$15:$T$733,SMALL('TRADE LOG'!$AD$15:$AD$733,C92)),"")</f>
        <v/>
      </c>
      <c r="H92" t="str">
        <f t="shared" si="6"/>
        <v/>
      </c>
      <c r="L92" t="e">
        <f t="shared" si="8"/>
        <v>#VALUE!</v>
      </c>
      <c r="O92">
        <f>COUNTIFS('TRADE LOG'!$C$14:$C$733,"&lt;"&amp;'Bank Transfers'!D92,'TRADE LOG'!$C$14:$C$733,"&gt;="&amp;'Bank Transfers'!D91)</f>
        <v>0</v>
      </c>
      <c r="P92">
        <f t="shared" si="9"/>
        <v>0</v>
      </c>
    </row>
    <row r="93" spans="3:16" ht="20.100000000000001" customHeight="1">
      <c r="C93">
        <f t="shared" si="7"/>
        <v>79</v>
      </c>
      <c r="D93" t="str">
        <f>IFERROR(INDEX(Datelog,SMALL('TRADE LOG'!$AD$15:$AD$9733,C93)),"")</f>
        <v/>
      </c>
      <c r="E93" t="str">
        <f t="shared" si="5"/>
        <v/>
      </c>
      <c r="F93" t="str">
        <f>IFERROR(INDEX('TRADE LOG'!$T$15:$T$733,SMALL('TRADE LOG'!$AD$15:$AD$733,C93)),"")</f>
        <v/>
      </c>
      <c r="H93" t="str">
        <f t="shared" si="6"/>
        <v/>
      </c>
      <c r="L93" t="e">
        <f t="shared" si="8"/>
        <v>#VALUE!</v>
      </c>
      <c r="O93">
        <f>COUNTIFS('TRADE LOG'!$C$14:$C$733,"&lt;"&amp;'Bank Transfers'!D93,'TRADE LOG'!$C$14:$C$733,"&gt;="&amp;'Bank Transfers'!D92)</f>
        <v>0</v>
      </c>
      <c r="P93">
        <f t="shared" si="9"/>
        <v>0</v>
      </c>
    </row>
    <row r="94" spans="3:16" ht="20.100000000000001" customHeight="1">
      <c r="C94">
        <f t="shared" si="7"/>
        <v>80</v>
      </c>
      <c r="D94" t="str">
        <f>IFERROR(INDEX(Datelog,SMALL('TRADE LOG'!$AD$15:$AD$9733,C94)),"")</f>
        <v/>
      </c>
      <c r="E94" t="str">
        <f t="shared" si="5"/>
        <v/>
      </c>
      <c r="F94" t="str">
        <f>IFERROR(INDEX('TRADE LOG'!$T$15:$T$733,SMALL('TRADE LOG'!$AD$15:$AD$733,C94)),"")</f>
        <v/>
      </c>
      <c r="H94" t="str">
        <f t="shared" si="6"/>
        <v/>
      </c>
      <c r="L94" t="e">
        <f t="shared" si="8"/>
        <v>#VALUE!</v>
      </c>
      <c r="O94">
        <f>COUNTIFS('TRADE LOG'!$C$14:$C$733,"&lt;"&amp;'Bank Transfers'!D94,'TRADE LOG'!$C$14:$C$733,"&gt;="&amp;'Bank Transfers'!D93)</f>
        <v>0</v>
      </c>
      <c r="P94">
        <f t="shared" si="9"/>
        <v>0</v>
      </c>
    </row>
    <row r="95" spans="3:16" ht="20.100000000000001" customHeight="1">
      <c r="C95">
        <f t="shared" si="7"/>
        <v>81</v>
      </c>
      <c r="D95" t="str">
        <f>IFERROR(INDEX(Datelog,SMALL('TRADE LOG'!$AD$15:$AD$9733,C95)),"")</f>
        <v/>
      </c>
      <c r="E95" t="str">
        <f t="shared" si="5"/>
        <v/>
      </c>
      <c r="F95" t="str">
        <f>IFERROR(INDEX('TRADE LOG'!$T$15:$T$733,SMALL('TRADE LOG'!$AD$15:$AD$733,C95)),"")</f>
        <v/>
      </c>
      <c r="H95" t="str">
        <f t="shared" si="6"/>
        <v/>
      </c>
      <c r="L95" t="e">
        <f t="shared" si="8"/>
        <v>#VALUE!</v>
      </c>
      <c r="O95">
        <f>COUNTIFS('TRADE LOG'!$C$14:$C$733,"&lt;"&amp;'Bank Transfers'!D95,'TRADE LOG'!$C$14:$C$733,"&gt;="&amp;'Bank Transfers'!D94)</f>
        <v>0</v>
      </c>
      <c r="P95">
        <f t="shared" si="9"/>
        <v>0</v>
      </c>
    </row>
    <row r="96" spans="3:16" ht="20.100000000000001" customHeight="1">
      <c r="C96">
        <f t="shared" si="7"/>
        <v>82</v>
      </c>
      <c r="D96" t="str">
        <f>IFERROR(INDEX(Datelog,SMALL('TRADE LOG'!$AD$15:$AD$9733,C96)),"")</f>
        <v/>
      </c>
      <c r="E96" t="str">
        <f t="shared" si="5"/>
        <v/>
      </c>
      <c r="F96" t="str">
        <f>IFERROR(INDEX('TRADE LOG'!$T$15:$T$733,SMALL('TRADE LOG'!$AD$15:$AD$733,C96)),"")</f>
        <v/>
      </c>
      <c r="H96" t="str">
        <f t="shared" si="6"/>
        <v/>
      </c>
      <c r="L96" t="e">
        <f t="shared" si="8"/>
        <v>#VALUE!</v>
      </c>
      <c r="O96">
        <f>COUNTIFS('TRADE LOG'!$C$14:$C$733,"&lt;"&amp;'Bank Transfers'!D96,'TRADE LOG'!$C$14:$C$733,"&gt;="&amp;'Bank Transfers'!D95)</f>
        <v>0</v>
      </c>
      <c r="P96">
        <f t="shared" si="9"/>
        <v>0</v>
      </c>
    </row>
    <row r="97" spans="3:16" ht="20.100000000000001" customHeight="1">
      <c r="C97">
        <f t="shared" si="7"/>
        <v>83</v>
      </c>
      <c r="D97" t="str">
        <f>IFERROR(INDEX(Datelog,SMALL('TRADE LOG'!$AD$15:$AD$9733,C97)),"")</f>
        <v/>
      </c>
      <c r="E97" t="str">
        <f t="shared" si="5"/>
        <v/>
      </c>
      <c r="F97" t="str">
        <f>IFERROR(INDEX('TRADE LOG'!$T$15:$T$733,SMALL('TRADE LOG'!$AD$15:$AD$733,C97)),"")</f>
        <v/>
      </c>
      <c r="H97" t="str">
        <f t="shared" si="6"/>
        <v/>
      </c>
      <c r="L97" t="e">
        <f t="shared" si="8"/>
        <v>#VALUE!</v>
      </c>
      <c r="O97">
        <f>COUNTIFS('TRADE LOG'!$C$14:$C$733,"&lt;"&amp;'Bank Transfers'!D97,'TRADE LOG'!$C$14:$C$733,"&gt;="&amp;'Bank Transfers'!D96)</f>
        <v>0</v>
      </c>
      <c r="P97">
        <f t="shared" si="9"/>
        <v>0</v>
      </c>
    </row>
    <row r="98" spans="3:16" ht="20.100000000000001" customHeight="1">
      <c r="C98">
        <f t="shared" si="7"/>
        <v>84</v>
      </c>
      <c r="D98" t="str">
        <f>IFERROR(INDEX(Datelog,SMALL('TRADE LOG'!$AD$15:$AD$9733,C98)),"")</f>
        <v/>
      </c>
      <c r="E98" t="str">
        <f t="shared" si="5"/>
        <v/>
      </c>
      <c r="F98" t="str">
        <f>IFERROR(INDEX('TRADE LOG'!$T$15:$T$733,SMALL('TRADE LOG'!$AD$15:$AD$733,C98)),"")</f>
        <v/>
      </c>
      <c r="H98" t="str">
        <f t="shared" si="6"/>
        <v/>
      </c>
      <c r="L98" t="e">
        <f t="shared" si="8"/>
        <v>#VALUE!</v>
      </c>
      <c r="O98">
        <f>COUNTIFS('TRADE LOG'!$C$14:$C$733,"&lt;"&amp;'Bank Transfers'!D98,'TRADE LOG'!$C$14:$C$733,"&gt;="&amp;'Bank Transfers'!D97)</f>
        <v>0</v>
      </c>
      <c r="P98">
        <f t="shared" si="9"/>
        <v>0</v>
      </c>
    </row>
    <row r="99" spans="3:16" ht="20.100000000000001" customHeight="1">
      <c r="C99">
        <f t="shared" si="7"/>
        <v>85</v>
      </c>
      <c r="D99" t="str">
        <f>IFERROR(INDEX(Datelog,SMALL('TRADE LOG'!$AD$15:$AD$9733,C99)),"")</f>
        <v/>
      </c>
      <c r="E99" t="str">
        <f t="shared" si="5"/>
        <v/>
      </c>
      <c r="F99" t="str">
        <f>IFERROR(INDEX('TRADE LOG'!$T$15:$T$733,SMALL('TRADE LOG'!$AD$15:$AD$733,C99)),"")</f>
        <v/>
      </c>
      <c r="H99" t="str">
        <f t="shared" si="6"/>
        <v/>
      </c>
      <c r="L99" t="e">
        <f t="shared" si="8"/>
        <v>#VALUE!</v>
      </c>
      <c r="O99">
        <f>COUNTIFS('TRADE LOG'!$C$14:$C$733,"&lt;"&amp;'Bank Transfers'!D99,'TRADE LOG'!$C$14:$C$733,"&gt;="&amp;'Bank Transfers'!D98)</f>
        <v>0</v>
      </c>
      <c r="P99">
        <f t="shared" si="9"/>
        <v>0</v>
      </c>
    </row>
    <row r="100" spans="3:16" ht="20.100000000000001" customHeight="1">
      <c r="C100">
        <f t="shared" si="7"/>
        <v>86</v>
      </c>
      <c r="D100" t="str">
        <f>IFERROR(INDEX(Datelog,SMALL('TRADE LOG'!$AD$15:$AD$9733,C100)),"")</f>
        <v/>
      </c>
      <c r="E100" t="str">
        <f t="shared" si="5"/>
        <v/>
      </c>
      <c r="F100" t="str">
        <f>IFERROR(INDEX('TRADE LOG'!$T$15:$T$733,SMALL('TRADE LOG'!$AD$15:$AD$733,C100)),"")</f>
        <v/>
      </c>
      <c r="H100" t="str">
        <f t="shared" si="6"/>
        <v/>
      </c>
      <c r="L100" t="e">
        <f t="shared" si="8"/>
        <v>#VALUE!</v>
      </c>
      <c r="O100">
        <f>COUNTIFS('TRADE LOG'!$C$14:$C$733,"&lt;"&amp;'Bank Transfers'!D100,'TRADE LOG'!$C$14:$C$733,"&gt;="&amp;'Bank Transfers'!D99)</f>
        <v>0</v>
      </c>
      <c r="P100">
        <f t="shared" si="9"/>
        <v>0</v>
      </c>
    </row>
    <row r="101" spans="3:16" ht="20.100000000000001" customHeight="1">
      <c r="C101">
        <f t="shared" si="7"/>
        <v>87</v>
      </c>
      <c r="D101" t="str">
        <f>IFERROR(INDEX(Datelog,SMALL('TRADE LOG'!$AD$15:$AD$9733,C101)),"")</f>
        <v/>
      </c>
      <c r="E101" t="str">
        <f t="shared" si="5"/>
        <v/>
      </c>
      <c r="F101" t="str">
        <f>IFERROR(INDEX('TRADE LOG'!$T$15:$T$733,SMALL('TRADE LOG'!$AD$15:$AD$733,C101)),"")</f>
        <v/>
      </c>
      <c r="H101" t="str">
        <f t="shared" si="6"/>
        <v/>
      </c>
      <c r="L101" t="e">
        <f t="shared" si="8"/>
        <v>#VALUE!</v>
      </c>
      <c r="O101">
        <f>COUNTIFS('TRADE LOG'!$C$14:$C$733,"&lt;"&amp;'Bank Transfers'!D101,'TRADE LOG'!$C$14:$C$733,"&gt;="&amp;'Bank Transfers'!D100)</f>
        <v>0</v>
      </c>
      <c r="P101">
        <f t="shared" si="9"/>
        <v>0</v>
      </c>
    </row>
    <row r="102" spans="3:16" ht="20.100000000000001" customHeight="1">
      <c r="C102">
        <f t="shared" si="7"/>
        <v>88</v>
      </c>
      <c r="D102" t="str">
        <f>IFERROR(INDEX(Datelog,SMALL('TRADE LOG'!$AD$15:$AD$9733,C102)),"")</f>
        <v/>
      </c>
      <c r="E102" t="str">
        <f t="shared" si="5"/>
        <v/>
      </c>
      <c r="F102" t="str">
        <f>IFERROR(INDEX('TRADE LOG'!$T$15:$T$733,SMALL('TRADE LOG'!$AD$15:$AD$733,C102)),"")</f>
        <v/>
      </c>
      <c r="H102" t="str">
        <f t="shared" si="6"/>
        <v/>
      </c>
      <c r="L102" t="e">
        <f t="shared" si="8"/>
        <v>#VALUE!</v>
      </c>
      <c r="O102">
        <f>COUNTIFS('TRADE LOG'!$C$14:$C$733,"&lt;"&amp;'Bank Transfers'!D102,'TRADE LOG'!$C$14:$C$733,"&gt;="&amp;'Bank Transfers'!D101)</f>
        <v>0</v>
      </c>
      <c r="P102">
        <f t="shared" si="9"/>
        <v>0</v>
      </c>
    </row>
    <row r="103" spans="3:16" ht="20.100000000000001" customHeight="1">
      <c r="C103">
        <f t="shared" si="7"/>
        <v>89</v>
      </c>
      <c r="D103" t="str">
        <f>IFERROR(INDEX(Datelog,SMALL('TRADE LOG'!$AD$15:$AD$9733,C103)),"")</f>
        <v/>
      </c>
      <c r="E103" t="str">
        <f t="shared" si="5"/>
        <v/>
      </c>
      <c r="F103" t="str">
        <f>IFERROR(INDEX('TRADE LOG'!$T$15:$T$733,SMALL('TRADE LOG'!$AD$15:$AD$733,C103)),"")</f>
        <v/>
      </c>
      <c r="H103" t="str">
        <f t="shared" si="6"/>
        <v/>
      </c>
      <c r="L103" t="e">
        <f t="shared" si="8"/>
        <v>#VALUE!</v>
      </c>
      <c r="O103">
        <f>COUNTIFS('TRADE LOG'!$C$14:$C$733,"&lt;"&amp;'Bank Transfers'!D103,'TRADE LOG'!$C$14:$C$733,"&gt;="&amp;'Bank Transfers'!D102)</f>
        <v>0</v>
      </c>
      <c r="P103">
        <f t="shared" si="9"/>
        <v>0</v>
      </c>
    </row>
    <row r="104" spans="3:16" ht="20.100000000000001" customHeight="1">
      <c r="C104">
        <f t="shared" si="7"/>
        <v>90</v>
      </c>
      <c r="D104" t="str">
        <f>IFERROR(INDEX(Datelog,SMALL('TRADE LOG'!$AD$15:$AD$9733,C104)),"")</f>
        <v/>
      </c>
      <c r="E104" t="str">
        <f t="shared" si="5"/>
        <v/>
      </c>
      <c r="F104" t="str">
        <f>IFERROR(INDEX('TRADE LOG'!$T$15:$T$733,SMALL('TRADE LOG'!$AD$15:$AD$733,C104)),"")</f>
        <v/>
      </c>
      <c r="H104" t="str">
        <f t="shared" si="6"/>
        <v/>
      </c>
      <c r="L104" t="e">
        <f t="shared" si="8"/>
        <v>#VALUE!</v>
      </c>
      <c r="O104">
        <f>COUNTIFS('TRADE LOG'!$C$14:$C$733,"&lt;"&amp;'Bank Transfers'!D104,'TRADE LOG'!$C$14:$C$733,"&gt;="&amp;'Bank Transfers'!D103)</f>
        <v>0</v>
      </c>
      <c r="P104">
        <f t="shared" si="9"/>
        <v>0</v>
      </c>
    </row>
    <row r="105" spans="3:16" ht="20.100000000000001" customHeight="1">
      <c r="C105">
        <f t="shared" si="7"/>
        <v>91</v>
      </c>
      <c r="D105" t="str">
        <f>IFERROR(INDEX(Datelog,SMALL('TRADE LOG'!$AD$15:$AD$9733,C105)),"")</f>
        <v/>
      </c>
      <c r="E105" t="str">
        <f t="shared" si="5"/>
        <v/>
      </c>
      <c r="F105" t="str">
        <f>IFERROR(INDEX('TRADE LOG'!$T$15:$T$733,SMALL('TRADE LOG'!$AD$15:$AD$733,C105)),"")</f>
        <v/>
      </c>
      <c r="H105" t="str">
        <f t="shared" si="6"/>
        <v/>
      </c>
      <c r="L105" t="e">
        <f t="shared" si="8"/>
        <v>#VALUE!</v>
      </c>
      <c r="O105">
        <f>COUNTIFS('TRADE LOG'!$C$14:$C$733,"&lt;"&amp;'Bank Transfers'!D105,'TRADE LOG'!$C$14:$C$733,"&gt;="&amp;'Bank Transfers'!D104)</f>
        <v>0</v>
      </c>
      <c r="P105">
        <f t="shared" si="9"/>
        <v>0</v>
      </c>
    </row>
    <row r="106" spans="3:16" ht="20.100000000000001" customHeight="1">
      <c r="C106">
        <f t="shared" si="7"/>
        <v>92</v>
      </c>
      <c r="D106" t="str">
        <f>IFERROR(INDEX(Datelog,SMALL('TRADE LOG'!$AD$15:$AD$9733,C106)),"")</f>
        <v/>
      </c>
      <c r="E106" t="str">
        <f t="shared" si="5"/>
        <v/>
      </c>
      <c r="F106" t="str">
        <f>IFERROR(INDEX('TRADE LOG'!$T$15:$T$733,SMALL('TRADE LOG'!$AD$15:$AD$733,C106)),"")</f>
        <v/>
      </c>
      <c r="H106" t="str">
        <f t="shared" si="6"/>
        <v/>
      </c>
      <c r="L106" t="e">
        <f t="shared" si="8"/>
        <v>#VALUE!</v>
      </c>
      <c r="O106">
        <f>COUNTIFS('TRADE LOG'!$C$14:$C$733,"&lt;"&amp;'Bank Transfers'!D106,'TRADE LOG'!$C$14:$C$733,"&gt;="&amp;'Bank Transfers'!D105)</f>
        <v>0</v>
      </c>
      <c r="P106">
        <f t="shared" si="9"/>
        <v>0</v>
      </c>
    </row>
    <row r="107" spans="3:16" ht="20.100000000000001" customHeight="1">
      <c r="C107">
        <f t="shared" si="7"/>
        <v>93</v>
      </c>
      <c r="D107" t="str">
        <f>IFERROR(INDEX(Datelog,SMALL('TRADE LOG'!$AD$15:$AD$9733,C107)),"")</f>
        <v/>
      </c>
      <c r="E107" t="str">
        <f t="shared" si="5"/>
        <v/>
      </c>
      <c r="F107" t="str">
        <f>IFERROR(INDEX('TRADE LOG'!$T$15:$T$733,SMALL('TRADE LOG'!$AD$15:$AD$733,C107)),"")</f>
        <v/>
      </c>
      <c r="H107" t="str">
        <f t="shared" si="6"/>
        <v/>
      </c>
      <c r="L107" t="e">
        <f t="shared" si="8"/>
        <v>#VALUE!</v>
      </c>
      <c r="O107">
        <f>COUNTIFS('TRADE LOG'!$C$14:$C$733,"&lt;"&amp;'Bank Transfers'!D107,'TRADE LOG'!$C$14:$C$733,"&gt;="&amp;'Bank Transfers'!D106)</f>
        <v>0</v>
      </c>
      <c r="P107">
        <f t="shared" si="9"/>
        <v>0</v>
      </c>
    </row>
    <row r="108" spans="3:16" ht="20.100000000000001" customHeight="1">
      <c r="C108">
        <f t="shared" si="7"/>
        <v>94</v>
      </c>
      <c r="D108" t="str">
        <f>IFERROR(INDEX(Datelog,SMALL('TRADE LOG'!$AD$15:$AD$9733,C108)),"")</f>
        <v/>
      </c>
      <c r="E108" t="str">
        <f t="shared" si="5"/>
        <v/>
      </c>
      <c r="F108" t="str">
        <f>IFERROR(INDEX('TRADE LOG'!$T$15:$T$733,SMALL('TRADE LOG'!$AD$15:$AD$733,C108)),"")</f>
        <v/>
      </c>
      <c r="H108" t="str">
        <f t="shared" si="6"/>
        <v/>
      </c>
      <c r="L108" t="e">
        <f t="shared" si="8"/>
        <v>#VALUE!</v>
      </c>
      <c r="O108">
        <f>COUNTIFS('TRADE LOG'!$C$14:$C$733,"&lt;"&amp;'Bank Transfers'!D108,'TRADE LOG'!$C$14:$C$733,"&gt;="&amp;'Bank Transfers'!D107)</f>
        <v>0</v>
      </c>
      <c r="P108">
        <f t="shared" si="9"/>
        <v>0</v>
      </c>
    </row>
    <row r="109" spans="3:16" ht="20.100000000000001" customHeight="1">
      <c r="C109">
        <f t="shared" si="7"/>
        <v>95</v>
      </c>
      <c r="D109" t="str">
        <f>IFERROR(INDEX(Datelog,SMALL('TRADE LOG'!$AD$15:$AD$9733,C109)),"")</f>
        <v/>
      </c>
      <c r="E109" t="str">
        <f t="shared" si="5"/>
        <v/>
      </c>
      <c r="F109" t="str">
        <f>IFERROR(INDEX('TRADE LOG'!$T$15:$T$733,SMALL('TRADE LOG'!$AD$15:$AD$733,C109)),"")</f>
        <v/>
      </c>
      <c r="H109" t="str">
        <f t="shared" si="6"/>
        <v/>
      </c>
      <c r="L109" t="e">
        <f t="shared" si="8"/>
        <v>#VALUE!</v>
      </c>
      <c r="O109">
        <f>COUNTIFS('TRADE LOG'!$C$14:$C$733,"&lt;"&amp;'Bank Transfers'!D109,'TRADE LOG'!$C$14:$C$733,"&gt;="&amp;'Bank Transfers'!D108)</f>
        <v>0</v>
      </c>
      <c r="P109">
        <f t="shared" si="9"/>
        <v>0</v>
      </c>
    </row>
    <row r="110" spans="3:16" ht="20.100000000000001" customHeight="1">
      <c r="C110">
        <f t="shared" si="7"/>
        <v>96</v>
      </c>
      <c r="D110" t="str">
        <f>IFERROR(INDEX(Datelog,SMALL('TRADE LOG'!$AD$15:$AD$9733,C110)),"")</f>
        <v/>
      </c>
      <c r="E110" t="str">
        <f t="shared" si="5"/>
        <v/>
      </c>
      <c r="F110" t="str">
        <f>IFERROR(INDEX('TRADE LOG'!$T$15:$T$733,SMALL('TRADE LOG'!$AD$15:$AD$733,C110)),"")</f>
        <v/>
      </c>
      <c r="H110" t="str">
        <f t="shared" si="6"/>
        <v/>
      </c>
      <c r="L110" t="e">
        <f t="shared" si="8"/>
        <v>#VALUE!</v>
      </c>
      <c r="O110">
        <f>COUNTIFS('TRADE LOG'!$C$14:$C$733,"&lt;"&amp;'Bank Transfers'!D110,'TRADE LOG'!$C$14:$C$733,"&gt;="&amp;'Bank Transfers'!D109)</f>
        <v>0</v>
      </c>
      <c r="P110">
        <f t="shared" si="9"/>
        <v>0</v>
      </c>
    </row>
    <row r="111" spans="3:16" ht="20.100000000000001" customHeight="1">
      <c r="C111">
        <f t="shared" si="7"/>
        <v>97</v>
      </c>
      <c r="D111" t="str">
        <f>IFERROR(INDEX(Datelog,SMALL('TRADE LOG'!$AD$15:$AD$9733,C111)),"")</f>
        <v/>
      </c>
      <c r="E111" t="str">
        <f t="shared" si="5"/>
        <v/>
      </c>
      <c r="F111" t="str">
        <f>IFERROR(INDEX('TRADE LOG'!$T$15:$T$733,SMALL('TRADE LOG'!$AD$15:$AD$733,C111)),"")</f>
        <v/>
      </c>
      <c r="H111" t="str">
        <f t="shared" si="6"/>
        <v/>
      </c>
      <c r="L111" t="e">
        <f t="shared" si="8"/>
        <v>#VALUE!</v>
      </c>
      <c r="O111">
        <f>COUNTIFS('TRADE LOG'!$C$14:$C$733,"&lt;"&amp;'Bank Transfers'!D111,'TRADE LOG'!$C$14:$C$733,"&gt;="&amp;'Bank Transfers'!D110)</f>
        <v>0</v>
      </c>
      <c r="P111">
        <f t="shared" si="9"/>
        <v>0</v>
      </c>
    </row>
    <row r="112" spans="3:16" ht="20.100000000000001" customHeight="1">
      <c r="C112">
        <f t="shared" si="7"/>
        <v>98</v>
      </c>
      <c r="D112" t="str">
        <f>IFERROR(INDEX(Datelog,SMALL('TRADE LOG'!$AD$15:$AD$9733,C112)),"")</f>
        <v/>
      </c>
      <c r="E112" t="str">
        <f t="shared" si="5"/>
        <v/>
      </c>
      <c r="F112" t="str">
        <f>IFERROR(INDEX('TRADE LOG'!$T$15:$T$733,SMALL('TRADE LOG'!$AD$15:$AD$733,C112)),"")</f>
        <v/>
      </c>
      <c r="H112" t="str">
        <f t="shared" si="6"/>
        <v/>
      </c>
      <c r="L112" t="e">
        <f t="shared" si="8"/>
        <v>#VALUE!</v>
      </c>
      <c r="O112">
        <f>COUNTIFS('TRADE LOG'!$C$14:$C$733,"&lt;"&amp;'Bank Transfers'!D112,'TRADE LOG'!$C$14:$C$733,"&gt;="&amp;'Bank Transfers'!D111)</f>
        <v>0</v>
      </c>
      <c r="P112">
        <f t="shared" si="9"/>
        <v>0</v>
      </c>
    </row>
    <row r="113" spans="3:16" ht="20.100000000000001" customHeight="1">
      <c r="C113">
        <f t="shared" si="7"/>
        <v>99</v>
      </c>
      <c r="D113" t="str">
        <f>IFERROR(INDEX(Datelog,SMALL('TRADE LOG'!$AD$15:$AD$9733,C113)),"")</f>
        <v/>
      </c>
      <c r="E113" t="str">
        <f t="shared" si="5"/>
        <v/>
      </c>
      <c r="F113" t="str">
        <f>IFERROR(INDEX('TRADE LOG'!$T$15:$T$733,SMALL('TRADE LOG'!$AD$15:$AD$733,C113)),"")</f>
        <v/>
      </c>
      <c r="H113" t="str">
        <f t="shared" si="6"/>
        <v/>
      </c>
      <c r="L113" t="e">
        <f t="shared" si="8"/>
        <v>#VALUE!</v>
      </c>
      <c r="O113">
        <f>COUNTIFS('TRADE LOG'!$C$14:$C$733,"&lt;"&amp;'Bank Transfers'!D113,'TRADE LOG'!$C$14:$C$733,"&gt;="&amp;'Bank Transfers'!D112)</f>
        <v>0</v>
      </c>
      <c r="P113">
        <f t="shared" si="9"/>
        <v>0</v>
      </c>
    </row>
    <row r="114" spans="3:16" ht="20.100000000000001" customHeight="1">
      <c r="C114">
        <f t="shared" si="7"/>
        <v>100</v>
      </c>
      <c r="D114" t="str">
        <f>IFERROR(INDEX(Datelog,SMALL('TRADE LOG'!$AD$15:$AD$9733,C114)),"")</f>
        <v/>
      </c>
      <c r="E114" t="str">
        <f t="shared" si="5"/>
        <v/>
      </c>
      <c r="F114" t="str">
        <f>IFERROR(INDEX('TRADE LOG'!$T$15:$T$733,SMALL('TRADE LOG'!$AD$15:$AD$733,C114)),"")</f>
        <v/>
      </c>
      <c r="H114" t="str">
        <f t="shared" si="6"/>
        <v/>
      </c>
      <c r="L114" t="e">
        <f t="shared" si="8"/>
        <v>#VALUE!</v>
      </c>
      <c r="O114">
        <f>COUNTIFS('TRADE LOG'!$C$14:$C$733,"&lt;"&amp;'Bank Transfers'!D114,'TRADE LOG'!$C$14:$C$733,"&gt;="&amp;'Bank Transfers'!D113)</f>
        <v>0</v>
      </c>
      <c r="P114">
        <f t="shared" si="9"/>
        <v>0</v>
      </c>
    </row>
    <row r="115" spans="3:16" ht="17.100000000000001" customHeight="1"/>
    <row r="116" spans="3:16" ht="17.100000000000001" customHeight="1"/>
    <row r="117" spans="3:16" ht="17.100000000000001" customHeight="1"/>
    <row r="118" spans="3:16" ht="17.100000000000001" customHeight="1"/>
    <row r="119" spans="3:16" ht="17.100000000000001" customHeight="1"/>
    <row r="120" spans="3:16" ht="17.100000000000001" customHeight="1"/>
    <row r="121" spans="3:16" ht="17.100000000000001" customHeight="1"/>
    <row r="122" spans="3:16" ht="17.100000000000001" customHeight="1"/>
    <row r="123" spans="3:16" ht="17.100000000000001" customHeight="1"/>
    <row r="124" spans="3:16" ht="17.100000000000001" customHeight="1"/>
    <row r="125" spans="3:16" ht="17.100000000000001" customHeight="1"/>
    <row r="126" spans="3:16" ht="17.100000000000001" customHeight="1"/>
    <row r="127" spans="3:16" ht="17.100000000000001" customHeight="1"/>
    <row r="128" spans="3:16"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row r="250" ht="17.100000000000001" customHeight="1"/>
    <row r="251" ht="17.100000000000001" customHeight="1"/>
    <row r="252" ht="17.100000000000001" customHeight="1"/>
    <row r="253" ht="17.100000000000001" customHeight="1"/>
    <row r="254" ht="17.100000000000001" customHeight="1"/>
    <row r="255" ht="17.100000000000001" customHeight="1"/>
    <row r="256" ht="17.100000000000001" customHeight="1"/>
    <row r="257" ht="17.100000000000001" customHeight="1"/>
    <row r="258" ht="17.100000000000001" customHeight="1"/>
    <row r="259" ht="17.100000000000001" customHeight="1"/>
    <row r="260" ht="17.100000000000001" customHeight="1"/>
    <row r="261" ht="17.100000000000001" customHeight="1"/>
    <row r="262" ht="17.100000000000001" customHeight="1"/>
    <row r="263" ht="17.100000000000001" customHeight="1"/>
    <row r="264" ht="17.100000000000001" customHeight="1"/>
    <row r="265" ht="17.100000000000001" customHeight="1"/>
    <row r="266" ht="17.100000000000001" customHeight="1"/>
    <row r="267" ht="17.100000000000001" customHeight="1"/>
    <row r="268" ht="17.100000000000001" customHeight="1"/>
    <row r="269" ht="17.100000000000001" customHeight="1"/>
    <row r="270" ht="17.100000000000001" customHeight="1"/>
    <row r="271" ht="17.100000000000001" customHeight="1"/>
    <row r="272" ht="17.100000000000001" customHeight="1"/>
    <row r="273" ht="17.100000000000001" customHeight="1"/>
    <row r="274" ht="17.100000000000001" customHeight="1"/>
    <row r="275" ht="17.100000000000001" customHeight="1"/>
    <row r="276" ht="17.100000000000001" customHeight="1"/>
    <row r="277" ht="17.100000000000001" customHeight="1"/>
    <row r="278" ht="17.100000000000001" customHeight="1"/>
    <row r="279" ht="17.100000000000001" customHeight="1"/>
    <row r="280" ht="17.100000000000001" customHeight="1"/>
    <row r="281" ht="17.100000000000001" customHeight="1"/>
    <row r="282" ht="17.100000000000001" customHeight="1"/>
    <row r="283" ht="17.100000000000001" customHeight="1"/>
    <row r="284" ht="17.100000000000001" customHeight="1"/>
    <row r="285" ht="17.100000000000001" customHeight="1"/>
    <row r="286" ht="17.100000000000001" customHeight="1"/>
    <row r="287" ht="17.100000000000001" customHeight="1"/>
    <row r="288" ht="17.100000000000001" customHeight="1"/>
    <row r="289" ht="17.100000000000001" customHeight="1"/>
    <row r="290" ht="17.100000000000001" customHeight="1"/>
    <row r="291" ht="17.100000000000001" customHeight="1"/>
    <row r="292" ht="17.100000000000001" customHeight="1"/>
    <row r="293" ht="17.100000000000001" customHeight="1"/>
    <row r="294" ht="17.100000000000001" customHeight="1"/>
    <row r="295" ht="17.100000000000001" customHeight="1"/>
    <row r="296" ht="17.100000000000001" customHeight="1"/>
    <row r="297" ht="17.100000000000001" customHeight="1"/>
    <row r="298" ht="17.100000000000001" customHeight="1"/>
    <row r="299" ht="17.100000000000001" customHeight="1"/>
    <row r="300" ht="17.100000000000001" customHeight="1"/>
    <row r="301" ht="17.100000000000001" customHeight="1"/>
    <row r="302" ht="17.100000000000001" customHeight="1"/>
    <row r="303" ht="17.100000000000001" customHeight="1"/>
    <row r="304" ht="17.100000000000001" customHeight="1"/>
    <row r="305" ht="17.100000000000001" customHeight="1"/>
    <row r="306" ht="17.100000000000001" customHeight="1"/>
    <row r="307" ht="17.100000000000001" customHeight="1"/>
    <row r="308" ht="17.100000000000001" customHeight="1"/>
    <row r="309" ht="17.100000000000001" customHeight="1"/>
    <row r="310" ht="17.100000000000001" customHeight="1"/>
    <row r="311" ht="17.100000000000001" customHeight="1"/>
    <row r="312" ht="17.100000000000001" customHeight="1"/>
    <row r="313" ht="17.100000000000001" customHeight="1"/>
    <row r="314" ht="17.100000000000001" customHeight="1"/>
    <row r="315" ht="17.100000000000001" customHeight="1"/>
    <row r="316" ht="17.100000000000001" customHeight="1"/>
    <row r="317" ht="17.100000000000001" customHeight="1"/>
    <row r="318" ht="17.100000000000001" customHeight="1"/>
    <row r="319" ht="17.100000000000001" customHeight="1"/>
    <row r="320" ht="17.100000000000001" customHeight="1"/>
    <row r="321" ht="17.100000000000001" customHeight="1"/>
    <row r="322" ht="17.100000000000001" customHeight="1"/>
    <row r="323" ht="17.100000000000001" customHeight="1"/>
    <row r="324" ht="17.100000000000001" customHeight="1"/>
    <row r="325" ht="17.100000000000001" customHeight="1"/>
    <row r="326" ht="17.100000000000001" customHeight="1"/>
    <row r="327" ht="17.100000000000001" customHeight="1"/>
    <row r="328" ht="17.100000000000001" customHeight="1"/>
    <row r="329" ht="17.100000000000001" customHeight="1"/>
    <row r="330" ht="17.100000000000001" customHeight="1"/>
    <row r="331" ht="17.100000000000001" customHeight="1"/>
    <row r="332" ht="17.100000000000001" customHeight="1"/>
    <row r="333" ht="17.100000000000001" customHeight="1"/>
    <row r="334" ht="17.100000000000001" customHeight="1"/>
    <row r="335" ht="17.100000000000001" customHeight="1"/>
    <row r="336" ht="17.100000000000001" customHeight="1"/>
    <row r="337" ht="17.100000000000001" customHeight="1"/>
    <row r="338" ht="17.100000000000001" customHeight="1"/>
    <row r="339" ht="17.100000000000001" customHeight="1"/>
    <row r="340" ht="17.100000000000001" customHeight="1"/>
    <row r="341" ht="17.100000000000001" customHeight="1"/>
    <row r="342" ht="17.100000000000001" customHeight="1"/>
    <row r="343" ht="17.100000000000001" customHeight="1"/>
    <row r="344" ht="17.100000000000001" customHeight="1"/>
    <row r="345" ht="17.100000000000001" customHeight="1"/>
    <row r="346" ht="17.100000000000001" customHeight="1"/>
    <row r="347" ht="17.100000000000001" customHeight="1"/>
    <row r="348" ht="17.100000000000001" customHeight="1"/>
    <row r="349" ht="17.100000000000001" customHeight="1"/>
    <row r="350" ht="17.100000000000001" customHeight="1"/>
    <row r="351" ht="17.100000000000001" customHeight="1"/>
    <row r="352" ht="17.100000000000001" customHeight="1"/>
    <row r="353" ht="17.100000000000001" customHeight="1"/>
    <row r="354" ht="17.100000000000001" customHeight="1"/>
    <row r="355" ht="17.100000000000001" customHeight="1"/>
    <row r="356" ht="17.100000000000001" customHeight="1"/>
    <row r="357" ht="17.100000000000001" customHeight="1"/>
    <row r="358" ht="17.100000000000001" customHeight="1"/>
    <row r="359" ht="17.100000000000001" customHeight="1"/>
    <row r="360" ht="17.100000000000001" customHeight="1"/>
    <row r="361" ht="17.100000000000001" customHeight="1"/>
    <row r="362" ht="17.100000000000001" customHeight="1"/>
    <row r="363" ht="17.100000000000001" customHeight="1"/>
    <row r="364" ht="17.100000000000001" customHeight="1"/>
    <row r="365" ht="17.100000000000001" customHeight="1"/>
    <row r="366" ht="17.100000000000001" customHeight="1"/>
    <row r="367" ht="17.100000000000001" customHeight="1"/>
    <row r="368" ht="17.100000000000001" customHeight="1"/>
    <row r="369" ht="17.100000000000001" customHeight="1"/>
    <row r="370" ht="17.100000000000001" customHeight="1"/>
    <row r="371" ht="17.100000000000001" customHeight="1"/>
    <row r="372" ht="17.100000000000001" customHeight="1"/>
    <row r="373" ht="17.100000000000001" customHeight="1"/>
    <row r="374" ht="17.100000000000001" customHeight="1"/>
    <row r="375" ht="17.100000000000001" customHeight="1"/>
    <row r="376" ht="17.100000000000001" customHeight="1"/>
    <row r="377" ht="17.100000000000001" customHeight="1"/>
    <row r="378" ht="17.100000000000001" customHeight="1"/>
    <row r="379" ht="17.100000000000001" customHeight="1"/>
    <row r="380" ht="17.100000000000001" customHeight="1"/>
    <row r="381" ht="17.100000000000001" customHeight="1"/>
    <row r="382" ht="17.100000000000001" customHeight="1"/>
    <row r="383" ht="17.100000000000001" customHeight="1"/>
    <row r="384" ht="17.100000000000001" customHeight="1"/>
    <row r="385" ht="17.100000000000001" customHeight="1"/>
    <row r="386" ht="17.100000000000001" customHeight="1"/>
    <row r="387" ht="17.100000000000001" customHeight="1"/>
    <row r="388" ht="17.100000000000001" customHeight="1"/>
    <row r="389" ht="17.100000000000001" customHeight="1"/>
    <row r="390" ht="17.100000000000001" customHeight="1"/>
    <row r="391" ht="17.100000000000001" customHeight="1"/>
    <row r="392" ht="17.100000000000001" customHeight="1"/>
    <row r="393" ht="17.100000000000001" customHeight="1"/>
    <row r="394" ht="17.100000000000001" customHeight="1"/>
    <row r="395" ht="17.100000000000001" customHeight="1"/>
    <row r="396" ht="17.100000000000001" customHeight="1"/>
    <row r="397" ht="17.100000000000001" customHeight="1"/>
    <row r="398" ht="17.100000000000001" customHeight="1"/>
    <row r="399" ht="17.100000000000001" customHeight="1"/>
    <row r="400" ht="17.100000000000001" customHeight="1"/>
    <row r="401" ht="17.100000000000001" customHeight="1"/>
    <row r="402" ht="17.100000000000001" customHeight="1"/>
    <row r="403" ht="17.100000000000001" customHeight="1"/>
    <row r="404" ht="17.100000000000001" customHeight="1"/>
    <row r="405" ht="17.100000000000001" customHeight="1"/>
    <row r="406" ht="17.100000000000001" customHeight="1"/>
    <row r="407" ht="17.100000000000001" customHeight="1"/>
    <row r="408" ht="17.100000000000001" customHeight="1"/>
    <row r="409" ht="17.100000000000001" customHeight="1"/>
    <row r="410" ht="17.100000000000001" customHeight="1"/>
    <row r="411" ht="17.100000000000001" customHeight="1"/>
    <row r="412" ht="17.100000000000001" customHeight="1"/>
    <row r="413" ht="17.100000000000001" customHeight="1"/>
    <row r="414" ht="17.100000000000001" customHeight="1"/>
    <row r="415" ht="17.100000000000001" customHeight="1"/>
    <row r="416" ht="17.100000000000001" customHeight="1"/>
    <row r="417" ht="17.100000000000001" customHeight="1"/>
    <row r="418" ht="17.100000000000001" customHeight="1"/>
    <row r="419" ht="17.100000000000001" customHeight="1"/>
    <row r="420" ht="17.100000000000001" customHeight="1"/>
    <row r="421" ht="17.100000000000001" customHeight="1"/>
    <row r="422" ht="17.100000000000001" customHeight="1"/>
    <row r="423" ht="17.100000000000001" customHeight="1"/>
    <row r="424" ht="17.100000000000001" customHeight="1"/>
    <row r="425" ht="17.100000000000001" customHeight="1"/>
    <row r="426" ht="17.100000000000001" customHeight="1"/>
    <row r="427" ht="17.100000000000001" customHeight="1"/>
    <row r="428" ht="17.100000000000001" customHeight="1"/>
    <row r="429" ht="17.100000000000001" customHeight="1"/>
    <row r="430" ht="17.100000000000001" customHeight="1"/>
    <row r="431" ht="17.100000000000001" customHeight="1"/>
    <row r="432" ht="17.100000000000001" customHeight="1"/>
    <row r="433" ht="17.100000000000001" customHeight="1"/>
    <row r="434" ht="17.100000000000001" customHeight="1"/>
    <row r="435" ht="17.100000000000001" customHeight="1"/>
    <row r="436" ht="17.100000000000001" customHeight="1"/>
    <row r="437" ht="17.100000000000001" customHeight="1"/>
    <row r="438" ht="17.100000000000001" customHeight="1"/>
    <row r="439" ht="17.100000000000001" customHeight="1"/>
    <row r="440" ht="17.100000000000001" customHeight="1"/>
    <row r="441" ht="17.100000000000001" customHeight="1"/>
    <row r="442" ht="17.100000000000001" customHeight="1"/>
    <row r="443" ht="17.100000000000001" customHeight="1"/>
    <row r="444" ht="17.100000000000001" customHeight="1"/>
    <row r="445" ht="17.100000000000001" customHeight="1"/>
    <row r="446" ht="17.100000000000001" customHeight="1"/>
    <row r="447" ht="17.100000000000001" customHeight="1"/>
    <row r="448" ht="17.100000000000001" customHeight="1"/>
    <row r="449" ht="17.100000000000001" customHeight="1"/>
    <row r="450" ht="17.100000000000001" customHeight="1"/>
    <row r="451" ht="17.100000000000001" customHeight="1"/>
    <row r="452" ht="17.100000000000001" customHeight="1"/>
    <row r="453" ht="17.100000000000001" customHeight="1"/>
    <row r="454" ht="17.100000000000001" customHeight="1"/>
    <row r="455" ht="17.100000000000001" customHeight="1"/>
    <row r="456" ht="17.100000000000001" customHeight="1"/>
    <row r="457" ht="17.100000000000001" customHeight="1"/>
    <row r="458" ht="17.100000000000001" customHeight="1"/>
    <row r="459" ht="17.100000000000001" customHeight="1"/>
    <row r="460" ht="17.100000000000001" customHeight="1"/>
    <row r="461" ht="17.100000000000001" customHeight="1"/>
    <row r="462" ht="17.100000000000001" customHeight="1"/>
    <row r="463" ht="17.100000000000001" customHeight="1"/>
    <row r="464" ht="17.100000000000001" customHeight="1"/>
    <row r="465" ht="17.100000000000001" customHeight="1"/>
    <row r="466" ht="17.100000000000001" customHeight="1"/>
    <row r="467" ht="17.100000000000001" customHeight="1"/>
    <row r="468" ht="17.100000000000001" customHeight="1"/>
    <row r="469" ht="17.100000000000001" customHeight="1"/>
    <row r="470" ht="17.100000000000001" customHeight="1"/>
    <row r="471" ht="17.100000000000001" customHeight="1"/>
    <row r="472" ht="17.100000000000001" customHeight="1"/>
    <row r="473" ht="17.100000000000001" customHeight="1"/>
    <row r="474" ht="17.100000000000001" customHeight="1"/>
    <row r="475" ht="17.100000000000001" customHeight="1"/>
    <row r="476" ht="17.100000000000001" customHeight="1"/>
    <row r="477" ht="17.100000000000001" customHeight="1"/>
    <row r="478" ht="17.100000000000001" customHeight="1"/>
    <row r="479" ht="17.100000000000001" customHeight="1"/>
    <row r="480" ht="17.100000000000001" customHeight="1"/>
    <row r="481" ht="17.100000000000001" customHeight="1"/>
    <row r="482" ht="17.100000000000001" customHeight="1"/>
    <row r="483" ht="17.100000000000001" customHeight="1"/>
    <row r="484" ht="17.100000000000001" customHeight="1"/>
    <row r="485" ht="17.100000000000001" customHeight="1"/>
    <row r="486" ht="17.100000000000001" customHeight="1"/>
    <row r="487" ht="17.100000000000001" customHeight="1"/>
    <row r="488" ht="17.100000000000001" customHeight="1"/>
    <row r="489" ht="17.100000000000001" customHeight="1"/>
    <row r="490" ht="17.100000000000001" customHeight="1"/>
    <row r="491" ht="17.100000000000001" customHeight="1"/>
    <row r="492" ht="17.100000000000001" customHeight="1"/>
    <row r="493" ht="17.100000000000001" customHeight="1"/>
    <row r="494" ht="17.100000000000001" customHeight="1"/>
    <row r="495" ht="17.100000000000001" customHeight="1"/>
    <row r="496" ht="17.100000000000001" customHeight="1"/>
    <row r="497" ht="17.100000000000001" customHeight="1"/>
    <row r="498" ht="17.100000000000001" customHeight="1"/>
    <row r="499" ht="17.100000000000001" customHeight="1"/>
    <row r="500" ht="17.100000000000001" customHeight="1"/>
    <row r="501" ht="17.100000000000001" customHeight="1"/>
    <row r="502" ht="17.100000000000001" customHeight="1"/>
    <row r="503" ht="17.100000000000001" customHeight="1"/>
    <row r="504" ht="17.100000000000001" customHeight="1"/>
    <row r="505" ht="17.100000000000001" customHeight="1"/>
    <row r="506" ht="17.100000000000001" customHeight="1"/>
    <row r="507" ht="17.100000000000001" customHeight="1"/>
    <row r="508" ht="17.100000000000001" customHeight="1"/>
    <row r="509" ht="17.100000000000001" customHeight="1"/>
    <row r="510" ht="17.100000000000001" customHeight="1"/>
    <row r="511" ht="17.100000000000001" customHeight="1"/>
    <row r="512" ht="17.100000000000001" customHeight="1"/>
    <row r="513" ht="17.100000000000001" customHeight="1"/>
    <row r="514" ht="17.100000000000001" customHeight="1"/>
  </sheetData>
  <sheetProtection algorithmName="SHA-512" hashValue="8MuGuq8wURkaWiPBHYxWxAy5TuNHLQnrOpdmU1h85tKt/C0pGvJNRTy9A6ZrGO9XniiXBHw1LUz18lYiu/aSaw==" saltValue="m0YR+17HijAt4MloRD0o+Q==" spinCount="100000" sheet="1" objects="1" scenarios="1" formatCells="0"/>
  <protectedRanges>
    <protectedRange sqref="I15:K600 D15:G600" name="InputData_1_1"/>
    <protectedRange sqref="Y1 W4 W2 AC14:AE54" name="Range2"/>
    <protectedRange sqref="W1:X8" name="Range1"/>
    <protectedRange sqref="W1:Y8 AD15:AD54 AI14:AL54 AO3 Z3:AA7 AB3:AC6 AB7 AE5 AA8:AC8" name="code"/>
  </protectedRanges>
  <phoneticPr fontId="111" type="noConversion"/>
  <pageMargins left="0.7" right="0.7" top="0.75" bottom="0.75" header="0.3" footer="0.3"/>
  <pageSetup scale="87" orientation="portrait" horizontalDpi="1200" verticalDpi="1200" r:id="rId1"/>
  <colBreaks count="1" manualBreakCount="1">
    <brk id="12" max="513"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Dashboard">
    <tabColor theme="4"/>
  </sheetPr>
  <dimension ref="A1:BE92"/>
  <sheetViews>
    <sheetView showGridLines="0" showRowColHeaders="0" zoomScaleNormal="100" workbookViewId="0">
      <pane ySplit="3" topLeftCell="A4" activePane="bottomLeft" state="frozen"/>
      <selection pane="bottomLeft" activeCell="J5" sqref="J5"/>
    </sheetView>
  </sheetViews>
  <sheetFormatPr defaultColWidth="0" defaultRowHeight="15"/>
  <cols>
    <col min="1" max="1" width="4.42578125" customWidth="1"/>
    <col min="2" max="2" width="18.28515625" customWidth="1"/>
    <col min="3" max="3" width="9.28515625" customWidth="1"/>
    <col min="4" max="4" width="10.140625" customWidth="1"/>
    <col min="5" max="5" width="10.5703125" customWidth="1"/>
    <col min="6" max="6" width="4.7109375" customWidth="1"/>
    <col min="7" max="8" width="9.85546875" customWidth="1"/>
    <col min="9" max="9" width="7.42578125" customWidth="1"/>
    <col min="10" max="10" width="13" customWidth="1"/>
    <col min="11" max="11" width="7.42578125" customWidth="1"/>
    <col min="12" max="12" width="13" customWidth="1"/>
    <col min="13" max="14" width="9.85546875" customWidth="1"/>
    <col min="15" max="15" width="2.7109375" customWidth="1"/>
    <col min="16" max="19" width="11.85546875" customWidth="1"/>
    <col min="20" max="20" width="4.28515625" customWidth="1"/>
    <col min="21" max="21" width="100.7109375" customWidth="1"/>
    <col min="22" max="22" width="20.5703125" hidden="1" customWidth="1"/>
    <col min="23" max="23" width="13.28515625" hidden="1" customWidth="1"/>
    <col min="24" max="24" width="6.28515625" hidden="1" customWidth="1"/>
    <col min="25" max="25" width="13.28515625" hidden="1" customWidth="1"/>
    <col min="26" max="26" width="5.28515625" hidden="1" customWidth="1"/>
    <col min="27" max="27" width="9.7109375" hidden="1" customWidth="1"/>
    <col min="28" max="28" width="10.7109375" hidden="1" customWidth="1"/>
    <col min="29" max="29" width="8.5703125" hidden="1" customWidth="1"/>
    <col min="30" max="30" width="6.28515625" hidden="1" customWidth="1"/>
    <col min="31" max="31" width="12.28515625" hidden="1" customWidth="1"/>
    <col min="32" max="32" width="12.5703125" hidden="1" customWidth="1"/>
    <col min="33" max="33" width="16" hidden="1" customWidth="1"/>
    <col min="34" max="35" width="10.42578125" hidden="1" customWidth="1"/>
    <col min="36" max="43" width="9.7109375" hidden="1" customWidth="1"/>
    <col min="44" max="44" width="13" hidden="1" customWidth="1"/>
    <col min="45" max="45" width="12.85546875" hidden="1" customWidth="1"/>
    <col min="46" max="47" width="9.7109375" hidden="1" customWidth="1"/>
    <col min="48" max="48" width="11.28515625" hidden="1" customWidth="1"/>
    <col min="49" max="57" width="9.7109375" hidden="1" customWidth="1"/>
    <col min="58" max="16384" width="9.140625" hidden="1"/>
  </cols>
  <sheetData>
    <row r="1" spans="1:46" ht="21.95" customHeight="1">
      <c r="A1" s="195"/>
      <c r="B1" s="426"/>
      <c r="C1" s="427"/>
      <c r="D1" s="428"/>
      <c r="E1" s="196"/>
      <c r="F1" s="197" t="s">
        <v>32</v>
      </c>
      <c r="G1" s="198"/>
      <c r="H1" s="199"/>
      <c r="I1" s="199"/>
      <c r="J1" s="200"/>
      <c r="K1" s="200"/>
      <c r="L1" s="201"/>
      <c r="M1" s="202"/>
      <c r="N1" s="203"/>
      <c r="O1" s="204" t="s">
        <v>32</v>
      </c>
      <c r="P1" s="205" t="s">
        <v>32</v>
      </c>
      <c r="Q1" s="205" t="s">
        <v>32</v>
      </c>
      <c r="R1" s="205" t="s">
        <v>32</v>
      </c>
      <c r="S1" s="198" t="s">
        <v>32</v>
      </c>
      <c r="T1" s="198" t="s">
        <v>32</v>
      </c>
      <c r="U1" s="198"/>
      <c r="AA1" s="32" t="s">
        <v>394</v>
      </c>
    </row>
    <row r="2" spans="1:46" ht="21.95" customHeight="1">
      <c r="A2" s="204"/>
      <c r="B2" s="204"/>
      <c r="C2" s="710" t="str">
        <f>IF('TRADE LOG'!D4="invalid user","Invalid User",Nameko)</f>
        <v>Rocketsheets</v>
      </c>
      <c r="D2" s="429"/>
      <c r="E2" s="113"/>
      <c r="F2" s="206"/>
      <c r="G2" s="617">
        <f ca="1">'Bank Transfers'!H5</f>
        <v>50000</v>
      </c>
      <c r="H2" s="618"/>
      <c r="I2" s="619">
        <f>'MONTHLY REPORT'!K14</f>
        <v>4271.4199999999973</v>
      </c>
      <c r="J2" s="620"/>
      <c r="K2" s="621">
        <f ca="1">'Bank Transfers'!I5</f>
        <v>0</v>
      </c>
      <c r="L2" s="620"/>
      <c r="M2" s="617">
        <f ca="1">'Bank Transfers'!J10</f>
        <v>54271.420000000006</v>
      </c>
      <c r="N2" s="207"/>
      <c r="O2" s="206"/>
      <c r="P2" s="206"/>
      <c r="Q2" s="208"/>
      <c r="R2" s="205"/>
      <c r="S2" s="693"/>
      <c r="T2" s="198"/>
      <c r="U2" s="198"/>
      <c r="W2" s="19" t="str">
        <f>SETTINGS!O3</f>
        <v>USD</v>
      </c>
      <c r="AA2" s="38">
        <f>'MONTHLY REPORT'!AD6</f>
        <v>13805.110000000002</v>
      </c>
      <c r="AM2" t="s">
        <v>271</v>
      </c>
      <c r="AR2">
        <f>IF(AS2="Wins &amp; Losses",0,1)</f>
        <v>0</v>
      </c>
      <c r="AS2" t="str">
        <f>SETTINGS!AD186</f>
        <v>Wins &amp; Losses</v>
      </c>
      <c r="AT2" t="str">
        <f>IF(AR2=1,"AVE. PROFIT &amp; LOSS","NUMBER OF TRADES")</f>
        <v>NUMBER OF TRADES</v>
      </c>
    </row>
    <row r="3" spans="1:46" ht="18.75" customHeight="1">
      <c r="A3" s="209"/>
      <c r="B3" s="442"/>
      <c r="C3" s="430" t="s">
        <v>706</v>
      </c>
      <c r="D3" s="431"/>
      <c r="E3" s="432"/>
      <c r="F3" s="210"/>
      <c r="G3" s="676" t="s">
        <v>346</v>
      </c>
      <c r="H3" s="677"/>
      <c r="I3" s="676" t="s">
        <v>257</v>
      </c>
      <c r="J3" s="676"/>
      <c r="K3" s="676" t="s">
        <v>345</v>
      </c>
      <c r="L3" s="676"/>
      <c r="M3" s="676" t="s">
        <v>255</v>
      </c>
      <c r="N3" s="677"/>
      <c r="O3" s="211"/>
      <c r="P3" s="211"/>
      <c r="Q3" s="211"/>
      <c r="R3" s="209"/>
      <c r="S3" s="441" t="str">
        <f>HOME!S3</f>
        <v>V.1.0</v>
      </c>
      <c r="T3" s="209"/>
      <c r="U3" s="209"/>
      <c r="AA3" s="38">
        <f>-'MONTHLY REPORT'!AE6</f>
        <v>9533.6899999999969</v>
      </c>
      <c r="AE3" s="19" t="s">
        <v>64</v>
      </c>
      <c r="AF3" s="19" t="s">
        <v>65</v>
      </c>
      <c r="AG3" s="19" t="s">
        <v>12</v>
      </c>
      <c r="AH3" s="19" t="s">
        <v>35</v>
      </c>
      <c r="AI3" s="19" t="s">
        <v>36</v>
      </c>
      <c r="AM3" s="22" t="s">
        <v>270</v>
      </c>
      <c r="AN3" s="22" t="s">
        <v>371</v>
      </c>
      <c r="AO3" s="22" t="s">
        <v>266</v>
      </c>
      <c r="AP3" s="22" t="s">
        <v>268</v>
      </c>
      <c r="AQ3" s="22" t="s">
        <v>269</v>
      </c>
      <c r="AR3" s="342" t="s">
        <v>708</v>
      </c>
      <c r="AS3" s="342" t="s">
        <v>709</v>
      </c>
      <c r="AT3" s="342" t="s">
        <v>710</v>
      </c>
    </row>
    <row r="4" spans="1:46" ht="31.5" customHeight="1">
      <c r="A4" s="106"/>
      <c r="B4" s="106"/>
      <c r="C4" s="212"/>
      <c r="D4" s="212"/>
      <c r="E4" s="213"/>
      <c r="F4" s="106"/>
      <c r="G4" s="798" t="s">
        <v>353</v>
      </c>
      <c r="H4" s="798"/>
      <c r="I4" s="799"/>
      <c r="J4" s="798"/>
      <c r="K4" s="798"/>
      <c r="L4" s="798"/>
      <c r="M4" s="798"/>
      <c r="N4" s="798"/>
      <c r="O4" s="106"/>
      <c r="P4" s="106"/>
      <c r="Q4" s="106"/>
      <c r="R4" s="106"/>
      <c r="S4" s="106"/>
      <c r="T4" s="184"/>
      <c r="U4" s="184"/>
      <c r="AE4" s="14">
        <f>AE5+7</f>
        <v>45031</v>
      </c>
      <c r="AF4" s="14"/>
      <c r="AM4" s="32">
        <v>0.19999999999999998</v>
      </c>
      <c r="AN4" s="32"/>
      <c r="AO4" s="32" t="s">
        <v>81</v>
      </c>
      <c r="AP4" s="32"/>
      <c r="AQ4" s="32">
        <f>COUNTIFS(PercentPandL,"&gt;="&amp;AM4,'TRADE LOG'!$BK$15:$BK$9733,1)</f>
        <v>0</v>
      </c>
      <c r="AR4" s="16">
        <f>IFERROR(SUMIFS(ProfitLoss,PercentPandL,"&gt;="&amp;AM4)/AQ4,0)</f>
        <v>0</v>
      </c>
      <c r="AS4">
        <f>IF($AR$2=1,AR4,AQ4)</f>
        <v>0</v>
      </c>
    </row>
    <row r="5" spans="1:46" ht="21.75" customHeight="1">
      <c r="A5" s="106"/>
      <c r="B5" s="679" t="s">
        <v>108</v>
      </c>
      <c r="C5" s="134"/>
      <c r="D5" s="134"/>
      <c r="E5" s="134"/>
      <c r="F5" s="106"/>
      <c r="G5" s="679" t="s">
        <v>723</v>
      </c>
      <c r="H5" s="264"/>
      <c r="I5" s="570"/>
      <c r="J5" s="265"/>
      <c r="K5" s="265"/>
      <c r="L5" s="265"/>
      <c r="M5" s="265"/>
      <c r="N5" s="106"/>
      <c r="O5" s="106"/>
      <c r="P5" s="679" t="s">
        <v>109</v>
      </c>
      <c r="Q5" s="264"/>
      <c r="R5" s="125"/>
      <c r="S5" s="109"/>
      <c r="T5" s="106"/>
      <c r="U5" s="184"/>
      <c r="AC5" s="14"/>
      <c r="AD5" s="45"/>
      <c r="AE5" s="35">
        <f>X8-7</f>
        <v>45024</v>
      </c>
      <c r="AF5" s="35">
        <f t="shared" ref="AF5:AF17" si="0">(AE5+7)-1</f>
        <v>45030</v>
      </c>
      <c r="AG5" s="38">
        <f>'MONTHLY REPORT'!J14</f>
        <v>54271.42</v>
      </c>
      <c r="AH5" s="38">
        <f>SUMIFS(ProfitLoss,'TRADE LOG'!$AT$15:$AT$9733,"&gt;"&amp;AE5,'TRADE LOG'!$AT$15:$AT$9733,"&lt;="&amp;AE4,'TRADE LOG'!$BK$15:$BK$9733,-1)</f>
        <v>0</v>
      </c>
      <c r="AI5" s="38">
        <f>SUMIFS(ProfitLoss,'TRADE LOG'!$AT$15:$AT$9733,"&gt;"&amp;AE5,'TRADE LOG'!$AT$15:$AT$9733,"&lt;="&amp;AE4,'TRADE LOG'!$BK$15:$BK$9733,1)</f>
        <v>0</v>
      </c>
      <c r="AL5" s="45"/>
      <c r="AM5" s="32">
        <v>0.18</v>
      </c>
      <c r="AN5" s="32">
        <v>0.19999999999999998</v>
      </c>
      <c r="AO5" s="32" t="s">
        <v>72</v>
      </c>
      <c r="AP5" s="32"/>
      <c r="AQ5" s="32">
        <f>COUNTIFS(PercentPandL,"&gt;="&amp;AM5,PercentPandL,"&lt;"&amp;AN5,'TRADE LOG'!$BK$15:$BK$9733,1)</f>
        <v>0</v>
      </c>
      <c r="AR5" s="16">
        <f t="shared" ref="AR5:AR14" si="1">IFERROR(SUMIFS(ProfitLoss,PercentPandL,"&gt;="&amp;AM5,PercentPandL,"&lt;"&amp;AN5)/AQ5,0)</f>
        <v>0</v>
      </c>
      <c r="AS5">
        <f t="shared" ref="AS5:AS14" si="2">IF($AR$2=1,AR5,AQ5)</f>
        <v>0</v>
      </c>
    </row>
    <row r="6" spans="1:46" ht="15.95" customHeight="1">
      <c r="A6" s="106"/>
      <c r="B6" s="527" t="str">
        <f>'TRADE STATISTICS'!AO6</f>
        <v>Long Net P&amp;L</v>
      </c>
      <c r="C6" s="775">
        <f>'TRADE STATISTICS'!AO5</f>
        <v>4364.3700000000063</v>
      </c>
      <c r="D6" s="776"/>
      <c r="E6" s="443">
        <f ca="1">'TRADE STATISTICS'!AQ5</f>
        <v>8.7287400000000126E-2</v>
      </c>
      <c r="F6" s="106"/>
      <c r="G6" s="106"/>
      <c r="H6" s="106"/>
      <c r="I6" s="569"/>
      <c r="J6" s="106"/>
      <c r="K6" s="106"/>
      <c r="L6" s="106"/>
      <c r="M6" s="106"/>
      <c r="N6" s="106"/>
      <c r="O6" s="106"/>
      <c r="P6" s="774"/>
      <c r="Q6" s="774"/>
      <c r="R6" s="774"/>
      <c r="S6" s="774"/>
      <c r="T6" s="106"/>
      <c r="U6" s="184"/>
      <c r="AD6" s="45"/>
      <c r="AE6" s="35">
        <f t="shared" ref="AE6:AE17" si="3">AE5-7</f>
        <v>45017</v>
      </c>
      <c r="AF6" s="35">
        <f t="shared" si="0"/>
        <v>45023</v>
      </c>
      <c r="AG6" s="38">
        <f t="shared" ref="AG6:AG17" si="4">AG5-(AH5+AI5)</f>
        <v>54271.42</v>
      </c>
      <c r="AH6" s="38">
        <f>SUMIFS(ProfitLoss,'TRADE LOG'!$AT$15:$AT$9733,"&gt;"&amp;AE6,'TRADE LOG'!$AT$15:$AT$9733,"&lt;="&amp;AE5,'TRADE LOG'!$BK$15:$BK$9733,-1)</f>
        <v>0</v>
      </c>
      <c r="AI6" s="38">
        <f>SUMIFS(ProfitLoss,'TRADE LOG'!$AT$15:$AT$9733,"&gt;"&amp;AE6,'TRADE LOG'!$AT$15:$AT$9733,"&lt;="&amp;AE5,'TRADE LOG'!$BK$15:$BK$9733,1)</f>
        <v>0</v>
      </c>
      <c r="AL6" s="45"/>
      <c r="AM6" s="32">
        <v>0.16</v>
      </c>
      <c r="AN6" s="32">
        <v>0.18</v>
      </c>
      <c r="AO6" s="32" t="s">
        <v>73</v>
      </c>
      <c r="AP6" s="32"/>
      <c r="AQ6" s="32">
        <f>COUNTIFS(PercentPandL,"&gt;="&amp;AM6,PercentPandL,"&lt;"&amp;AN6,'TRADE LOG'!$BK$15:$BK$9733,1)</f>
        <v>0</v>
      </c>
      <c r="AR6" s="16">
        <f t="shared" si="1"/>
        <v>0</v>
      </c>
      <c r="AS6">
        <f t="shared" si="2"/>
        <v>0</v>
      </c>
    </row>
    <row r="7" spans="1:46" ht="15.95" customHeight="1">
      <c r="A7" s="106"/>
      <c r="B7" s="527" t="str">
        <f>'TRADE STATISTICS'!AO8</f>
        <v>Short Net P&amp;L</v>
      </c>
      <c r="C7" s="775">
        <f>'TRADE STATISTICS'!AO7</f>
        <v>-92.950000000000017</v>
      </c>
      <c r="D7" s="776"/>
      <c r="E7" s="443">
        <f ca="1">'TRADE STATISTICS'!AQ7</f>
        <v>-1.8590000000000004E-3</v>
      </c>
      <c r="F7" s="106"/>
      <c r="G7" s="106"/>
      <c r="H7" s="106"/>
      <c r="I7" s="569"/>
      <c r="J7" s="106"/>
      <c r="K7" s="106"/>
      <c r="L7" s="106"/>
      <c r="M7" s="106"/>
      <c r="N7" s="106"/>
      <c r="O7" s="106"/>
      <c r="P7" s="773"/>
      <c r="Q7" s="773"/>
      <c r="R7" s="773"/>
      <c r="S7" s="784"/>
      <c r="T7" s="106"/>
      <c r="U7" s="184"/>
      <c r="W7" t="s">
        <v>150</v>
      </c>
      <c r="X7" s="14">
        <f>'MONTHLY REPORT'!X3</f>
        <v>45024</v>
      </c>
      <c r="AB7" t="s">
        <v>122</v>
      </c>
      <c r="AC7" t="s">
        <v>397</v>
      </c>
      <c r="AD7" s="45"/>
      <c r="AE7" s="35">
        <f t="shared" si="3"/>
        <v>45010</v>
      </c>
      <c r="AF7" s="35">
        <f t="shared" si="0"/>
        <v>45016</v>
      </c>
      <c r="AG7" s="38">
        <f t="shared" si="4"/>
        <v>54271.42</v>
      </c>
      <c r="AH7" s="38">
        <f>SUMIFS(ProfitLoss,'TRADE LOG'!$AT$15:$AT$9733,"&gt;"&amp;AE7,'TRADE LOG'!$AT$15:$AT$9733,"&lt;="&amp;AE6,'TRADE LOG'!$BK$15:$BK$9733,-1)</f>
        <v>0</v>
      </c>
      <c r="AI7" s="38">
        <f>SUMIFS(ProfitLoss,'TRADE LOG'!$AT$15:$AT$9733,"&gt;"&amp;AE7,'TRADE LOG'!$AT$15:$AT$9733,"&lt;="&amp;AE6,'TRADE LOG'!$BK$15:$BK$9733,1)</f>
        <v>0</v>
      </c>
      <c r="AL7" s="45"/>
      <c r="AM7" s="32">
        <v>0.14000000000000001</v>
      </c>
      <c r="AN7" s="32">
        <v>0.16</v>
      </c>
      <c r="AO7" s="32" t="s">
        <v>74</v>
      </c>
      <c r="AP7" s="32"/>
      <c r="AQ7" s="32">
        <f>COUNTIFS(PercentPandL,"&gt;="&amp;AM7,PercentPandL,"&lt;"&amp;AN7,'TRADE LOG'!$BK$15:$BK$9733,1)</f>
        <v>2</v>
      </c>
      <c r="AR7" s="16">
        <f t="shared" si="1"/>
        <v>748.52500000000009</v>
      </c>
      <c r="AS7">
        <f t="shared" si="2"/>
        <v>2</v>
      </c>
    </row>
    <row r="8" spans="1:46" ht="15.95" customHeight="1">
      <c r="A8" s="106"/>
      <c r="B8" s="527" t="str">
        <f>'TRADE STATISTICS'!AO10</f>
        <v>Total Net P&amp;L</v>
      </c>
      <c r="C8" s="775">
        <f>C6+C7</f>
        <v>4271.4200000000064</v>
      </c>
      <c r="D8" s="776"/>
      <c r="E8" s="443">
        <f ca="1">'TRADE STATISTICS'!AQ9</f>
        <v>8.5428400000000126E-2</v>
      </c>
      <c r="F8" s="106"/>
      <c r="G8" s="106"/>
      <c r="H8" s="106"/>
      <c r="I8" s="569"/>
      <c r="J8" s="106"/>
      <c r="K8" s="106"/>
      <c r="L8" s="106"/>
      <c r="M8" s="106"/>
      <c r="N8" s="106"/>
      <c r="O8" s="106"/>
      <c r="P8" s="773"/>
      <c r="Q8" s="773"/>
      <c r="R8" s="773"/>
      <c r="S8" s="773"/>
      <c r="T8" s="106"/>
      <c r="U8" s="184"/>
      <c r="X8" s="14">
        <f>IF(WEEKDAY(X7)=7,X7+7,X7+(7-WEEKDAY(X7)))</f>
        <v>45031</v>
      </c>
      <c r="Y8" s="45">
        <f>AG5</f>
        <v>54271.42</v>
      </c>
      <c r="AA8" s="32" t="s">
        <v>149</v>
      </c>
      <c r="AB8" s="37">
        <f>IFERROR((AC8)/Y8,0)</f>
        <v>0</v>
      </c>
      <c r="AC8" s="44">
        <f>AH5+AI5</f>
        <v>0</v>
      </c>
      <c r="AD8" s="45"/>
      <c r="AE8" s="35">
        <f t="shared" si="3"/>
        <v>45003</v>
      </c>
      <c r="AF8" s="35">
        <f t="shared" si="0"/>
        <v>45009</v>
      </c>
      <c r="AG8" s="38">
        <f t="shared" si="4"/>
        <v>54271.42</v>
      </c>
      <c r="AH8" s="38">
        <f>SUMIFS(ProfitLoss,'TRADE LOG'!$AT$15:$AT$9733,"&gt;"&amp;AE8,'TRADE LOG'!$AT$15:$AT$9733,"&lt;="&amp;AE7,'TRADE LOG'!$BK$15:$BK$9733,-1)</f>
        <v>0</v>
      </c>
      <c r="AI8" s="38">
        <f>SUMIFS(ProfitLoss,'TRADE LOG'!$AT$15:$AT$9733,"&gt;"&amp;AE8,'TRADE LOG'!$AT$15:$AT$9733,"&lt;="&amp;AE7,'TRADE LOG'!$BK$15:$BK$9733,1)</f>
        <v>0</v>
      </c>
      <c r="AL8" s="45"/>
      <c r="AM8" s="32">
        <v>0.12000000000000001</v>
      </c>
      <c r="AN8" s="32">
        <v>0.14000000000000001</v>
      </c>
      <c r="AO8" s="32" t="s">
        <v>75</v>
      </c>
      <c r="AP8" s="32"/>
      <c r="AQ8" s="32">
        <f>COUNTIFS(PercentPandL,"&gt;="&amp;AM8,PercentPandL,"&lt;"&amp;AN8,'TRADE LOG'!$BK$15:$BK$9733,1)</f>
        <v>2</v>
      </c>
      <c r="AR8" s="16">
        <f t="shared" si="1"/>
        <v>532.35</v>
      </c>
      <c r="AS8">
        <f t="shared" si="2"/>
        <v>2</v>
      </c>
    </row>
    <row r="9" spans="1:46" ht="15.95" customHeight="1">
      <c r="A9" s="106"/>
      <c r="B9" s="106"/>
      <c r="C9" s="583"/>
      <c r="D9" s="106"/>
      <c r="E9" s="106"/>
      <c r="F9" s="106"/>
      <c r="G9" s="106"/>
      <c r="H9" s="106"/>
      <c r="I9" s="569"/>
      <c r="J9" s="106"/>
      <c r="K9" s="106"/>
      <c r="L9" s="106"/>
      <c r="M9" s="106"/>
      <c r="N9" s="106"/>
      <c r="O9" s="106"/>
      <c r="P9" s="773"/>
      <c r="Q9" s="773"/>
      <c r="R9" s="773"/>
      <c r="S9" s="773"/>
      <c r="T9" s="106"/>
      <c r="U9" s="184"/>
      <c r="X9" s="14">
        <f>'MONTHLY REPORT'!X3-X6</f>
        <v>45024</v>
      </c>
      <c r="Y9" s="45">
        <f>AG6</f>
        <v>54271.42</v>
      </c>
      <c r="AA9" s="32" t="s">
        <v>148</v>
      </c>
      <c r="AB9" s="37">
        <f>IFERROR((AC9)/Y9,"")</f>
        <v>0</v>
      </c>
      <c r="AC9" s="32">
        <f>AH6+AI6</f>
        <v>0</v>
      </c>
      <c r="AD9" s="45"/>
      <c r="AE9" s="35">
        <f t="shared" si="3"/>
        <v>44996</v>
      </c>
      <c r="AF9" s="35">
        <f t="shared" si="0"/>
        <v>45002</v>
      </c>
      <c r="AG9" s="38">
        <f t="shared" si="4"/>
        <v>54271.42</v>
      </c>
      <c r="AH9" s="38">
        <f>SUMIFS(ProfitLoss,'TRADE LOG'!$AT$15:$AT$9733,"&gt;"&amp;AE9,'TRADE LOG'!$AT$15:$AT$9733,"&lt;="&amp;AE8,'TRADE LOG'!$BK$15:$BK$9733,-1)</f>
        <v>0</v>
      </c>
      <c r="AI9" s="38">
        <f>SUMIFS(ProfitLoss,'TRADE LOG'!$AT$15:$AT$9733,"&gt;"&amp;AE9,'TRADE LOG'!$AT$15:$AT$9733,"&lt;="&amp;AE8,'TRADE LOG'!$BK$15:$BK$9733,1)</f>
        <v>0</v>
      </c>
      <c r="AL9" s="45"/>
      <c r="AM9" s="32">
        <v>0.1</v>
      </c>
      <c r="AN9" s="32">
        <v>0.12000000000000001</v>
      </c>
      <c r="AO9" s="32" t="s">
        <v>76</v>
      </c>
      <c r="AP9" s="32"/>
      <c r="AQ9" s="32">
        <f>COUNTIFS(PercentPandL,"&gt;="&amp;AM9,PercentPandL,"&lt;"&amp;AN9,'TRADE LOG'!$BK$15:$BK$9733,1)</f>
        <v>3</v>
      </c>
      <c r="AR9" s="16">
        <f t="shared" si="1"/>
        <v>581.84</v>
      </c>
      <c r="AS9">
        <f t="shared" si="2"/>
        <v>3</v>
      </c>
    </row>
    <row r="10" spans="1:46" ht="15.95" customHeight="1">
      <c r="A10" s="106"/>
      <c r="B10" s="106"/>
      <c r="C10" s="583"/>
      <c r="D10" s="106"/>
      <c r="E10" s="106"/>
      <c r="F10" s="106"/>
      <c r="G10" s="106"/>
      <c r="H10" s="106"/>
      <c r="I10" s="569"/>
      <c r="J10" s="106"/>
      <c r="K10" s="106"/>
      <c r="L10" s="106"/>
      <c r="M10" s="106"/>
      <c r="N10" s="106"/>
      <c r="O10" s="106"/>
      <c r="P10" s="773"/>
      <c r="Q10" s="773"/>
      <c r="R10" s="773"/>
      <c r="S10" s="773"/>
      <c r="T10" s="106"/>
      <c r="U10" s="184"/>
      <c r="AD10" s="45"/>
      <c r="AE10" s="35">
        <f t="shared" si="3"/>
        <v>44989</v>
      </c>
      <c r="AF10" s="35">
        <f t="shared" si="0"/>
        <v>44995</v>
      </c>
      <c r="AG10" s="38">
        <f t="shared" si="4"/>
        <v>54271.42</v>
      </c>
      <c r="AH10" s="38">
        <f>SUMIFS(ProfitLoss,'TRADE LOG'!$AT$15:$AT$9733,"&gt;"&amp;AE10,'TRADE LOG'!$AT$15:$AT$9733,"&lt;="&amp;AE9,'TRADE LOG'!$BK$15:$BK$9733,-1)</f>
        <v>0</v>
      </c>
      <c r="AI10" s="38">
        <f>SUMIFS(ProfitLoss,'TRADE LOG'!$AT$15:$AT$9733,"&gt;"&amp;AE10,'TRADE LOG'!$AT$15:$AT$9733,"&lt;="&amp;AE9,'TRADE LOG'!$BK$15:$BK$9733,1)</f>
        <v>0</v>
      </c>
      <c r="AL10" s="45"/>
      <c r="AM10" s="32">
        <v>0.08</v>
      </c>
      <c r="AN10" s="32">
        <v>0.1</v>
      </c>
      <c r="AO10" s="32" t="s">
        <v>77</v>
      </c>
      <c r="AP10" s="32"/>
      <c r="AQ10" s="32">
        <f>COUNTIFS(PercentPandL,"&gt;="&amp;AM10,PercentPandL,"&lt;"&amp;AN10,'TRADE LOG'!$BK$15:$BK$9733,1)</f>
        <v>2</v>
      </c>
      <c r="AR10" s="16">
        <f t="shared" si="1"/>
        <v>431.02500000000003</v>
      </c>
      <c r="AS10">
        <f t="shared" si="2"/>
        <v>2</v>
      </c>
    </row>
    <row r="11" spans="1:46" ht="15.95" customHeight="1">
      <c r="A11" s="106"/>
      <c r="B11" s="679" t="s">
        <v>343</v>
      </c>
      <c r="C11" s="584"/>
      <c r="D11" s="108"/>
      <c r="E11" s="128" t="s">
        <v>348</v>
      </c>
      <c r="F11" s="106"/>
      <c r="G11" s="106"/>
      <c r="H11" s="106"/>
      <c r="I11" s="569"/>
      <c r="J11" s="106"/>
      <c r="K11" s="106"/>
      <c r="L11" s="106"/>
      <c r="M11" s="106"/>
      <c r="N11" s="106"/>
      <c r="O11" s="106"/>
      <c r="P11" s="773"/>
      <c r="Q11" s="773"/>
      <c r="R11" s="773"/>
      <c r="S11" s="773"/>
      <c r="T11" s="106"/>
      <c r="U11" s="184"/>
      <c r="V11" s="91"/>
      <c r="W11" t="s">
        <v>43</v>
      </c>
      <c r="X11" s="93">
        <f>'TRADE STATISTICS'!BK6</f>
        <v>0.63472202990503168</v>
      </c>
      <c r="AE11" s="35">
        <f t="shared" si="3"/>
        <v>44982</v>
      </c>
      <c r="AF11" s="35">
        <f t="shared" si="0"/>
        <v>44988</v>
      </c>
      <c r="AG11" s="38">
        <f t="shared" si="4"/>
        <v>54271.42</v>
      </c>
      <c r="AH11" s="38">
        <f>SUMIFS(ProfitLoss,'TRADE LOG'!$AT$15:$AT$9733,"&gt;"&amp;AE11,'TRADE LOG'!$AT$15:$AT$9733,"&lt;="&amp;AE10,'TRADE LOG'!$BK$15:$BK$9733,-1)</f>
        <v>0</v>
      </c>
      <c r="AI11" s="38">
        <f>SUMIFS(ProfitLoss,'TRADE LOG'!$AT$15:$AT$9733,"&gt;"&amp;AE11,'TRADE LOG'!$AT$15:$AT$9733,"&lt;="&amp;AE10,'TRADE LOG'!$BK$15:$BK$9733,1)</f>
        <v>0</v>
      </c>
      <c r="AL11" s="45"/>
      <c r="AM11" s="32">
        <v>0.06</v>
      </c>
      <c r="AN11" s="32">
        <v>0.08</v>
      </c>
      <c r="AO11" s="32" t="s">
        <v>78</v>
      </c>
      <c r="AP11" s="32"/>
      <c r="AQ11" s="32">
        <f>COUNTIFS(PercentPandL,"&gt;="&amp;AM11,PercentPandL,"&lt;"&amp;AN11,'TRADE LOG'!$BK$15:$BK$9733,1)</f>
        <v>5</v>
      </c>
      <c r="AR11" s="16">
        <f t="shared" si="1"/>
        <v>714.05</v>
      </c>
      <c r="AS11">
        <f t="shared" si="2"/>
        <v>5</v>
      </c>
    </row>
    <row r="12" spans="1:46" ht="15.95" customHeight="1">
      <c r="A12" s="106"/>
      <c r="B12" s="527" t="str">
        <f>IFERROR('TRADE LOG'!CC3,"")</f>
        <v>AUDUSD</v>
      </c>
      <c r="C12" s="771">
        <f>IFERROR('TRADE LOG'!CA3,0)</f>
        <v>4767.8500099999992</v>
      </c>
      <c r="D12" s="772"/>
      <c r="E12" s="443">
        <f>IFERROR('TRADE LOG'!CD3,0)</f>
        <v>4.6237754779934401E-2</v>
      </c>
      <c r="F12" s="106"/>
      <c r="G12" s="106"/>
      <c r="H12" s="106"/>
      <c r="I12" s="569"/>
      <c r="J12" s="106"/>
      <c r="K12" s="106"/>
      <c r="L12" s="106"/>
      <c r="M12" s="106"/>
      <c r="N12" s="106"/>
      <c r="O12" s="106"/>
      <c r="P12" s="773"/>
      <c r="Q12" s="773"/>
      <c r="R12" s="773"/>
      <c r="S12" s="773"/>
      <c r="T12" s="106"/>
      <c r="U12" s="184"/>
      <c r="W12" t="s">
        <v>99</v>
      </c>
      <c r="X12">
        <f>'TRADE STATISTICS'!BL6</f>
        <v>0.36527797009496837</v>
      </c>
      <c r="AE12" s="35">
        <f t="shared" si="3"/>
        <v>44975</v>
      </c>
      <c r="AF12" s="35">
        <f t="shared" si="0"/>
        <v>44981</v>
      </c>
      <c r="AG12" s="38">
        <f t="shared" si="4"/>
        <v>54271.42</v>
      </c>
      <c r="AH12" s="38">
        <f>SUMIFS(ProfitLoss,'TRADE LOG'!$AT$15:$AT$9733,"&gt;"&amp;AE12,'TRADE LOG'!$AT$15:$AT$9733,"&lt;="&amp;AE11,'TRADE LOG'!$BK$15:$BK$9733,-1)</f>
        <v>0</v>
      </c>
      <c r="AI12" s="38">
        <f>SUMIFS(ProfitLoss,'TRADE LOG'!$AT$15:$AT$9733,"&gt;"&amp;AE12,'TRADE LOG'!$AT$15:$AT$9733,"&lt;="&amp;AE11,'TRADE LOG'!$BK$15:$BK$9733,1)</f>
        <v>0</v>
      </c>
      <c r="AL12" s="45"/>
      <c r="AM12" s="32">
        <v>0.04</v>
      </c>
      <c r="AN12" s="32">
        <v>0.06</v>
      </c>
      <c r="AO12" s="32" t="s">
        <v>79</v>
      </c>
      <c r="AP12" s="32"/>
      <c r="AQ12" s="32">
        <f>COUNTIFS(PercentPandL,"&gt;="&amp;AM12,PercentPandL,"&lt;"&amp;AN12,'TRADE LOG'!$BK$15:$BK$9733,1)</f>
        <v>3</v>
      </c>
      <c r="AR12" s="16">
        <f t="shared" si="1"/>
        <v>389.51666666666665</v>
      </c>
      <c r="AS12">
        <f t="shared" si="2"/>
        <v>3</v>
      </c>
    </row>
    <row r="13" spans="1:46" ht="15.95" customHeight="1">
      <c r="A13" s="106"/>
      <c r="B13" s="527" t="str">
        <f>IFERROR('TRADE LOG'!CC4,"")</f>
        <v>GBPUSD</v>
      </c>
      <c r="C13" s="771">
        <f>IFERROR('TRADE LOG'!CA4,0)</f>
        <v>527.30003999999997</v>
      </c>
      <c r="D13" s="772"/>
      <c r="E13" s="443">
        <f>IFERROR('TRADE LOG'!CD4,0)</f>
        <v>4.7535041878235384E-3</v>
      </c>
      <c r="F13" s="106"/>
      <c r="G13" s="106"/>
      <c r="H13" s="106"/>
      <c r="I13" s="569"/>
      <c r="J13" s="106"/>
      <c r="K13" s="106"/>
      <c r="L13" s="106"/>
      <c r="M13" s="106"/>
      <c r="N13" s="106"/>
      <c r="O13" s="106"/>
      <c r="P13" s="574">
        <f>'TRADE STATISTICS'!BI4</f>
        <v>25</v>
      </c>
      <c r="Q13" s="575">
        <f>'TRADE STATISTICS'!BJ4</f>
        <v>30</v>
      </c>
      <c r="R13" s="576">
        <f>'TRADE STATISTICS'!BK4</f>
        <v>552.20440000000008</v>
      </c>
      <c r="S13" s="577">
        <f>'TRADE STATISTICS'!BL4</f>
        <v>317.78966666666656</v>
      </c>
      <c r="T13" s="106"/>
      <c r="U13" s="184"/>
      <c r="AE13" s="35">
        <f t="shared" si="3"/>
        <v>44968</v>
      </c>
      <c r="AF13" s="35">
        <f t="shared" si="0"/>
        <v>44974</v>
      </c>
      <c r="AG13" s="38">
        <f t="shared" si="4"/>
        <v>54271.42</v>
      </c>
      <c r="AH13" s="38">
        <f>SUMIFS(ProfitLoss,'TRADE LOG'!$AT$15:$AT$9733,"&gt;"&amp;AE13,'TRADE LOG'!$AT$15:$AT$9733,"&lt;="&amp;AE12,'TRADE LOG'!$BK$15:$BK$9733,-1)</f>
        <v>0</v>
      </c>
      <c r="AI13" s="38">
        <f>SUMIFS(ProfitLoss,'TRADE LOG'!$AT$15:$AT$9733,"&gt;"&amp;AE13,'TRADE LOG'!$AT$15:$AT$9733,"&lt;="&amp;AE12,'TRADE LOG'!$BK$15:$BK$9733,1)</f>
        <v>0</v>
      </c>
      <c r="AL13" s="45"/>
      <c r="AM13" s="32">
        <v>0.02</v>
      </c>
      <c r="AN13" s="32">
        <v>0.04</v>
      </c>
      <c r="AO13" s="32" t="s">
        <v>80</v>
      </c>
      <c r="AP13" s="32"/>
      <c r="AQ13" s="32">
        <f>COUNTIFS(PercentPandL,"&gt;="&amp;AM13,PercentPandL,"&lt;"&amp;AN13,'TRADE LOG'!$BK$15:$BK$9733,1)</f>
        <v>5</v>
      </c>
      <c r="AR13" s="16">
        <f t="shared" si="1"/>
        <v>554.09399999999994</v>
      </c>
      <c r="AS13">
        <f t="shared" si="2"/>
        <v>5</v>
      </c>
    </row>
    <row r="14" spans="1:46" ht="15.95" customHeight="1">
      <c r="A14" s="106"/>
      <c r="B14" s="527" t="str">
        <f>IFERROR('TRADE LOG'!CC5,"")</f>
        <v/>
      </c>
      <c r="C14" s="771" t="str">
        <f>IFERROR('TRADE LOG'!CA5,0)</f>
        <v/>
      </c>
      <c r="D14" s="772"/>
      <c r="E14" s="443" t="str">
        <f>IFERROR('TRADE LOG'!CD5,0)</f>
        <v/>
      </c>
      <c r="F14" s="106"/>
      <c r="G14" s="106"/>
      <c r="H14" s="106"/>
      <c r="I14" s="569"/>
      <c r="J14" s="106"/>
      <c r="K14" s="106"/>
      <c r="L14" s="106"/>
      <c r="M14" s="106"/>
      <c r="N14" s="106"/>
      <c r="O14" s="106"/>
      <c r="P14" s="674" t="s">
        <v>96</v>
      </c>
      <c r="Q14" s="674" t="s">
        <v>97</v>
      </c>
      <c r="R14" s="675" t="s">
        <v>119</v>
      </c>
      <c r="S14" s="675" t="s">
        <v>98</v>
      </c>
      <c r="T14" s="106"/>
      <c r="U14" s="184"/>
      <c r="AE14" s="35">
        <f t="shared" si="3"/>
        <v>44961</v>
      </c>
      <c r="AF14" s="35">
        <f t="shared" si="0"/>
        <v>44967</v>
      </c>
      <c r="AG14" s="38">
        <f t="shared" si="4"/>
        <v>54271.42</v>
      </c>
      <c r="AH14" s="38">
        <f>SUMIFS(ProfitLoss,'TRADE LOG'!$AT$15:$AT$9733,"&gt;"&amp;AE14,'TRADE LOG'!$AT$15:$AT$9733,"&lt;="&amp;AE13,'TRADE LOG'!$BK$15:$BK$9733,-1)</f>
        <v>0</v>
      </c>
      <c r="AI14" s="38">
        <f>SUMIFS(ProfitLoss,'TRADE LOG'!$AT$15:$AT$9733,"&gt;"&amp;AE14,'TRADE LOG'!$AT$15:$AT$9733,"&lt;="&amp;AE13,'TRADE LOG'!$BK$15:$BK$9733,1)</f>
        <v>0</v>
      </c>
      <c r="AL14" s="45"/>
      <c r="AM14" s="32">
        <v>0</v>
      </c>
      <c r="AN14" s="32">
        <v>0.02</v>
      </c>
      <c r="AO14" s="32" t="s">
        <v>71</v>
      </c>
      <c r="AP14" s="32"/>
      <c r="AQ14" s="32">
        <f>COUNTIFS(PercentPandL,"&gt;="&amp;AM14,PercentPandL,"&lt;"&amp;AN14,'TRADE LOG'!$BK$15:$BK$9733,1)</f>
        <v>3</v>
      </c>
      <c r="AR14" s="16">
        <f t="shared" si="1"/>
        <v>375.50666666666666</v>
      </c>
      <c r="AS14">
        <f t="shared" si="2"/>
        <v>3</v>
      </c>
    </row>
    <row r="15" spans="1:46" ht="15.95" customHeight="1">
      <c r="A15" s="106"/>
      <c r="B15" s="527" t="str">
        <f>IFERROR('TRADE LOG'!CC7,"")</f>
        <v>EURUSD</v>
      </c>
      <c r="C15" s="777">
        <f>IFERROR('TRADE LOG'!CA7,0)</f>
        <v>-419.12997000000104</v>
      </c>
      <c r="D15" s="778"/>
      <c r="E15" s="444">
        <f>IFERROR('TRADE LOG'!CD7,0)</f>
        <v>-2.1770770162758777E-3</v>
      </c>
      <c r="F15" s="106"/>
      <c r="G15" s="106"/>
      <c r="H15" s="106"/>
      <c r="I15" s="569"/>
      <c r="J15" s="106"/>
      <c r="K15" s="106"/>
      <c r="L15" s="106"/>
      <c r="M15" s="106"/>
      <c r="N15" s="106"/>
      <c r="O15" s="106"/>
      <c r="P15" s="578">
        <f>I37</f>
        <v>6.8203044749986161E-2</v>
      </c>
      <c r="Q15" s="579">
        <f>I38</f>
        <v>-4.4519008585946623E-2</v>
      </c>
      <c r="R15" s="580">
        <f>IFERROR(P13/Q13,"")</f>
        <v>0.83333333333333337</v>
      </c>
      <c r="S15" s="580">
        <f>IFERROR(R13/S13,"")</f>
        <v>1.7376411441949557</v>
      </c>
      <c r="T15" s="106"/>
      <c r="U15" s="184"/>
      <c r="W15" s="18" t="s">
        <v>395</v>
      </c>
      <c r="X15" s="32">
        <f>I32*R13</f>
        <v>251.00200000000004</v>
      </c>
      <c r="AE15" s="35">
        <f t="shared" si="3"/>
        <v>44954</v>
      </c>
      <c r="AF15" s="35">
        <f t="shared" si="0"/>
        <v>44960</v>
      </c>
      <c r="AG15" s="38">
        <f t="shared" si="4"/>
        <v>54271.42</v>
      </c>
      <c r="AH15" s="38">
        <f>SUMIFS(ProfitLoss,'TRADE LOG'!$AT$15:$AT$9733,"&gt;"&amp;AE15,'TRADE LOG'!$AT$15:$AT$9733,"&lt;="&amp;AE14,'TRADE LOG'!$BK$15:$BK$9733,-1)</f>
        <v>0</v>
      </c>
      <c r="AI15" s="38">
        <f>SUMIFS(ProfitLoss,'TRADE LOG'!$AT$15:$AT$9733,"&gt;"&amp;AE15,'TRADE LOG'!$AT$15:$AT$9733,"&lt;="&amp;AE14,'TRADE LOG'!$BK$15:$BK$9733,1)</f>
        <v>0</v>
      </c>
      <c r="AL15" s="45"/>
      <c r="AM15" s="32">
        <v>-0.02</v>
      </c>
      <c r="AN15" s="32">
        <v>0</v>
      </c>
      <c r="AO15" s="32" t="s">
        <v>82</v>
      </c>
      <c r="AP15" s="32">
        <f>COUNTIFS(PercentPandL,"&gt;="&amp;AM15,PercentPandL,"&lt;"&amp;AN15,'TRADE LOG'!$BK$15:$BK$9733,-1)</f>
        <v>13</v>
      </c>
      <c r="AQ15" s="32"/>
      <c r="AR15" s="16">
        <f t="shared" ref="AR15:AR24" si="5">IFERROR(SUMIFS(ProfitLoss,PercentPandL,"&gt;="&amp;AM15,PercentPandL,"&lt;"&amp;AN15)/AP15,0)</f>
        <v>-308.55153846153848</v>
      </c>
      <c r="AT15">
        <f>ABS(IF($AR$2=1,AR15,AP15))</f>
        <v>13</v>
      </c>
    </row>
    <row r="16" spans="1:46" ht="15.95" customHeight="1">
      <c r="A16" s="106"/>
      <c r="B16" s="527" t="str">
        <f>IFERROR('TRADE LOG'!CC8,"")</f>
        <v>XAUUSD</v>
      </c>
      <c r="C16" s="777">
        <f>IFERROR('TRADE LOG'!CA8,0)</f>
        <v>-409.99997999999999</v>
      </c>
      <c r="D16" s="778"/>
      <c r="E16" s="444">
        <f>IFERROR('TRADE LOG'!CD8,0)</f>
        <v>-7.8782063821153487E-5</v>
      </c>
      <c r="F16" s="106"/>
      <c r="G16" s="106"/>
      <c r="H16" s="106"/>
      <c r="I16" s="569"/>
      <c r="J16" s="106"/>
      <c r="K16" s="106"/>
      <c r="L16" s="106"/>
      <c r="M16" s="106"/>
      <c r="N16" s="106"/>
      <c r="O16" s="106"/>
      <c r="P16" s="532" t="s">
        <v>707</v>
      </c>
      <c r="Q16" s="532" t="s">
        <v>239</v>
      </c>
      <c r="R16" s="531" t="s">
        <v>787</v>
      </c>
      <c r="S16" s="531" t="s">
        <v>788</v>
      </c>
      <c r="T16" s="106"/>
      <c r="U16" s="184"/>
      <c r="W16" s="18" t="s">
        <v>396</v>
      </c>
      <c r="X16" s="32">
        <f>(1-I32)*S13</f>
        <v>173.33981818181812</v>
      </c>
      <c r="AE16" s="35">
        <f t="shared" si="3"/>
        <v>44947</v>
      </c>
      <c r="AF16" s="35">
        <f t="shared" si="0"/>
        <v>44953</v>
      </c>
      <c r="AG16" s="38">
        <f t="shared" si="4"/>
        <v>54271.42</v>
      </c>
      <c r="AH16" s="38">
        <f>SUMIFS(ProfitLoss,'TRADE LOG'!$AT$15:$AT$9733,"&gt;"&amp;AE16,'TRADE LOG'!$AT$15:$AT$9733,"&lt;="&amp;AE15,'TRADE LOG'!$BK$15:$BK$9733,-1)</f>
        <v>0</v>
      </c>
      <c r="AI16" s="38">
        <f>SUMIFS(ProfitLoss,'TRADE LOG'!$AT$15:$AT$9733,"&gt;"&amp;AE16,'TRADE LOG'!$AT$15:$AT$9733,"&lt;="&amp;AE15,'TRADE LOG'!$BK$15:$BK$9733,1)</f>
        <v>0</v>
      </c>
      <c r="AL16" s="45"/>
      <c r="AM16" s="32">
        <v>-0.04</v>
      </c>
      <c r="AN16" s="32">
        <v>-0.02</v>
      </c>
      <c r="AO16" s="32" t="s">
        <v>83</v>
      </c>
      <c r="AP16" s="32">
        <f>COUNTIFS(PercentPandL,"&gt;="&amp;AM16,PercentPandL,"&lt;"&amp;AN16,'TRADE LOG'!$BK$15:$BK$9733,-1)</f>
        <v>5</v>
      </c>
      <c r="AQ16" s="32"/>
      <c r="AR16" s="16">
        <f t="shared" si="5"/>
        <v>-343.13199999999995</v>
      </c>
      <c r="AT16">
        <f>ABS(IF($AR$2=1,AR16,AP16))</f>
        <v>5</v>
      </c>
    </row>
    <row r="17" spans="1:46" ht="15.95" customHeight="1">
      <c r="A17" s="106"/>
      <c r="B17" s="527" t="str">
        <f>IFERROR('TRADE LOG'!CC9,"")</f>
        <v>USDCAD</v>
      </c>
      <c r="C17" s="777">
        <f>IFERROR('TRADE LOG'!CA9,0)</f>
        <v>-128.90994000000009</v>
      </c>
      <c r="D17" s="778"/>
      <c r="E17" s="444">
        <f>IFERROR('TRADE LOG'!CD9,0)</f>
        <v>-5.8599785539124535E-4</v>
      </c>
      <c r="F17" s="106"/>
      <c r="G17" s="106"/>
      <c r="H17" s="107"/>
      <c r="I17" s="569"/>
      <c r="J17" s="106"/>
      <c r="K17" s="106"/>
      <c r="L17" s="106"/>
      <c r="M17" s="106"/>
      <c r="N17" s="127"/>
      <c r="O17" s="106"/>
      <c r="P17" s="533" t="s">
        <v>42</v>
      </c>
      <c r="Q17" s="498">
        <f>IFERROR(X15/X16,0)</f>
        <v>1.4480342868291298</v>
      </c>
      <c r="R17" s="533" t="s">
        <v>112</v>
      </c>
      <c r="S17" s="590">
        <f>X15-X16</f>
        <v>77.662181818181921</v>
      </c>
      <c r="T17" s="106"/>
      <c r="U17" s="184"/>
      <c r="AE17" s="35">
        <f t="shared" si="3"/>
        <v>44940</v>
      </c>
      <c r="AF17" s="35">
        <f t="shared" si="0"/>
        <v>44946</v>
      </c>
      <c r="AG17" s="38">
        <f t="shared" si="4"/>
        <v>54271.42</v>
      </c>
      <c r="AH17" s="38">
        <f>SUMIFS(ProfitLoss,'TRADE LOG'!$AT$15:$AT$9733,"&gt;"&amp;AE17,'TRADE LOG'!$AT$15:$AT$9733,"&lt;="&amp;AE16,'TRADE LOG'!$BK$15:$BK$9733,-1)</f>
        <v>0</v>
      </c>
      <c r="AI17" s="38">
        <f>SUMIFS(ProfitLoss,'TRADE LOG'!$AT$15:$AT$9733,"&gt;"&amp;AE17,'TRADE LOG'!$AT$15:$AT$9733,"&lt;="&amp;AE16,'TRADE LOG'!$BK$15:$BK$9733,1)</f>
        <v>0</v>
      </c>
      <c r="AL17" s="45"/>
      <c r="AM17" s="32">
        <v>-0.06</v>
      </c>
      <c r="AN17" s="32">
        <v>-0.04</v>
      </c>
      <c r="AO17" s="32" t="s">
        <v>84</v>
      </c>
      <c r="AP17" s="32">
        <f>COUNTIFS(PercentPandL,"&gt;="&amp;AM17,PercentPandL,"&lt;"&amp;AN17,'TRADE LOG'!$BK$15:$BK$9733,-1)</f>
        <v>5</v>
      </c>
      <c r="AQ17" s="32"/>
      <c r="AR17" s="16">
        <f t="shared" si="5"/>
        <v>-266.17999999999995</v>
      </c>
      <c r="AT17">
        <f t="shared" ref="AT17:AT25" si="6">ABS(IF($AR$2=1,AR17,AP17))</f>
        <v>5</v>
      </c>
    </row>
    <row r="18" spans="1:46" ht="15" customHeight="1">
      <c r="A18" s="106"/>
      <c r="B18" s="129"/>
      <c r="C18" s="583"/>
      <c r="D18" s="106"/>
      <c r="E18" s="130"/>
      <c r="F18" s="106"/>
      <c r="G18" s="110"/>
      <c r="H18" s="110"/>
      <c r="I18" s="571"/>
      <c r="J18" s="110"/>
      <c r="K18" s="110"/>
      <c r="L18" s="110"/>
      <c r="M18" s="110"/>
      <c r="N18" s="110"/>
      <c r="O18" s="106"/>
      <c r="P18" s="106"/>
      <c r="Q18" s="106"/>
      <c r="R18" s="106"/>
      <c r="S18" s="106"/>
      <c r="T18" s="106"/>
      <c r="U18" s="184"/>
      <c r="AE18" s="32"/>
      <c r="AF18" s="32"/>
      <c r="AG18" s="32"/>
      <c r="AH18" s="32"/>
      <c r="AI18" s="32"/>
      <c r="AL18" s="45">
        <f>AI18+AH18</f>
        <v>0</v>
      </c>
      <c r="AM18" s="32">
        <v>-0.08</v>
      </c>
      <c r="AN18" s="32">
        <v>-0.06</v>
      </c>
      <c r="AO18" s="32" t="s">
        <v>85</v>
      </c>
      <c r="AP18" s="32">
        <f>COUNTIFS(PercentPandL,"&gt;="&amp;AM18,PercentPandL,"&lt;"&amp;AN18,'TRADE LOG'!$BK$15:$BK$9733,-1)</f>
        <v>2</v>
      </c>
      <c r="AQ18" s="32"/>
      <c r="AR18" s="16">
        <f t="shared" si="5"/>
        <v>-526.47500000000002</v>
      </c>
      <c r="AT18">
        <f t="shared" si="6"/>
        <v>2</v>
      </c>
    </row>
    <row r="19" spans="1:46" ht="25.5" customHeight="1">
      <c r="A19" s="106"/>
      <c r="B19" s="106"/>
      <c r="C19" s="583"/>
      <c r="D19" s="106"/>
      <c r="E19" s="106"/>
      <c r="F19" s="106"/>
      <c r="G19" s="798" t="s">
        <v>354</v>
      </c>
      <c r="H19" s="798"/>
      <c r="I19" s="799"/>
      <c r="J19" s="798"/>
      <c r="K19" s="798"/>
      <c r="L19" s="798"/>
      <c r="M19" s="798"/>
      <c r="N19" s="798"/>
      <c r="O19" s="106"/>
      <c r="P19" s="106"/>
      <c r="Q19" s="106"/>
      <c r="R19" s="106"/>
      <c r="S19" s="106"/>
      <c r="T19" s="184"/>
      <c r="U19" s="184"/>
      <c r="AL19" s="45"/>
      <c r="AM19" s="32">
        <v>-0.1</v>
      </c>
      <c r="AN19" s="32">
        <v>-0.08</v>
      </c>
      <c r="AO19" s="32" t="s">
        <v>86</v>
      </c>
      <c r="AP19" s="32">
        <f>COUNTIFS(PercentPandL,"&gt;="&amp;AM19,PercentPandL,"&lt;"&amp;AN19,'TRADE LOG'!$BK$15:$BK$9733,-1)</f>
        <v>1</v>
      </c>
      <c r="AQ19" s="32"/>
      <c r="AR19" s="16">
        <f t="shared" si="5"/>
        <v>-297.64999999999998</v>
      </c>
      <c r="AT19">
        <f t="shared" si="6"/>
        <v>1</v>
      </c>
    </row>
    <row r="20" spans="1:46" ht="18" customHeight="1">
      <c r="A20" s="106"/>
      <c r="B20" s="679" t="s">
        <v>107</v>
      </c>
      <c r="C20" s="585"/>
      <c r="D20" s="266"/>
      <c r="E20" s="267" t="s">
        <v>141</v>
      </c>
      <c r="F20" s="106"/>
      <c r="G20" s="679" t="s">
        <v>720</v>
      </c>
      <c r="H20" s="110"/>
      <c r="I20" s="571"/>
      <c r="J20" s="514" t="s">
        <v>779</v>
      </c>
      <c r="K20" s="110"/>
      <c r="L20" s="110"/>
      <c r="M20" s="131"/>
      <c r="N20" s="132"/>
      <c r="O20" s="106"/>
      <c r="P20" s="679" t="s">
        <v>721</v>
      </c>
      <c r="Q20" s="106"/>
      <c r="R20" s="106"/>
      <c r="S20" s="106"/>
      <c r="T20" s="106"/>
      <c r="U20" s="184"/>
      <c r="AE20" s="22" t="s">
        <v>205</v>
      </c>
      <c r="AF20" s="22"/>
      <c r="AG20" s="22" t="s">
        <v>37</v>
      </c>
      <c r="AH20" s="22" t="s">
        <v>64</v>
      </c>
      <c r="AI20" s="22" t="s">
        <v>65</v>
      </c>
      <c r="AJ20" s="22" t="s">
        <v>62</v>
      </c>
      <c r="AK20" s="22" t="s">
        <v>63</v>
      </c>
      <c r="AL20" s="22" t="s">
        <v>67</v>
      </c>
      <c r="AM20" s="32">
        <v>-0.12000000000000001</v>
      </c>
      <c r="AN20" s="32">
        <v>-0.1</v>
      </c>
      <c r="AO20" s="32" t="s">
        <v>87</v>
      </c>
      <c r="AP20" s="32">
        <f>COUNTIFS(PercentPandL,"&gt;="&amp;AM20,PercentPandL,"&lt;"&amp;AN20,'TRADE LOG'!$BK$15:$BK$9733,-1)</f>
        <v>2</v>
      </c>
      <c r="AQ20" s="32"/>
      <c r="AR20" s="16">
        <f t="shared" si="5"/>
        <v>-357.65</v>
      </c>
      <c r="AT20">
        <f t="shared" si="6"/>
        <v>2</v>
      </c>
    </row>
    <row r="21" spans="1:46" ht="15.95" customHeight="1">
      <c r="A21" s="106"/>
      <c r="B21" s="109"/>
      <c r="C21" s="584"/>
      <c r="D21" s="108"/>
      <c r="E21" s="108"/>
      <c r="F21" s="106"/>
      <c r="G21" s="110"/>
      <c r="H21" s="110"/>
      <c r="I21" s="571"/>
      <c r="J21" s="110"/>
      <c r="K21" s="110"/>
      <c r="L21" s="110"/>
      <c r="M21" s="110"/>
      <c r="N21" s="110"/>
      <c r="O21" s="106"/>
      <c r="P21" s="513" t="s">
        <v>341</v>
      </c>
      <c r="Q21" s="775">
        <f>DASHBOARD!AC8</f>
        <v>0</v>
      </c>
      <c r="R21" s="776"/>
      <c r="S21" s="506">
        <f>AB8</f>
        <v>0</v>
      </c>
      <c r="T21" s="106"/>
      <c r="U21" s="184"/>
      <c r="AM21" s="32">
        <v>-0.14000000000000001</v>
      </c>
      <c r="AN21" s="32">
        <v>-0.12000000000000001</v>
      </c>
      <c r="AO21" s="32" t="s">
        <v>88</v>
      </c>
      <c r="AP21" s="32">
        <f>COUNTIFS(PercentPandL,"&gt;="&amp;AM21,PercentPandL,"&lt;"&amp;AN21,'TRADE LOG'!$BK$15:$BK$9733,-1)</f>
        <v>0</v>
      </c>
      <c r="AQ21" s="32"/>
      <c r="AR21" s="16">
        <f t="shared" si="5"/>
        <v>0</v>
      </c>
      <c r="AT21">
        <f t="shared" si="6"/>
        <v>0</v>
      </c>
    </row>
    <row r="22" spans="1:46" ht="15.95" customHeight="1">
      <c r="A22" s="106"/>
      <c r="B22" s="525" t="s">
        <v>104</v>
      </c>
      <c r="C22" s="775">
        <f>DASHBOARD!AJ23</f>
        <v>0</v>
      </c>
      <c r="D22" s="776"/>
      <c r="E22" s="443">
        <f>DASHBOARD!AL23</f>
        <v>0</v>
      </c>
      <c r="F22" s="106"/>
      <c r="G22" s="110"/>
      <c r="H22" s="110"/>
      <c r="I22" s="571"/>
      <c r="J22" s="110"/>
      <c r="K22" s="110"/>
      <c r="L22" s="110"/>
      <c r="M22" s="110"/>
      <c r="N22" s="110"/>
      <c r="O22" s="106"/>
      <c r="P22" s="513" t="s">
        <v>342</v>
      </c>
      <c r="Q22" s="775">
        <f>DASHBOARD!AC9</f>
        <v>0</v>
      </c>
      <c r="R22" s="776"/>
      <c r="S22" s="506">
        <f>AB9</f>
        <v>0</v>
      </c>
      <c r="T22" s="106"/>
      <c r="U22" s="184"/>
      <c r="AE22" s="32"/>
      <c r="AF22" s="32" t="s">
        <v>24</v>
      </c>
      <c r="AG22" s="35">
        <f>DATE(YEAR(AG23),MONTH(AG23)-1,DAY(1))</f>
        <v>44986</v>
      </c>
      <c r="AH22" s="35">
        <f>DATE(YEAR(AG22),MONTH(AG22),DAY(1))</f>
        <v>44986</v>
      </c>
      <c r="AI22" s="35">
        <f>DATE(YEAR(AG22),MONTH(AG22)+1,DAY(1)-1)</f>
        <v>45016</v>
      </c>
      <c r="AJ22" s="32"/>
      <c r="AK22" s="32"/>
      <c r="AL22" s="32"/>
      <c r="AM22" s="302">
        <v>-0.16</v>
      </c>
      <c r="AN22" s="32">
        <v>-0.14000000000000001</v>
      </c>
      <c r="AO22" s="32" t="s">
        <v>89</v>
      </c>
      <c r="AP22" s="32">
        <f>COUNTIFS(PercentPandL,"&gt;="&amp;AM22,PercentPandL,"&lt;"&amp;AN22,'TRADE LOG'!$BK$15:$BK$9733,-1)</f>
        <v>0</v>
      </c>
      <c r="AQ22" s="32"/>
      <c r="AR22" s="16">
        <f t="shared" si="5"/>
        <v>0</v>
      </c>
      <c r="AT22">
        <f t="shared" si="6"/>
        <v>0</v>
      </c>
    </row>
    <row r="23" spans="1:46" ht="15.95" customHeight="1">
      <c r="A23" s="106"/>
      <c r="B23" s="526" t="s">
        <v>100</v>
      </c>
      <c r="C23" s="775">
        <f>DASHBOARD!AJ24</f>
        <v>0</v>
      </c>
      <c r="D23" s="776"/>
      <c r="E23" s="443">
        <f>DASHBOARD!AL24</f>
        <v>0</v>
      </c>
      <c r="F23" s="106"/>
      <c r="G23" s="110"/>
      <c r="H23" s="110"/>
      <c r="I23" s="571"/>
      <c r="J23" s="110"/>
      <c r="K23" s="110"/>
      <c r="L23" s="110"/>
      <c r="M23" s="110"/>
      <c r="N23" s="110"/>
      <c r="O23" s="106"/>
      <c r="P23" s="106"/>
      <c r="Q23" s="106"/>
      <c r="R23" s="106"/>
      <c r="S23" s="106"/>
      <c r="T23" s="106"/>
      <c r="U23" s="184"/>
      <c r="AE23" s="32"/>
      <c r="AF23" s="32" t="s">
        <v>23</v>
      </c>
      <c r="AG23" s="35">
        <f>'MONTHLY REPORT'!X3</f>
        <v>45024</v>
      </c>
      <c r="AH23" s="35">
        <f>DATE(YEAR(AG23),MONTH(AG23),DAY(1))</f>
        <v>45017</v>
      </c>
      <c r="AI23" s="35">
        <f>DATE(YEAR(AG23),MONTH(AG23)+1,DAY(1)-1)</f>
        <v>45046</v>
      </c>
      <c r="AJ23" s="32">
        <f>SUMIFS('TRADE LOG'!$BD$15:$BD$9733,'TRADE LOG'!$AT$15:$AT$9733,"&gt;="&amp;AH23,'TRADE LOG'!$AT$15:$AT$9733,"&lt;="&amp;AI23)</f>
        <v>0</v>
      </c>
      <c r="AK23" s="32">
        <f>IFERROR(INDEX('MONTHLY REPORT'!$E$15:$E$89,MATCH(AH23,'MONTHLY REPORT'!$Z$15:$Z$89,0)),0)</f>
        <v>53716.72</v>
      </c>
      <c r="AL23" s="32">
        <f t="shared" ref="AL23:AL29" si="7">IFERROR(AJ23/AK23,0)</f>
        <v>0</v>
      </c>
      <c r="AM23" s="302">
        <v>-0.18</v>
      </c>
      <c r="AN23" s="32">
        <v>-0.16</v>
      </c>
      <c r="AO23" s="32" t="s">
        <v>90</v>
      </c>
      <c r="AP23" s="32">
        <f>COUNTIFS(PercentPandL,"&gt;="&amp;AM23,PercentPandL,"&lt;"&amp;AN23,'TRADE LOG'!$BK$15:$BK$9733,-1)</f>
        <v>1</v>
      </c>
      <c r="AQ23" s="32"/>
      <c r="AR23" s="16">
        <f t="shared" si="5"/>
        <v>-196.53</v>
      </c>
      <c r="AT23">
        <f t="shared" si="6"/>
        <v>1</v>
      </c>
    </row>
    <row r="24" spans="1:46" ht="15.95" customHeight="1">
      <c r="A24" s="106"/>
      <c r="B24" s="526" t="s">
        <v>101</v>
      </c>
      <c r="C24" s="775">
        <f>DASHBOARD!AJ25</f>
        <v>554.70000000000005</v>
      </c>
      <c r="D24" s="776"/>
      <c r="E24" s="443">
        <f>DASHBOARD!AL25</f>
        <v>1.0326393718752746E-2</v>
      </c>
      <c r="F24" s="106"/>
      <c r="G24" s="110"/>
      <c r="H24" s="110"/>
      <c r="I24" s="571"/>
      <c r="J24" s="110"/>
      <c r="K24" s="110"/>
      <c r="L24" s="110"/>
      <c r="M24" s="110"/>
      <c r="N24" s="110"/>
      <c r="O24" s="106"/>
      <c r="P24" s="106"/>
      <c r="Q24" s="106"/>
      <c r="R24" s="106"/>
      <c r="S24" s="106"/>
      <c r="T24" s="106"/>
      <c r="U24" s="184"/>
      <c r="AE24" s="32"/>
      <c r="AF24" s="32"/>
      <c r="AG24" s="35" t="s">
        <v>31</v>
      </c>
      <c r="AH24" s="35">
        <f>DATE(YEAR(AG23),MONTH(1),DAY(1))</f>
        <v>44927</v>
      </c>
      <c r="AI24" s="35">
        <f>DATE(YEAR(AH24),MONTH(AH24)+3,DAY(1)-1)</f>
        <v>45016</v>
      </c>
      <c r="AJ24" s="32">
        <f>SUMIFS('TRADE LOG'!$BD$15:$BD$9733,'TRADE LOG'!$AT$15:$AT$9733,"&gt;="&amp;AH24,'TRADE LOG'!$AT$15:$AT$9733,"&lt;="&amp;AI24)</f>
        <v>0</v>
      </c>
      <c r="AK24" s="32">
        <f>IFERROR(INDEX('MONTHLY REPORT'!$E$15:$E$89,MATCH(AH24,'MONTHLY REPORT'!$Z$15:$Z$89,0)),'Bank Transfers'!$H$15)</f>
        <v>53716.72</v>
      </c>
      <c r="AL24" s="32">
        <f t="shared" si="7"/>
        <v>0</v>
      </c>
      <c r="AM24" s="302">
        <v>-0.19999999999999998</v>
      </c>
      <c r="AN24" s="32">
        <v>-0.18</v>
      </c>
      <c r="AO24" s="32" t="s">
        <v>91</v>
      </c>
      <c r="AP24" s="32">
        <f>COUNTIFS(PercentPandL,"&gt;="&amp;AM24,PercentPandL,"&lt;"&amp;AN24,'TRADE LOG'!$BK$15:$BK$9733,-1)</f>
        <v>1</v>
      </c>
      <c r="AQ24" s="32"/>
      <c r="AR24" s="16">
        <f t="shared" si="5"/>
        <v>-213.53</v>
      </c>
      <c r="AT24">
        <f t="shared" si="6"/>
        <v>1</v>
      </c>
    </row>
    <row r="25" spans="1:46" ht="15.95" customHeight="1">
      <c r="A25" s="106"/>
      <c r="B25" s="526" t="s">
        <v>102</v>
      </c>
      <c r="C25" s="775">
        <f>DASHBOARD!AJ26</f>
        <v>0</v>
      </c>
      <c r="D25" s="776"/>
      <c r="E25" s="443">
        <f>DASHBOARD!AL26</f>
        <v>0</v>
      </c>
      <c r="F25" s="106"/>
      <c r="G25" s="110"/>
      <c r="H25" s="110"/>
      <c r="I25" s="571"/>
      <c r="J25" s="110"/>
      <c r="K25" s="110"/>
      <c r="L25" s="110"/>
      <c r="M25" s="110"/>
      <c r="N25" s="110"/>
      <c r="O25" s="106"/>
      <c r="P25" s="106"/>
      <c r="Q25" s="106"/>
      <c r="R25" s="106"/>
      <c r="S25" s="106"/>
      <c r="T25" s="106"/>
      <c r="U25" s="184"/>
      <c r="AE25" s="32"/>
      <c r="AF25" s="32"/>
      <c r="AG25" s="35" t="s">
        <v>30</v>
      </c>
      <c r="AH25" s="35">
        <f>DATE(YEAR(AI24),MONTH(AI24)+1,DAY(1))</f>
        <v>45017</v>
      </c>
      <c r="AI25" s="35">
        <f>DATE(YEAR(AH25),MONTH(AH25)+3,DAY(1)-1)</f>
        <v>45107</v>
      </c>
      <c r="AJ25" s="32">
        <f>SUMIFS('TRADE LOG'!$BD$15:$BD$9733,'TRADE LOG'!$AT$15:$AT$9733,"&gt;="&amp;AH25,'TRADE LOG'!$AT$15:$AT$9733,"&lt;="&amp;AI25)</f>
        <v>554.70000000000005</v>
      </c>
      <c r="AK25" s="32">
        <f>IFERROR(INDEX('MONTHLY REPORT'!$E$15:$E$89,MATCH(AH25,'MONTHLY REPORT'!$Z$15:$Z$89,0)),'Bank Transfers'!$H$15)</f>
        <v>53716.72</v>
      </c>
      <c r="AL25" s="32">
        <f t="shared" si="7"/>
        <v>1.0326393718752746E-2</v>
      </c>
      <c r="AM25" s="302">
        <v>-0.19999999999999998</v>
      </c>
      <c r="AN25" s="32"/>
      <c r="AO25" s="32" t="s">
        <v>125</v>
      </c>
      <c r="AP25" s="32">
        <f>COUNTIFS(PercentPandL,"&lt;"&amp;AM25,'TRADE LOG'!$BK$15:$BK$9733,-1)</f>
        <v>0</v>
      </c>
      <c r="AQ25" s="32"/>
      <c r="AR25" s="16">
        <f>IFERROR(SUMIFS(ProfitLoss,PercentPandL,"&lt;"&amp;AM25)/AP25,0)</f>
        <v>0</v>
      </c>
      <c r="AT25">
        <f t="shared" si="6"/>
        <v>0</v>
      </c>
    </row>
    <row r="26" spans="1:46" ht="15.95" customHeight="1">
      <c r="A26" s="106"/>
      <c r="B26" s="526" t="s">
        <v>103</v>
      </c>
      <c r="C26" s="775">
        <f>DASHBOARD!AJ27</f>
        <v>0</v>
      </c>
      <c r="D26" s="776"/>
      <c r="E26" s="443">
        <f>DASHBOARD!AL27</f>
        <v>0</v>
      </c>
      <c r="F26" s="106"/>
      <c r="G26" s="106"/>
      <c r="H26" s="106"/>
      <c r="I26" s="569"/>
      <c r="J26" s="106"/>
      <c r="K26" s="106"/>
      <c r="L26" s="106"/>
      <c r="M26" s="106"/>
      <c r="N26" s="106"/>
      <c r="O26" s="106"/>
      <c r="P26" s="106"/>
      <c r="Q26" s="106"/>
      <c r="R26" s="106"/>
      <c r="S26" s="106"/>
      <c r="T26" s="106"/>
      <c r="U26" s="185"/>
      <c r="X26">
        <v>2999</v>
      </c>
      <c r="AE26" s="32"/>
      <c r="AF26" s="32"/>
      <c r="AG26" s="35" t="s">
        <v>29</v>
      </c>
      <c r="AH26" s="35">
        <f>DATE(YEAR(AI25),MONTH(AI25)+1,DAY(1))</f>
        <v>45108</v>
      </c>
      <c r="AI26" s="35">
        <f>DATE(YEAR(AH26),MONTH(AH26)+3,DAY(1)-1)</f>
        <v>45199</v>
      </c>
      <c r="AJ26" s="32">
        <f>SUMIFS('TRADE LOG'!$BD$15:$BD$9733,'TRADE LOG'!$AT$15:$AT$9733,"&gt;="&amp;AH26,'TRADE LOG'!$AT$15:$AT$9733,"&lt;="&amp;AI26)</f>
        <v>0</v>
      </c>
      <c r="AK26" s="32">
        <f>IFERROR(INDEX('MONTHLY REPORT'!$E$15:$E$89,MATCH(AH26,'MONTHLY REPORT'!$Z$15:$Z$89,0)),'Bank Transfers'!$H$15)</f>
        <v>50000</v>
      </c>
      <c r="AL26" s="32">
        <f t="shared" si="7"/>
        <v>0</v>
      </c>
    </row>
    <row r="27" spans="1:46" ht="15.95" customHeight="1">
      <c r="A27" s="106"/>
      <c r="B27" s="525" t="s">
        <v>105</v>
      </c>
      <c r="C27" s="775">
        <f>DASHBOARD!AJ28</f>
        <v>554.70000000000005</v>
      </c>
      <c r="D27" s="776"/>
      <c r="E27" s="443">
        <f>DASHBOARD!AL28</f>
        <v>1.0326393718752746E-2</v>
      </c>
      <c r="F27" s="106"/>
      <c r="G27" s="106"/>
      <c r="H27" s="106"/>
      <c r="I27" s="569"/>
      <c r="J27" s="106"/>
      <c r="K27" s="106"/>
      <c r="L27" s="106"/>
      <c r="M27" s="106"/>
      <c r="N27" s="106"/>
      <c r="O27" s="106"/>
      <c r="P27" s="111"/>
      <c r="Q27" s="112"/>
      <c r="R27" s="112"/>
      <c r="S27" s="133"/>
      <c r="T27" s="106"/>
      <c r="U27" s="185"/>
      <c r="V27" t="s">
        <v>137</v>
      </c>
      <c r="W27" s="512">
        <f ca="1">'TRADE LOG'!BH4</f>
        <v>54280</v>
      </c>
      <c r="X27" s="42">
        <f>'TRADE LOG'!BI4</f>
        <v>56</v>
      </c>
      <c r="AC27" s="32" t="s">
        <v>135</v>
      </c>
      <c r="AD27" s="22">
        <f>IFERROR(MAX(AG5:AG17)*1.03,1)</f>
        <v>55899.562599999997</v>
      </c>
      <c r="AE27" s="32"/>
      <c r="AF27" s="32"/>
      <c r="AG27" s="35" t="s">
        <v>28</v>
      </c>
      <c r="AH27" s="35">
        <f>DATE(YEAR(AI26),MONTH(AI26)+1,DAY(1))</f>
        <v>45200</v>
      </c>
      <c r="AI27" s="35">
        <f>DATE(YEAR(AH27),MONTH(AH27)+3,DAY(1)-1)</f>
        <v>45291</v>
      </c>
      <c r="AJ27" s="32">
        <f>SUMIFS('TRADE LOG'!$BD$15:$BD$9733,'TRADE LOG'!$AT$15:$AT$9733,"&gt;="&amp;AH27,'TRADE LOG'!$AT$15:$AT$9733,"&lt;="&amp;AI27)</f>
        <v>0</v>
      </c>
      <c r="AK27" s="32">
        <f>IFERROR(INDEX('MONTHLY REPORT'!$E$15:$E$89,MATCH(AH27,'MONTHLY REPORT'!$Z$15:$Z$89,0)),'Bank Transfers'!$H$15)</f>
        <v>50000</v>
      </c>
      <c r="AL27" s="32">
        <f t="shared" si="7"/>
        <v>0</v>
      </c>
    </row>
    <row r="28" spans="1:46" ht="15.95" customHeight="1">
      <c r="A28" s="106"/>
      <c r="B28" s="526" t="s">
        <v>106</v>
      </c>
      <c r="C28" s="775">
        <f>DASHBOARD!AJ29</f>
        <v>0</v>
      </c>
      <c r="D28" s="776"/>
      <c r="E28" s="443">
        <f>DASHBOARD!AL29</f>
        <v>0</v>
      </c>
      <c r="F28" s="106"/>
      <c r="G28" s="106"/>
      <c r="H28" s="106"/>
      <c r="I28" s="569"/>
      <c r="J28" s="106"/>
      <c r="K28" s="106"/>
      <c r="L28" s="106"/>
      <c r="M28" s="106"/>
      <c r="N28" s="106"/>
      <c r="O28" s="106"/>
      <c r="P28" s="111"/>
      <c r="Q28" s="112"/>
      <c r="R28" s="112"/>
      <c r="S28" s="133"/>
      <c r="T28" s="106"/>
      <c r="U28" s="184"/>
      <c r="V28" t="s">
        <v>138</v>
      </c>
      <c r="W28" s="19">
        <f ca="1">'TRADE LOG'!BH5</f>
        <v>48980</v>
      </c>
      <c r="X28" s="42">
        <f>'TRADE LOG'!BI5</f>
        <v>6</v>
      </c>
      <c r="AC28" s="32" t="s">
        <v>136</v>
      </c>
      <c r="AD28" s="22">
        <f>IFERROR(MIN(AG5:AG17)*0.97,0)</f>
        <v>52643.277399999999</v>
      </c>
      <c r="AE28" s="32"/>
      <c r="AF28" s="32"/>
      <c r="AG28" s="35" t="s">
        <v>26</v>
      </c>
      <c r="AH28" s="35">
        <f>AH24</f>
        <v>44927</v>
      </c>
      <c r="AI28" s="35">
        <f>AG23</f>
        <v>45024</v>
      </c>
      <c r="AJ28" s="32">
        <f>SUM(AJ24:AJ27)</f>
        <v>554.70000000000005</v>
      </c>
      <c r="AK28" s="32">
        <f>IFERROR(INDEX('MONTHLY REPORT'!$E$15:$E$89,MATCH(AH28,'MONTHLY REPORT'!$Z$15:$Z$89,0)),'Bank Transfers'!$H$15)</f>
        <v>53716.72</v>
      </c>
      <c r="AL28" s="32">
        <f t="shared" si="7"/>
        <v>1.0326393718752746E-2</v>
      </c>
    </row>
    <row r="29" spans="1:46" ht="30.75" customHeight="1">
      <c r="A29" s="106"/>
      <c r="B29" s="627"/>
      <c r="C29" s="586"/>
      <c r="D29" s="629" t="str">
        <f>"As of "&amp;TEXT(SETTINGS!AH2,"mmmm-dd,yyy")</f>
        <v>As of April-08,2023</v>
      </c>
      <c r="E29" s="628"/>
      <c r="F29" s="106"/>
      <c r="G29" s="106"/>
      <c r="H29" s="106"/>
      <c r="I29" s="569"/>
      <c r="J29" s="106"/>
      <c r="K29" s="106"/>
      <c r="L29" s="106"/>
      <c r="M29" s="106"/>
      <c r="N29" s="106"/>
      <c r="O29" s="106"/>
      <c r="P29" s="111"/>
      <c r="Q29" s="112"/>
      <c r="R29" s="112"/>
      <c r="S29" s="133"/>
      <c r="T29" s="106"/>
      <c r="U29" s="184"/>
      <c r="AE29" s="32"/>
      <c r="AF29" s="32">
        <f>MAX($AF$30,AH29)</f>
        <v>44562</v>
      </c>
      <c r="AG29" s="35" t="s">
        <v>27</v>
      </c>
      <c r="AH29" s="35">
        <f>DATE(YEAR(AG23)-1,MONTH(1),DAY(1))</f>
        <v>44562</v>
      </c>
      <c r="AI29" s="35">
        <f>DATE(YEAR(AH29)+1,MONTH(1),DAY(1)-1)</f>
        <v>44926</v>
      </c>
      <c r="AJ29" s="32">
        <f>SUMIFS('TRADE LOG'!$BD$15:$BD$9733,'TRADE LOG'!$AT$15:$AT$9733,"&gt;="&amp;AH29,'TRADE LOG'!$AT$15:$AT$9733,"&lt;="&amp;AI29)</f>
        <v>0</v>
      </c>
      <c r="AK29" s="32">
        <f>IFERROR(INDEX('MONTHLY REPORT'!$E$15:$E$89,MATCH(AH29,'MONTHLY REPORT'!$Z$15:$Z$89,0)),'Bank Transfers'!$H$15)</f>
        <v>53716.72</v>
      </c>
      <c r="AL29" s="32">
        <f t="shared" si="7"/>
        <v>0</v>
      </c>
    </row>
    <row r="30" spans="1:46" ht="24" customHeight="1">
      <c r="A30" s="106"/>
      <c r="B30" s="106"/>
      <c r="C30" s="583"/>
      <c r="D30" s="106"/>
      <c r="E30" s="213"/>
      <c r="F30" s="106"/>
      <c r="G30" s="800"/>
      <c r="H30" s="800"/>
      <c r="I30" s="801"/>
      <c r="J30" s="800"/>
      <c r="K30" s="800"/>
      <c r="L30" s="800"/>
      <c r="M30" s="800"/>
      <c r="N30" s="800"/>
      <c r="O30" s="106"/>
      <c r="P30" s="106"/>
      <c r="Q30" s="106"/>
      <c r="R30" s="106"/>
      <c r="S30" s="106"/>
      <c r="T30" s="184"/>
      <c r="U30" s="184"/>
      <c r="V30" s="20"/>
      <c r="W30" t="str">
        <f>SETTINGS!AA13</f>
        <v>REWARD-RISK RATIO</v>
      </c>
      <c r="X30" t="str">
        <f>"     SETUP WIN% VS. "&amp;W30</f>
        <v xml:space="preserve">     SETUP WIN% VS. REWARD-RISK RATIO</v>
      </c>
      <c r="AE30" s="32">
        <f>DATE(YEAR(AG23),MONTH(1),DAY(1))</f>
        <v>44927</v>
      </c>
      <c r="AF30" s="32">
        <f>MIN('MONTHLY REPORT'!$Z$15:$Z$89,AE30)</f>
        <v>43952</v>
      </c>
      <c r="AG30" s="32" t="s">
        <v>37</v>
      </c>
      <c r="AH30" s="32"/>
      <c r="AI30" s="32"/>
      <c r="AJ30" s="32"/>
      <c r="AK30" s="32"/>
      <c r="AL30" s="32"/>
    </row>
    <row r="31" spans="1:46" ht="18" customHeight="1">
      <c r="A31" s="106"/>
      <c r="B31" s="679" t="s">
        <v>415</v>
      </c>
      <c r="C31" s="587"/>
      <c r="D31" s="114"/>
      <c r="E31" s="114"/>
      <c r="F31" s="106"/>
      <c r="G31" s="679" t="s">
        <v>722</v>
      </c>
      <c r="H31" s="106"/>
      <c r="I31" s="779" t="s">
        <v>414</v>
      </c>
      <c r="J31" s="780"/>
      <c r="K31" s="781" t="s">
        <v>120</v>
      </c>
      <c r="L31" s="781"/>
      <c r="M31" s="780" t="s">
        <v>411</v>
      </c>
      <c r="N31" s="780"/>
      <c r="O31" s="106"/>
      <c r="P31" s="679" t="str">
        <f>X30</f>
        <v xml:space="preserve">     SETUP WIN% VS. REWARD-RISK RATIO</v>
      </c>
      <c r="Q31" s="134"/>
      <c r="R31" s="134"/>
      <c r="S31" s="134"/>
      <c r="T31" s="106"/>
      <c r="U31" s="184"/>
      <c r="V31" s="479" t="s">
        <v>747</v>
      </c>
    </row>
    <row r="32" spans="1:46" ht="15.95" customHeight="1">
      <c r="A32" s="106"/>
      <c r="B32" s="268" t="s">
        <v>340</v>
      </c>
      <c r="C32" s="782">
        <f>'TRADE LOG'!BM5</f>
        <v>-2179.8800000000047</v>
      </c>
      <c r="D32" s="783"/>
      <c r="E32" s="313">
        <f>'TRADE LOG'!BL5</f>
        <v>-4.0518855781178816E-2</v>
      </c>
      <c r="F32" s="126"/>
      <c r="G32" s="269" t="s">
        <v>454</v>
      </c>
      <c r="H32" s="137"/>
      <c r="I32" s="786">
        <f>'TRADE STATISTICS'!BI6</f>
        <v>0.45454545454545453</v>
      </c>
      <c r="J32" s="786"/>
      <c r="K32" s="572"/>
      <c r="L32" s="573">
        <f ca="1">IFERROR(V32,"")</f>
        <v>0.3</v>
      </c>
      <c r="M32" s="770">
        <f ca="1">IFERROR(((L32-I32)/ABS(I32)),"")</f>
        <v>-0.34</v>
      </c>
      <c r="N32" s="770"/>
      <c r="O32" s="106"/>
      <c r="P32" s="113"/>
      <c r="Q32" s="113"/>
      <c r="R32" s="113"/>
      <c r="S32" s="113"/>
      <c r="T32" s="106"/>
      <c r="U32" s="184"/>
      <c r="V32" s="32">
        <f ca="1">V34/(V34+V35)</f>
        <v>0.3</v>
      </c>
      <c r="W32">
        <f>MAX(AI43:AI92)</f>
        <v>37</v>
      </c>
      <c r="X32">
        <f>W32+14</f>
        <v>51</v>
      </c>
      <c r="AB32" s="32"/>
      <c r="AC32" s="32"/>
      <c r="AD32" s="32">
        <f>'TRADE LOG'!AE1</f>
        <v>55</v>
      </c>
      <c r="AE32" s="32">
        <f>SETTINGS!S4</f>
        <v>2</v>
      </c>
      <c r="AF32" s="101">
        <f>SETTINGS!S5</f>
        <v>0.1</v>
      </c>
      <c r="AG32" s="32" t="s">
        <v>424</v>
      </c>
      <c r="AH32" s="32"/>
      <c r="AI32" s="32" t="s">
        <v>423</v>
      </c>
      <c r="AJ32" s="32"/>
    </row>
    <row r="33" spans="1:56" ht="15.95" customHeight="1">
      <c r="A33" s="106"/>
      <c r="B33" s="269" t="s">
        <v>181</v>
      </c>
      <c r="C33" s="588">
        <f>'TRADE LOG'!BM7</f>
        <v>1391.7499999999998</v>
      </c>
      <c r="D33" s="273"/>
      <c r="E33" s="270">
        <f>'TRADE LOG'!$BL$7</f>
        <v>5</v>
      </c>
      <c r="F33" s="126"/>
      <c r="G33" s="269" t="s">
        <v>59</v>
      </c>
      <c r="H33" s="137"/>
      <c r="I33" s="588">
        <f>MAX(ProfitLoss)</f>
        <v>2273.5</v>
      </c>
      <c r="J33" s="588"/>
      <c r="K33" s="588">
        <f ca="1">IFERROR(MAX(INDIRECT("'Trade Log'!bd"&amp;X32):INDIRECT("'Trade Log'!bd"&amp;X33)),0)</f>
        <v>2273.5</v>
      </c>
      <c r="L33" s="273"/>
      <c r="M33" s="770">
        <f ca="1">IFERROR(((K33-I33)/ABS(I33)),"")</f>
        <v>0</v>
      </c>
      <c r="N33" s="770"/>
      <c r="O33" s="106"/>
      <c r="P33" s="113"/>
      <c r="Q33" s="113"/>
      <c r="R33" s="113"/>
      <c r="S33" s="135"/>
      <c r="T33" s="106"/>
      <c r="U33" s="184"/>
      <c r="V33" s="32">
        <f ca="1">1-V32</f>
        <v>0.7</v>
      </c>
      <c r="W33">
        <f>AK43</f>
        <v>56</v>
      </c>
      <c r="X33">
        <f>W33+14</f>
        <v>70</v>
      </c>
      <c r="AB33" s="32">
        <f>COUNTIF('TRADE LOG'!$W$15:$W$9733,"&lt;-"&amp;1+AF32)</f>
        <v>5</v>
      </c>
      <c r="AC33" s="32"/>
      <c r="AD33" s="32" t="s">
        <v>441</v>
      </c>
      <c r="AE33" s="101">
        <f>AL33/(AH33+AH34+AH35)</f>
        <v>0.7931034482758621</v>
      </c>
      <c r="AF33" s="32" t="s">
        <v>443</v>
      </c>
      <c r="AG33" s="32" t="s">
        <v>436</v>
      </c>
      <c r="AH33" s="101">
        <f t="shared" ref="AH33:AH39" si="8">AB33/$AD$32</f>
        <v>9.0909090909090912E-2</v>
      </c>
      <c r="AI33" s="32" t="s">
        <v>443</v>
      </c>
      <c r="AJ33" s="32"/>
      <c r="AK33" t="s">
        <v>429</v>
      </c>
      <c r="AL33">
        <f>LARGE(AH33:AH35,1)</f>
        <v>0.41818181818181815</v>
      </c>
      <c r="AN33" t="str">
        <f>INDEX(AI33:AI35,MATCH(AL33,AH33:AH35,0))</f>
        <v>of loss trades may due to early exit, under allocate or fear</v>
      </c>
    </row>
    <row r="34" spans="1:56" ht="15.95" customHeight="1">
      <c r="A34" s="106"/>
      <c r="B34" s="268" t="s">
        <v>182</v>
      </c>
      <c r="C34" s="589">
        <f>'TRADE LOG'!BM6</f>
        <v>-1015.3599999999999</v>
      </c>
      <c r="D34" s="272"/>
      <c r="E34" s="271">
        <f>'TRADE LOG'!$BL$6</f>
        <v>5</v>
      </c>
      <c r="F34" s="126"/>
      <c r="G34" s="269" t="s">
        <v>60</v>
      </c>
      <c r="H34" s="137"/>
      <c r="I34" s="589">
        <f>MIN(ProfitLoss)</f>
        <v>-835.3</v>
      </c>
      <c r="J34" s="589"/>
      <c r="K34" s="589">
        <f ca="1">IFERROR(MIN(INDIRECT("'Trade Log'!bd"&amp;X32):INDIRECT("'Trade Log'!bd"&amp;X33)),0)</f>
        <v>-738.23</v>
      </c>
      <c r="L34" s="272"/>
      <c r="M34" s="770">
        <f ca="1">IFERROR(((K34-I34)/ABS(I34)),"")</f>
        <v>0.11620974500179569</v>
      </c>
      <c r="N34" s="770"/>
      <c r="O34" s="106"/>
      <c r="P34" s="113"/>
      <c r="Q34" s="113"/>
      <c r="R34" s="113"/>
      <c r="S34" s="113"/>
      <c r="T34" s="106"/>
      <c r="U34" s="184"/>
      <c r="V34" s="32">
        <f ca="1">COUNTIF(INDIRECT("'Trade Log'!bk"&amp;X32):INDIRECT("'Trade Log'!bk"&amp;X33),1)</f>
        <v>6</v>
      </c>
      <c r="AB34" s="32">
        <f>COUNTIFS('TRADE LOG'!$W$15:$W$9733,"&gt;-"&amp;1+AF32,'TRADE LOG'!$W$15:$W$9733,"&lt;=-"&amp;1-AF32)</f>
        <v>1</v>
      </c>
      <c r="AC34" s="32"/>
      <c r="AD34" s="32" t="s">
        <v>440</v>
      </c>
      <c r="AE34" s="101"/>
      <c r="AF34" s="32" t="s">
        <v>435</v>
      </c>
      <c r="AG34" s="32" t="s">
        <v>435</v>
      </c>
      <c r="AH34" s="101">
        <f t="shared" si="8"/>
        <v>1.8181818181818181E-2</v>
      </c>
      <c r="AI34" s="32" t="s">
        <v>447</v>
      </c>
      <c r="AJ34" s="32"/>
      <c r="AK34" t="s">
        <v>426</v>
      </c>
    </row>
    <row r="35" spans="1:56" ht="15.95" customHeight="1">
      <c r="A35" s="106"/>
      <c r="B35" s="268" t="s">
        <v>306</v>
      </c>
      <c r="C35" s="588">
        <f>'TRADE LOG'!BL9</f>
        <v>2572.9</v>
      </c>
      <c r="D35" s="273"/>
      <c r="E35" s="496">
        <f>IFERROR('TRADE LOG'!BM9,0)</f>
        <v>4</v>
      </c>
      <c r="F35" s="126"/>
      <c r="G35" s="269" t="s">
        <v>57</v>
      </c>
      <c r="H35" s="137"/>
      <c r="I35" s="791">
        <f>IF(COUNT('MONTHLY REPORT'!X15)=0,MAX(MAX(PercentPandL),SETTINGS!S71),MAX(PercentPandL))</f>
        <v>0.15096108069507752</v>
      </c>
      <c r="J35" s="791"/>
      <c r="K35" s="297"/>
      <c r="L35" s="298">
        <f ca="1">IFERROR(MAX(INDIRECT("'Trade Log'!be"&amp;X32):INDIRECT("'Trade Log'!be"&amp;X33)),0)</f>
        <v>0.15096108069507752</v>
      </c>
      <c r="M35" s="770">
        <f ca="1">IFERROR(((L35-I35)/ABS(I35)),"")</f>
        <v>0</v>
      </c>
      <c r="N35" s="770"/>
      <c r="O35" s="106"/>
      <c r="P35" s="113"/>
      <c r="Q35" s="113"/>
      <c r="R35" s="113"/>
      <c r="S35" s="135"/>
      <c r="T35" s="106"/>
      <c r="U35" s="184"/>
      <c r="V35" s="32">
        <f ca="1">COUNTIF(INDIRECT("'Trade Log'!bk"&amp;X32):INDIRECT("'Trade Log'!bk"&amp;X33),-1)</f>
        <v>14</v>
      </c>
      <c r="AB35" s="32">
        <f>COUNTIFS('TRADE LOG'!$W$15:$W$9733,"&lt;=-"&amp;AF32,'TRADE LOG'!$W$15:$W$9733,"&gt;-"&amp;1-AF32)</f>
        <v>23</v>
      </c>
      <c r="AC35" s="32"/>
      <c r="AD35" s="32" t="s">
        <v>439</v>
      </c>
      <c r="AE35" s="101"/>
      <c r="AF35" s="32" t="s">
        <v>437</v>
      </c>
      <c r="AG35" s="32" t="s">
        <v>437</v>
      </c>
      <c r="AH35" s="101">
        <f t="shared" si="8"/>
        <v>0.41818181818181815</v>
      </c>
      <c r="AI35" s="32" t="s">
        <v>446</v>
      </c>
      <c r="AJ35" s="32"/>
      <c r="AK35" t="s">
        <v>427</v>
      </c>
    </row>
    <row r="36" spans="1:56" ht="15.95" customHeight="1">
      <c r="A36" s="106"/>
      <c r="B36" s="268" t="s">
        <v>305</v>
      </c>
      <c r="C36" s="589">
        <f>'TRADE LOG'!BL8</f>
        <v>-1745.67</v>
      </c>
      <c r="D36" s="272"/>
      <c r="E36" s="496">
        <f>IFERROR('TRADE LOG'!BM8,0)</f>
        <v>3</v>
      </c>
      <c r="F36" s="126"/>
      <c r="G36" s="269" t="s">
        <v>58</v>
      </c>
      <c r="H36" s="137"/>
      <c r="I36" s="792">
        <f>IF(COUNT('MONTHLY REPORT'!X15)=0,MIN(MIN(PercentPandL),SETTINGS!S72),MIN(PercentPandL))</f>
        <v>-0.19361302782739118</v>
      </c>
      <c r="J36" s="792"/>
      <c r="K36" s="274"/>
      <c r="L36" s="144">
        <f ca="1">IFERROR(MIN(INDIRECT("'Trade Log'!be"&amp;X32):INDIRECT("'Trade Log'!be"&amp;X33)),0)</f>
        <v>-2.3795709842209245E-2</v>
      </c>
      <c r="M36" s="770">
        <f ca="1">IFERROR(((L36-I36)/ABS(I36)),"")</f>
        <v>0.87709654608870913</v>
      </c>
      <c r="N36" s="770"/>
      <c r="O36" s="106"/>
      <c r="P36" s="113"/>
      <c r="Q36" s="113"/>
      <c r="R36" s="113"/>
      <c r="S36" s="113"/>
      <c r="T36" s="106"/>
      <c r="U36" s="184"/>
      <c r="V36" s="477">
        <f>SUMIFS('TRADE LOG'!$AF$15:$AF$9733,'TRADE LOG'!$U$15:$U$9733,"&gt;0",Datelog,"&gt;0")</f>
        <v>0.30438657406921266</v>
      </c>
      <c r="X36" s="23"/>
      <c r="AB36" s="32">
        <f>COUNTIFS('TRADE LOG'!$W$15:$W$9733,"&gt;-"&amp;AF32,'TRADE LOG'!$W$15:$W$9733,"&lt;"&amp;AF32)</f>
        <v>2</v>
      </c>
      <c r="AC36" s="32"/>
      <c r="AD36" s="32" t="s">
        <v>438</v>
      </c>
      <c r="AE36" s="101"/>
      <c r="AF36" s="32" t="s">
        <v>434</v>
      </c>
      <c r="AG36" s="32" t="s">
        <v>434</v>
      </c>
      <c r="AH36" s="101">
        <f t="shared" si="8"/>
        <v>3.6363636363636362E-2</v>
      </c>
      <c r="AI36" s="32" t="s">
        <v>428</v>
      </c>
      <c r="AJ36" s="32"/>
      <c r="AK36" t="s">
        <v>428</v>
      </c>
    </row>
    <row r="37" spans="1:56" ht="15.95" customHeight="1">
      <c r="A37" s="106"/>
      <c r="B37" s="116"/>
      <c r="C37" s="116"/>
      <c r="D37" s="275"/>
      <c r="E37" s="276"/>
      <c r="F37" s="126"/>
      <c r="G37" s="269" t="s">
        <v>712</v>
      </c>
      <c r="H37" s="137"/>
      <c r="I37" s="791">
        <f>IFERROR(SUMIFS(PercentPandL,PercentPandL,"&gt;0",'TRADE LOG'!$Q$15:$Q$9733,"&gt;0")/$P$13,0)</f>
        <v>6.8203044749986161E-2</v>
      </c>
      <c r="J37" s="791"/>
      <c r="K37" s="297"/>
      <c r="L37" s="298">
        <f ca="1">IFERROR(SUMIF(INDIRECT("'Trade Log'!bk"&amp;X32):INDIRECT("'Trade Log'!bk"&amp;X33),1,INDIRECT("'Trade Log'!be"&amp;X32):INDIRECT("'Trade Log'!be"&amp;X33))/V34,0)</f>
        <v>6.4646206687624996E-2</v>
      </c>
      <c r="M37" s="770">
        <f ca="1">IFERROR(((L37-I37)/ABS(I37)),"")</f>
        <v>-5.2150722528584562E-2</v>
      </c>
      <c r="N37" s="770"/>
      <c r="O37" s="106"/>
      <c r="P37" s="113"/>
      <c r="Q37" s="113"/>
      <c r="R37" s="113"/>
      <c r="S37" s="135"/>
      <c r="T37" s="106"/>
      <c r="U37" s="184"/>
      <c r="V37" s="477">
        <f>SUMIFS('TRADE LOG'!AF15:AF9733,'TRADE LOG'!$U$15:$U$9733,"&lt;=0",Datelog,"&gt;0")</f>
        <v>0.36825231480179355</v>
      </c>
      <c r="X37" s="23"/>
      <c r="AB37" s="32">
        <f>COUNTIFS('TRADE LOG'!$W$15:$W$9733,"&lt;"&amp;AE32-AF32,'TRADE LOG'!$W$15:$W$9733,"&gt;"&amp;AF32)</f>
        <v>20</v>
      </c>
      <c r="AC37" s="32"/>
      <c r="AD37" s="32" t="str">
        <f>"0R to "&amp;AE32&amp;"R"</f>
        <v>0R to 2R</v>
      </c>
      <c r="AE37" s="101">
        <f>AL37/(AH37+AH38+AH39)</f>
        <v>0.83333333333333326</v>
      </c>
      <c r="AF37" s="32" t="s">
        <v>442</v>
      </c>
      <c r="AG37" s="32" t="s">
        <v>432</v>
      </c>
      <c r="AH37" s="101">
        <f t="shared" si="8"/>
        <v>0.36363636363636365</v>
      </c>
      <c r="AI37" s="32" t="s">
        <v>442</v>
      </c>
      <c r="AJ37" s="32"/>
      <c r="AK37" t="s">
        <v>427</v>
      </c>
      <c r="AL37">
        <f>LARGE(AH37:AH39,1)</f>
        <v>0.36363636363636365</v>
      </c>
      <c r="AN37" t="str">
        <f>INDEX(AI37:AI39,MATCH(AL37,AH37:AH39,0))</f>
        <v>of win trades may due to early exit, under allocate or fear</v>
      </c>
    </row>
    <row r="38" spans="1:56" ht="15.95" customHeight="1">
      <c r="A38" s="106"/>
      <c r="B38" s="678" t="s">
        <v>416</v>
      </c>
      <c r="C38" s="277" t="s">
        <v>417</v>
      </c>
      <c r="D38" s="277" t="s">
        <v>129</v>
      </c>
      <c r="E38" s="277" t="s">
        <v>414</v>
      </c>
      <c r="F38" s="126"/>
      <c r="G38" s="269" t="s">
        <v>713</v>
      </c>
      <c r="H38" s="137"/>
      <c r="I38" s="792">
        <f>IFERROR(SUMIFS(PercentPandL,PercentPandL,"&lt;=0",'TRADE LOG'!$Q$15:$Q$9733,"&gt;0")/$Q$13,0)</f>
        <v>-4.4519008585946623E-2</v>
      </c>
      <c r="J38" s="792"/>
      <c r="K38" s="274"/>
      <c r="L38" s="144">
        <f ca="1">IFERROR(SUMIF(INDIRECT("'Trade Log'!bk"&amp;X32):INDIRECT("'Trade Log'!bk"&amp;X33),-1,INDIRECT("'Trade Log'!be"&amp;X32):INDIRECT("'Trade Log'!be"&amp;X33))/V35,0)</f>
        <v>-1.5606508085410069E-2</v>
      </c>
      <c r="M38" s="770">
        <f ca="1">IFERROR(((L38-I38)/ABS(I38)),"")</f>
        <v>0.64944169735314816</v>
      </c>
      <c r="N38" s="770"/>
      <c r="O38" s="106"/>
      <c r="P38" s="113"/>
      <c r="Q38" s="113"/>
      <c r="R38" s="113"/>
      <c r="S38" s="113"/>
      <c r="T38" s="106"/>
      <c r="U38" s="184"/>
      <c r="V38" s="477">
        <f>V36+V37</f>
        <v>0.6726388888710062</v>
      </c>
      <c r="X38" s="23"/>
      <c r="Y38" t="s">
        <v>330</v>
      </c>
      <c r="AB38" s="32">
        <f>COUNTIFS('TRADE LOG'!$W$15:$W$9733,"&gt;="&amp;AE32-AF32,'TRADE LOG'!$W$15:$W$9733,"&lt;="&amp;AE32+AF32)</f>
        <v>1</v>
      </c>
      <c r="AC38" s="32"/>
      <c r="AD38" s="32" t="str">
        <f>AE32&amp;"R"</f>
        <v>2R</v>
      </c>
      <c r="AE38" s="101"/>
      <c r="AF38" s="32" t="s">
        <v>431</v>
      </c>
      <c r="AG38" s="32" t="s">
        <v>431</v>
      </c>
      <c r="AH38" s="101">
        <f t="shared" si="8"/>
        <v>1.8181818181818181E-2</v>
      </c>
      <c r="AI38" s="32" t="s">
        <v>444</v>
      </c>
      <c r="AJ38" s="32"/>
      <c r="AK38" t="s">
        <v>426</v>
      </c>
      <c r="BB38" s="19"/>
      <c r="BC38" s="19" t="s">
        <v>135</v>
      </c>
      <c r="BD38" s="19">
        <f>ROUNDUP(MAX(AK46:BD46)*1.1,0)</f>
        <v>14</v>
      </c>
    </row>
    <row r="39" spans="1:56" ht="15.95" customHeight="1">
      <c r="A39" s="106"/>
      <c r="B39" s="269" t="s">
        <v>412</v>
      </c>
      <c r="C39" s="278">
        <f>IFERROR(V36/$P$13,0)</f>
        <v>1.2175462962768507E-2</v>
      </c>
      <c r="D39" s="278">
        <f>IFERROR(V37/$Q$13,0)</f>
        <v>1.2275077160059785E-2</v>
      </c>
      <c r="E39" s="278">
        <f>IFERROR(V38/($Q$13+P13),0)</f>
        <v>1.222979797947284E-2</v>
      </c>
      <c r="F39" s="126"/>
      <c r="G39" s="269" t="s">
        <v>418</v>
      </c>
      <c r="H39" s="137"/>
      <c r="I39" s="793">
        <f>IFERROR((I37)/-(I38),0)</f>
        <v>1.5319982837963717</v>
      </c>
      <c r="J39" s="793"/>
      <c r="K39" s="793">
        <f ca="1">IFERROR((L37)/-(L38),0)</f>
        <v>4.1422595197999659</v>
      </c>
      <c r="L39" s="793"/>
      <c r="M39" s="770">
        <f t="shared" ref="M39:M44" ca="1" si="9">IFERROR(((K39-I39)/ABS(I39)),"")</f>
        <v>1.7038277807565361</v>
      </c>
      <c r="N39" s="770"/>
      <c r="O39" s="106"/>
      <c r="P39" s="115"/>
      <c r="Q39" s="115"/>
      <c r="R39" s="115"/>
      <c r="S39" s="115"/>
      <c r="T39" s="106"/>
      <c r="U39" s="184"/>
      <c r="V39" s="101">
        <f>SUMIFS('TRADE LOG'!$BI$15:$BI$9733,'TRADE LOG'!$BK$15:$BK$9733,1)/V42</f>
        <v>0.38241862054579551</v>
      </c>
      <c r="W39" t="s">
        <v>814</v>
      </c>
      <c r="X39" s="16"/>
      <c r="Y39" t="s">
        <v>407</v>
      </c>
      <c r="AB39" s="32">
        <f>COUNTIF('TRADE LOG'!$W$15:$W$9733,"&gt;"&amp;AE32+AF32)</f>
        <v>3</v>
      </c>
      <c r="AC39" s="32"/>
      <c r="AD39" s="32" t="str">
        <f>"&gt;"&amp;AE32&amp;"R"</f>
        <v>&gt;2R</v>
      </c>
      <c r="AE39" s="101"/>
      <c r="AF39" s="32" t="s">
        <v>433</v>
      </c>
      <c r="AG39" s="32" t="s">
        <v>433</v>
      </c>
      <c r="AH39" s="101">
        <f t="shared" si="8"/>
        <v>5.4545454545454543E-2</v>
      </c>
      <c r="AI39" s="32" t="s">
        <v>445</v>
      </c>
      <c r="AJ39" s="32"/>
      <c r="AK39" t="s">
        <v>425</v>
      </c>
      <c r="AN39" t="str">
        <f>CONCATENATE(TEXT(AE37,"0%")," ",AN37)</f>
        <v>83% of win trades may due to early exit, under allocate or fear</v>
      </c>
      <c r="BB39" s="19"/>
      <c r="BC39" s="19" t="s">
        <v>136</v>
      </c>
      <c r="BD39" s="19">
        <f>ROUNDDOWN(MIN(AK46:BD46)*0.9,0)</f>
        <v>7</v>
      </c>
    </row>
    <row r="40" spans="1:56" ht="15.95" customHeight="1">
      <c r="A40" s="106"/>
      <c r="B40" s="269" t="s">
        <v>413</v>
      </c>
      <c r="C40" s="279">
        <f>IFERROR(V39/$P$13,0)</f>
        <v>1.5296744821831821E-2</v>
      </c>
      <c r="D40" s="279">
        <f>IFERROR(V40/$Q$13,0)</f>
        <v>2.447519632398126E-2</v>
      </c>
      <c r="E40" s="279">
        <f>IFERROR(V41/($Q$13+$P$13),0)</f>
        <v>2.0303172913913339E-2</v>
      </c>
      <c r="F40" s="126"/>
      <c r="G40" s="269" t="s">
        <v>714</v>
      </c>
      <c r="H40" s="137"/>
      <c r="I40" s="787">
        <f>R13</f>
        <v>552.20440000000008</v>
      </c>
      <c r="J40" s="787"/>
      <c r="K40" s="588">
        <f ca="1">IFERROR(SUMIF(INDIRECT("'Trade Log'!bk"&amp;X32):INDIRECT("'Trade Log'!bk"&amp;X33),1,INDIRECT("'Trade Log'!bd"&amp;X32):INDIRECT("'Trade Log'!bd"&amp;X33))/V34,0)</f>
        <v>891.25333333333322</v>
      </c>
      <c r="L40" s="273"/>
      <c r="M40" s="770">
        <f t="shared" ca="1" si="9"/>
        <v>0.61399172721791617</v>
      </c>
      <c r="N40" s="770"/>
      <c r="O40" s="106"/>
      <c r="P40" s="116"/>
      <c r="Q40" s="117"/>
      <c r="R40" s="118"/>
      <c r="S40" s="117"/>
      <c r="T40" s="106"/>
      <c r="U40" s="184"/>
      <c r="V40" s="101">
        <f>SUMIFS('TRADE LOG'!$BI$15:$BI$9733,'TRADE LOG'!$BK$15:$BK$9733,-1)/V42</f>
        <v>0.73425588971943778</v>
      </c>
      <c r="W40" t="s">
        <v>815</v>
      </c>
      <c r="AN40" t="str">
        <f>CONCATENATE(TEXT(AE33,"0%")," ",AN33)</f>
        <v>79% of loss trades may due to early exit, under allocate or fear</v>
      </c>
    </row>
    <row r="41" spans="1:56" ht="15.95" customHeight="1">
      <c r="A41" s="106"/>
      <c r="B41" s="137"/>
      <c r="C41" s="137"/>
      <c r="D41" s="137"/>
      <c r="E41" s="137"/>
      <c r="F41" s="126"/>
      <c r="G41" s="269" t="s">
        <v>715</v>
      </c>
      <c r="H41" s="137"/>
      <c r="I41" s="794">
        <f>-S13</f>
        <v>-317.78966666666656</v>
      </c>
      <c r="J41" s="794"/>
      <c r="K41" s="589">
        <f ca="1">IFERROR(SUMIF(INDIRECT("'Trade Log'!bk"&amp;X32):INDIRECT("'Trade Log'!bk"&amp;X33),-1,INDIRECT("'Trade Log'!bd"&amp;X32):INDIRECT("'Trade Log'!bd"&amp;X33))/V35,0)</f>
        <v>-348.23214285714295</v>
      </c>
      <c r="L41" s="272"/>
      <c r="M41" s="770">
        <f t="shared" ca="1" si="9"/>
        <v>-9.5794418080962548E-2</v>
      </c>
      <c r="N41" s="770"/>
      <c r="O41" s="106"/>
      <c r="P41" s="116"/>
      <c r="Q41" s="117"/>
      <c r="R41" s="118"/>
      <c r="S41" s="117"/>
      <c r="T41" s="106"/>
      <c r="U41" s="184"/>
      <c r="V41" s="101">
        <f>SUMIFS('TRADE LOG'!$BI$15:$BI$9733,'TRADE LOG'!$BK$15:$BK$9733,"&lt;&gt;0")/V42</f>
        <v>1.1166745102652336</v>
      </c>
      <c r="W41" t="s">
        <v>816</v>
      </c>
    </row>
    <row r="42" spans="1:56" ht="15.95" customHeight="1">
      <c r="A42" s="106"/>
      <c r="B42" s="678" t="s">
        <v>110</v>
      </c>
      <c r="C42" s="108"/>
      <c r="D42" s="108"/>
      <c r="E42" s="280"/>
      <c r="F42" s="126"/>
      <c r="G42" s="269" t="s">
        <v>356</v>
      </c>
      <c r="H42" s="137"/>
      <c r="I42" s="793">
        <f>IFERROR(I40/-I41,0)</f>
        <v>1.7376411441949557</v>
      </c>
      <c r="J42" s="793"/>
      <c r="K42" s="793">
        <f ca="1">IFERROR(K40/-K41,0)</f>
        <v>2.559365502623796</v>
      </c>
      <c r="L42" s="793"/>
      <c r="M42" s="770">
        <f t="shared" ca="1" si="9"/>
        <v>0.47289646724470424</v>
      </c>
      <c r="N42" s="770"/>
      <c r="O42" s="106"/>
      <c r="P42" s="116"/>
      <c r="Q42" s="117"/>
      <c r="R42" s="118"/>
      <c r="S42" s="117"/>
      <c r="T42" s="106"/>
      <c r="U42" s="184"/>
      <c r="V42">
        <f>SETTINGS!O4</f>
        <v>100</v>
      </c>
      <c r="AG42" t="s">
        <v>115</v>
      </c>
    </row>
    <row r="43" spans="1:56" ht="15.95" customHeight="1">
      <c r="A43" s="106"/>
      <c r="B43" s="269" t="s">
        <v>92</v>
      </c>
      <c r="C43" s="116"/>
      <c r="D43" s="186"/>
      <c r="E43" s="187">
        <f>IF(W43&lt;0,0,W43)</f>
        <v>0.14000000000000001</v>
      </c>
      <c r="F43" s="126"/>
      <c r="G43" s="269" t="s">
        <v>42</v>
      </c>
      <c r="H43" s="137"/>
      <c r="I43" s="797">
        <f>IFERROR(X15/X16,0)</f>
        <v>1.4480342868291298</v>
      </c>
      <c r="J43" s="797"/>
      <c r="K43" s="790">
        <f ca="1">IFERROR((K40*L32)/(-K41*(1-L32)),"")</f>
        <v>1.0968709296959127</v>
      </c>
      <c r="L43" s="790"/>
      <c r="M43" s="770">
        <f t="shared" ca="1" si="9"/>
        <v>-0.24251038827415203</v>
      </c>
      <c r="N43" s="770"/>
      <c r="O43" s="106"/>
      <c r="P43" s="116"/>
      <c r="Q43" s="117"/>
      <c r="R43" s="118"/>
      <c r="S43" s="117"/>
      <c r="T43" s="106"/>
      <c r="U43" s="184"/>
      <c r="V43" s="18" t="s">
        <v>746</v>
      </c>
      <c r="W43" s="478">
        <f>IFERROR(ROUND(I32-((1-I32)/(R13/S13)),2),0)</f>
        <v>0.14000000000000001</v>
      </c>
      <c r="AG43">
        <f>AK43</f>
        <v>56</v>
      </c>
      <c r="AH43">
        <f>IF((INDEX('TRADE LOG'!$E$15:$E$9733,AG43)&gt;=0),1,0)</f>
        <v>1</v>
      </c>
      <c r="AI43">
        <f>IFERROR(IF(AH43=20,AG43,0),0)</f>
        <v>0</v>
      </c>
      <c r="AJ43" s="19" t="s">
        <v>117</v>
      </c>
      <c r="AK43">
        <f>'TRADE LOG'!AX8</f>
        <v>56</v>
      </c>
    </row>
    <row r="44" spans="1:56" ht="15.75" customHeight="1">
      <c r="A44" s="106"/>
      <c r="B44" s="269" t="s">
        <v>93</v>
      </c>
      <c r="C44" s="136"/>
      <c r="D44" s="795">
        <f ca="1">IFERROR(M2*E43,0)</f>
        <v>7597.9988000000012</v>
      </c>
      <c r="E44" s="796"/>
      <c r="F44" s="126"/>
      <c r="G44" s="269" t="s">
        <v>453</v>
      </c>
      <c r="H44" s="137"/>
      <c r="I44" s="787">
        <f>S17</f>
        <v>77.662181818181921</v>
      </c>
      <c r="J44" s="787"/>
      <c r="K44" s="788">
        <f ca="1">IFERROR((K40*L32)+(K41*(1-L32)),"")</f>
        <v>23.613499999999931</v>
      </c>
      <c r="L44" s="789"/>
      <c r="M44" s="770">
        <f t="shared" ca="1" si="9"/>
        <v>-0.6959459617644731</v>
      </c>
      <c r="N44" s="770"/>
      <c r="O44" s="214"/>
      <c r="P44" s="116"/>
      <c r="Q44" s="117"/>
      <c r="R44" s="118"/>
      <c r="S44" s="117"/>
      <c r="T44" s="106"/>
      <c r="U44" s="184"/>
      <c r="AG44">
        <f>AG43-1</f>
        <v>55</v>
      </c>
      <c r="AH44">
        <f t="shared" ref="AH44:AH75" si="10">IF(OR(INDEX(ActionLog,AG44)="sell",INDEX(ActionLog,AG44)="buy"),1,0)+AH43</f>
        <v>2</v>
      </c>
      <c r="AI44">
        <f t="shared" ref="AI44:AI92" si="11">IFERROR(IF(AH44=20,AG44,0),0)</f>
        <v>0</v>
      </c>
      <c r="AJ44" s="19" t="s">
        <v>114</v>
      </c>
      <c r="AK44" s="32">
        <v>0</v>
      </c>
      <c r="AL44" s="32">
        <v>0</v>
      </c>
      <c r="AM44" s="32">
        <v>0</v>
      </c>
      <c r="AN44" s="32">
        <v>0</v>
      </c>
      <c r="AO44" s="32">
        <v>0</v>
      </c>
      <c r="AP44" s="32">
        <v>0</v>
      </c>
      <c r="AQ44" s="32">
        <v>0</v>
      </c>
      <c r="AR44">
        <v>0</v>
      </c>
      <c r="AS44">
        <v>0</v>
      </c>
      <c r="AT44">
        <v>0</v>
      </c>
      <c r="AU44">
        <v>0</v>
      </c>
      <c r="AV44">
        <v>0</v>
      </c>
      <c r="AW44">
        <v>0</v>
      </c>
      <c r="AX44">
        <v>0</v>
      </c>
      <c r="AY44">
        <v>0</v>
      </c>
      <c r="AZ44">
        <v>0</v>
      </c>
      <c r="BA44">
        <v>0</v>
      </c>
      <c r="BB44">
        <v>0</v>
      </c>
      <c r="BC44">
        <v>0</v>
      </c>
      <c r="BD44">
        <v>0</v>
      </c>
    </row>
    <row r="45" spans="1:56" ht="33" customHeight="1">
      <c r="A45" s="106"/>
      <c r="B45" s="106"/>
      <c r="C45" s="106"/>
      <c r="D45" s="106"/>
      <c r="E45" s="213"/>
      <c r="F45" s="106"/>
      <c r="G45" s="800"/>
      <c r="H45" s="800"/>
      <c r="I45" s="800"/>
      <c r="J45" s="800"/>
      <c r="K45" s="800"/>
      <c r="L45" s="800"/>
      <c r="M45" s="800"/>
      <c r="N45" s="800"/>
      <c r="O45" s="106"/>
      <c r="P45" s="106"/>
      <c r="Q45" s="106"/>
      <c r="R45" s="106"/>
      <c r="S45" s="106"/>
      <c r="T45" s="106"/>
      <c r="U45" s="184"/>
      <c r="AG45">
        <f t="shared" ref="AG45:AG68" si="12">AG44-1</f>
        <v>54</v>
      </c>
      <c r="AH45">
        <f t="shared" si="10"/>
        <v>3</v>
      </c>
      <c r="AI45">
        <f t="shared" si="11"/>
        <v>0</v>
      </c>
      <c r="AJ45" s="19" t="s">
        <v>115</v>
      </c>
      <c r="AK45" s="32">
        <f t="shared" ref="AK45:BB45" si="13">AL45-1</f>
        <v>37</v>
      </c>
      <c r="AL45" s="32">
        <f t="shared" si="13"/>
        <v>38</v>
      </c>
      <c r="AM45" s="32">
        <f t="shared" si="13"/>
        <v>39</v>
      </c>
      <c r="AN45" s="32">
        <f t="shared" si="13"/>
        <v>40</v>
      </c>
      <c r="AO45" s="32">
        <f t="shared" si="13"/>
        <v>41</v>
      </c>
      <c r="AP45" s="32">
        <f t="shared" si="13"/>
        <v>42</v>
      </c>
      <c r="AQ45" s="32">
        <f t="shared" si="13"/>
        <v>43</v>
      </c>
      <c r="AR45">
        <f t="shared" si="13"/>
        <v>44</v>
      </c>
      <c r="AS45">
        <f t="shared" si="13"/>
        <v>45</v>
      </c>
      <c r="AT45">
        <f t="shared" si="13"/>
        <v>46</v>
      </c>
      <c r="AU45">
        <f t="shared" si="13"/>
        <v>47</v>
      </c>
      <c r="AV45">
        <f t="shared" si="13"/>
        <v>48</v>
      </c>
      <c r="AW45">
        <f t="shared" si="13"/>
        <v>49</v>
      </c>
      <c r="AX45">
        <f t="shared" si="13"/>
        <v>50</v>
      </c>
      <c r="AY45">
        <f t="shared" si="13"/>
        <v>51</v>
      </c>
      <c r="AZ45">
        <f t="shared" si="13"/>
        <v>52</v>
      </c>
      <c r="BA45">
        <f t="shared" si="13"/>
        <v>53</v>
      </c>
      <c r="BB45">
        <f t="shared" si="13"/>
        <v>54</v>
      </c>
      <c r="BC45">
        <f>BD45-1</f>
        <v>55</v>
      </c>
      <c r="BD45">
        <f>AK43</f>
        <v>56</v>
      </c>
    </row>
    <row r="46" spans="1:56" ht="15.95" customHeight="1">
      <c r="A46" s="106"/>
      <c r="B46" s="678" t="s">
        <v>430</v>
      </c>
      <c r="C46" s="138"/>
      <c r="D46" s="139"/>
      <c r="E46" s="140"/>
      <c r="F46" s="106"/>
      <c r="G46" s="678" t="s">
        <v>139</v>
      </c>
      <c r="H46" s="106"/>
      <c r="I46" s="106"/>
      <c r="J46" s="106"/>
      <c r="K46" s="106"/>
      <c r="L46" s="119"/>
      <c r="M46" s="106"/>
      <c r="N46" s="106"/>
      <c r="O46" s="106"/>
      <c r="P46" s="678" t="s">
        <v>118</v>
      </c>
      <c r="Q46" s="142"/>
      <c r="R46" s="300" t="s">
        <v>123</v>
      </c>
      <c r="S46" s="497">
        <f>SUM(Q48:S55)</f>
        <v>10</v>
      </c>
      <c r="T46" s="106"/>
      <c r="U46" s="184"/>
      <c r="X46" t="s">
        <v>301</v>
      </c>
      <c r="AG46">
        <f t="shared" si="12"/>
        <v>53</v>
      </c>
      <c r="AH46">
        <f t="shared" si="10"/>
        <v>4</v>
      </c>
      <c r="AI46">
        <f t="shared" si="11"/>
        <v>0</v>
      </c>
      <c r="AJ46" s="19" t="s">
        <v>116</v>
      </c>
      <c r="AK46" s="32">
        <f>AK47</f>
        <v>12</v>
      </c>
      <c r="AL46" s="32">
        <f>AK46+AL47</f>
        <v>12</v>
      </c>
      <c r="AM46" s="32">
        <f t="shared" ref="AM46:BB46" si="14">AL46+AM47</f>
        <v>12</v>
      </c>
      <c r="AN46" s="32">
        <f t="shared" si="14"/>
        <v>12</v>
      </c>
      <c r="AO46" s="32">
        <f t="shared" si="14"/>
        <v>10</v>
      </c>
      <c r="AP46" s="32">
        <f t="shared" si="14"/>
        <v>8</v>
      </c>
      <c r="AQ46" s="32">
        <f t="shared" si="14"/>
        <v>8</v>
      </c>
      <c r="AR46">
        <f t="shared" si="14"/>
        <v>8</v>
      </c>
      <c r="AS46">
        <f t="shared" si="14"/>
        <v>8</v>
      </c>
      <c r="AT46">
        <f t="shared" si="14"/>
        <v>8</v>
      </c>
      <c r="AU46">
        <f t="shared" si="14"/>
        <v>8</v>
      </c>
      <c r="AV46">
        <f t="shared" si="14"/>
        <v>8</v>
      </c>
      <c r="AW46">
        <f t="shared" si="14"/>
        <v>8</v>
      </c>
      <c r="AX46">
        <f t="shared" si="14"/>
        <v>8</v>
      </c>
      <c r="AY46">
        <f t="shared" si="14"/>
        <v>8</v>
      </c>
      <c r="AZ46">
        <f t="shared" si="14"/>
        <v>8</v>
      </c>
      <c r="BA46">
        <f t="shared" si="14"/>
        <v>8</v>
      </c>
      <c r="BB46">
        <f t="shared" si="14"/>
        <v>10</v>
      </c>
      <c r="BC46">
        <f>BB46+BC47</f>
        <v>10</v>
      </c>
      <c r="BD46">
        <f>BC46+BD47</f>
        <v>12</v>
      </c>
    </row>
    <row r="47" spans="1:56" ht="15.95" customHeight="1">
      <c r="A47" s="106"/>
      <c r="B47" s="524" t="s">
        <v>144</v>
      </c>
      <c r="C47" s="143">
        <f>IFERROR(SUMIF('TRADE LOG'!U15:U9733,"&gt;0",'TRADE LOG'!W15:W9733)/P13,0)</f>
        <v>1.0778772608893761</v>
      </c>
      <c r="D47" s="529" t="s">
        <v>421</v>
      </c>
      <c r="E47" s="141">
        <f>IFERROR(C47/C48,0)</f>
        <v>1.7549777432961482</v>
      </c>
      <c r="F47" s="106"/>
      <c r="G47" s="106"/>
      <c r="H47" s="106"/>
      <c r="I47" s="106"/>
      <c r="J47" s="119"/>
      <c r="K47" s="119"/>
      <c r="L47" s="106"/>
      <c r="M47" s="106"/>
      <c r="N47" s="106"/>
      <c r="O47" s="106"/>
      <c r="P47" s="311" t="str">
        <f>SETTINGS!M10</f>
        <v>ENTRY/EXIT</v>
      </c>
      <c r="Q47" s="311" t="s">
        <v>321</v>
      </c>
      <c r="R47" s="311" t="str">
        <f>SETTINGS!O10</f>
        <v>EMOTION</v>
      </c>
      <c r="S47" s="311" t="s">
        <v>321</v>
      </c>
      <c r="T47" s="106"/>
      <c r="U47" s="184"/>
      <c r="V47" t="s">
        <v>140</v>
      </c>
      <c r="W47" t="s">
        <v>140</v>
      </c>
      <c r="X47" s="19">
        <f>SUM(X48:X55)</f>
        <v>21</v>
      </c>
      <c r="Y47" s="19">
        <f>SUM(Y48:Y55)</f>
        <v>19</v>
      </c>
      <c r="AG47">
        <f t="shared" si="12"/>
        <v>52</v>
      </c>
      <c r="AH47">
        <f t="shared" si="10"/>
        <v>5</v>
      </c>
      <c r="AI47">
        <f t="shared" si="11"/>
        <v>0</v>
      </c>
      <c r="AJ47" s="19" t="s">
        <v>347</v>
      </c>
      <c r="AK47" s="32">
        <f>SUM(AK48:AK63)</f>
        <v>12</v>
      </c>
      <c r="AL47" s="32">
        <f>SUM(AL48:AL63)</f>
        <v>0</v>
      </c>
      <c r="AM47" s="32">
        <f t="shared" ref="AM47:AQ47" si="15">SUM(AM48:AM63)</f>
        <v>0</v>
      </c>
      <c r="AN47" s="32">
        <f t="shared" si="15"/>
        <v>0</v>
      </c>
      <c r="AO47" s="32">
        <f t="shared" si="15"/>
        <v>-2</v>
      </c>
      <c r="AP47" s="32">
        <f t="shared" si="15"/>
        <v>-2</v>
      </c>
      <c r="AQ47" s="32">
        <f t="shared" si="15"/>
        <v>0</v>
      </c>
      <c r="AR47">
        <f t="shared" ref="AR47" si="16">SUM(AR48:AR63)</f>
        <v>0</v>
      </c>
      <c r="AS47">
        <f t="shared" ref="AS47" si="17">SUM(AS48:AS63)</f>
        <v>0</v>
      </c>
      <c r="AT47">
        <f t="shared" ref="AT47" si="18">SUM(AT48:AT63)</f>
        <v>0</v>
      </c>
      <c r="AU47">
        <f t="shared" ref="AU47" si="19">SUM(AU48:AU63)</f>
        <v>0</v>
      </c>
      <c r="AV47">
        <f t="shared" ref="AV47" si="20">SUM(AV48:AV63)</f>
        <v>0</v>
      </c>
      <c r="AW47">
        <f t="shared" ref="AW47" si="21">SUM(AW48:AW63)</f>
        <v>0</v>
      </c>
      <c r="AX47">
        <f t="shared" ref="AX47" si="22">SUM(AX48:AX63)</f>
        <v>0</v>
      </c>
      <c r="AY47">
        <f t="shared" ref="AY47" si="23">SUM(AY48:AY63)</f>
        <v>0</v>
      </c>
      <c r="AZ47">
        <f t="shared" ref="AZ47" si="24">SUM(AZ48:AZ63)</f>
        <v>0</v>
      </c>
      <c r="BA47">
        <f t="shared" ref="BA47" si="25">SUM(BA48:BA63)</f>
        <v>0</v>
      </c>
      <c r="BB47">
        <f t="shared" ref="BB47" si="26">SUM(BB48:BB63)</f>
        <v>2</v>
      </c>
      <c r="BC47">
        <f t="shared" ref="BC47" si="27">SUM(BC48:BC63)</f>
        <v>0</v>
      </c>
      <c r="BD47">
        <f>SUM(BD48:BD63)</f>
        <v>2</v>
      </c>
    </row>
    <row r="48" spans="1:56" ht="15.95" customHeight="1">
      <c r="A48" s="106"/>
      <c r="B48" s="528" t="s">
        <v>145</v>
      </c>
      <c r="C48" s="120">
        <f>IFERROR(-SUMIF('TRADE LOG'!U15:U9733,"&lt;=0",'TRADE LOG'!W15:W9733)/Q13,0)</f>
        <v>0.6141828664248119</v>
      </c>
      <c r="D48" s="529" t="s">
        <v>112</v>
      </c>
      <c r="E48" s="371">
        <f>(C47*I32)-(C48*(1-I32))</f>
        <v>0.15493537326345536</v>
      </c>
      <c r="F48" s="106"/>
      <c r="G48" s="106"/>
      <c r="H48" s="106"/>
      <c r="I48" s="106"/>
      <c r="J48" s="106"/>
      <c r="K48" s="106"/>
      <c r="L48" s="106"/>
      <c r="M48" s="106"/>
      <c r="N48" s="106"/>
      <c r="O48" s="106"/>
      <c r="P48" s="530" t="str">
        <f>IF(SETTINGS!M12="","",SETTINGS!M12)</f>
        <v>TOO EARLY</v>
      </c>
      <c r="Q48" s="494">
        <f>IFERROR(COUNTIFS('TRADE LOG'!$Y$15:$Y$9733,DASHBOARD!P48)*V48,"")</f>
        <v>-2</v>
      </c>
      <c r="R48" s="530" t="str">
        <f>IF(SETTINGS!O12="","",SETTINGS!O12)</f>
        <v>FEAR</v>
      </c>
      <c r="S48" s="494">
        <f>IFERROR(COUNTIFS('TRADE LOG'!$Z$15:$Z$9733,DASHBOARD!R48)*W48,"")</f>
        <v>0</v>
      </c>
      <c r="T48" s="106"/>
      <c r="U48" s="184"/>
      <c r="V48">
        <f>SETTINGS!N12</f>
        <v>-1</v>
      </c>
      <c r="W48">
        <f>SETTINGS!P12</f>
        <v>-1</v>
      </c>
      <c r="X48">
        <f t="shared" ref="X48:X55" si="28">IFERROR(ABS(Q48/V48),0)</f>
        <v>2</v>
      </c>
      <c r="Y48">
        <f t="shared" ref="Y48:Y55" si="29">IFERROR(ABS(S48/W48),0)</f>
        <v>0</v>
      </c>
      <c r="AG48">
        <f t="shared" si="12"/>
        <v>51</v>
      </c>
      <c r="AH48">
        <f t="shared" si="10"/>
        <v>6</v>
      </c>
      <c r="AI48">
        <f t="shared" si="11"/>
        <v>0</v>
      </c>
      <c r="AJ48" s="17" t="str">
        <f>P48</f>
        <v>TOO EARLY</v>
      </c>
      <c r="AK48" s="32">
        <f t="shared" ref="AK48:AK54" si="30">IFERROR(V48*IF(P48="",0,COUNTIFS(ReviewRow,"&gt;="&amp;1,ReviewRow,"&lt;="&amp;$AK$45,EntryExit,P48)),"")</f>
        <v>-2</v>
      </c>
      <c r="AL48" s="32">
        <f t="shared" ref="AL48:AU55" si="31">IFERROR($V48*IF($P48="",0,COUNTIFS(ReviewRow,AL$45,EntryExit,$P48)),"")</f>
        <v>0</v>
      </c>
      <c r="AM48" s="32">
        <f t="shared" si="31"/>
        <v>0</v>
      </c>
      <c r="AN48" s="32">
        <f t="shared" si="31"/>
        <v>0</v>
      </c>
      <c r="AO48" s="32">
        <f t="shared" si="31"/>
        <v>0</v>
      </c>
      <c r="AP48" s="32">
        <f t="shared" si="31"/>
        <v>0</v>
      </c>
      <c r="AQ48" s="32">
        <f t="shared" si="31"/>
        <v>0</v>
      </c>
      <c r="AR48">
        <f t="shared" si="31"/>
        <v>0</v>
      </c>
      <c r="AS48">
        <f t="shared" si="31"/>
        <v>0</v>
      </c>
      <c r="AT48">
        <f t="shared" si="31"/>
        <v>0</v>
      </c>
      <c r="AU48">
        <f t="shared" si="31"/>
        <v>0</v>
      </c>
      <c r="AV48">
        <f t="shared" ref="AV48:BD55" si="32">IFERROR($V48*IF($P48="",0,COUNTIFS(ReviewRow,AV$45,EntryExit,$P48)),"")</f>
        <v>0</v>
      </c>
      <c r="AW48">
        <f t="shared" si="32"/>
        <v>0</v>
      </c>
      <c r="AX48">
        <f t="shared" si="32"/>
        <v>0</v>
      </c>
      <c r="AY48">
        <f t="shared" si="32"/>
        <v>0</v>
      </c>
      <c r="AZ48">
        <f t="shared" si="32"/>
        <v>0</v>
      </c>
      <c r="BA48">
        <f t="shared" si="32"/>
        <v>0</v>
      </c>
      <c r="BB48">
        <f t="shared" si="32"/>
        <v>0</v>
      </c>
      <c r="BC48">
        <f t="shared" si="32"/>
        <v>0</v>
      </c>
      <c r="BD48">
        <f t="shared" ref="BD48:BD53" si="33">IFERROR($V48*IF($P48="",0,COUNTIFS(ReviewRow,BD$45,EntryExit,$P48)),"")</f>
        <v>0</v>
      </c>
    </row>
    <row r="49" spans="1:56" ht="15.95" customHeight="1">
      <c r="A49" s="106"/>
      <c r="B49" s="113"/>
      <c r="C49" s="121"/>
      <c r="D49" s="113"/>
      <c r="E49" s="113"/>
      <c r="F49" s="106"/>
      <c r="G49" s="106"/>
      <c r="H49" s="106"/>
      <c r="I49" s="106"/>
      <c r="J49" s="122"/>
      <c r="K49" s="122"/>
      <c r="L49" s="106"/>
      <c r="M49" s="106"/>
      <c r="N49" s="106"/>
      <c r="O49" s="106"/>
      <c r="P49" s="530" t="str">
        <f>IF(SETTINGS!M13="","",SETTINGS!M13)</f>
        <v>TOO LATE</v>
      </c>
      <c r="Q49" s="494">
        <f>IFERROR(COUNTIFS('TRADE LOG'!$Y$15:$Y$9733,DASHBOARD!P49)*V49,"")</f>
        <v>-6</v>
      </c>
      <c r="R49" s="530" t="str">
        <f>IF(SETTINGS!O13="","",SETTINGS!O13)</f>
        <v>HOPE</v>
      </c>
      <c r="S49" s="494">
        <f>IFERROR(COUNTIFS('TRADE LOG'!$Z$15:$Z$9733,DASHBOARD!R49)*W49,"")</f>
        <v>-5</v>
      </c>
      <c r="T49" s="106"/>
      <c r="U49" s="184"/>
      <c r="V49">
        <f>SETTINGS!N13</f>
        <v>-1</v>
      </c>
      <c r="W49">
        <f>SETTINGS!P13</f>
        <v>-1</v>
      </c>
      <c r="X49">
        <f t="shared" si="28"/>
        <v>6</v>
      </c>
      <c r="Y49">
        <f t="shared" si="29"/>
        <v>5</v>
      </c>
      <c r="AG49">
        <f t="shared" si="12"/>
        <v>50</v>
      </c>
      <c r="AH49">
        <f t="shared" si="10"/>
        <v>7</v>
      </c>
      <c r="AI49">
        <f t="shared" si="11"/>
        <v>0</v>
      </c>
      <c r="AJ49" s="17" t="str">
        <f t="shared" ref="AJ49:AJ55" si="34">P49</f>
        <v>TOO LATE</v>
      </c>
      <c r="AK49" s="32">
        <f t="shared" si="30"/>
        <v>-3</v>
      </c>
      <c r="AL49" s="32">
        <f t="shared" si="31"/>
        <v>0</v>
      </c>
      <c r="AM49" s="32">
        <f t="shared" si="31"/>
        <v>0</v>
      </c>
      <c r="AN49" s="32">
        <f t="shared" si="31"/>
        <v>0</v>
      </c>
      <c r="AO49" s="32">
        <f t="shared" si="31"/>
        <v>-1</v>
      </c>
      <c r="AP49" s="32">
        <f t="shared" si="31"/>
        <v>-1</v>
      </c>
      <c r="AQ49" s="32">
        <f t="shared" si="31"/>
        <v>0</v>
      </c>
      <c r="AR49">
        <f t="shared" si="31"/>
        <v>0</v>
      </c>
      <c r="AS49">
        <f t="shared" si="31"/>
        <v>0</v>
      </c>
      <c r="AT49">
        <f t="shared" si="31"/>
        <v>0</v>
      </c>
      <c r="AU49">
        <f t="shared" si="31"/>
        <v>0</v>
      </c>
      <c r="AV49">
        <f t="shared" si="32"/>
        <v>0</v>
      </c>
      <c r="AW49">
        <f t="shared" si="32"/>
        <v>0</v>
      </c>
      <c r="AX49">
        <f t="shared" si="32"/>
        <v>0</v>
      </c>
      <c r="AY49">
        <f t="shared" si="32"/>
        <v>0</v>
      </c>
      <c r="AZ49">
        <f t="shared" si="32"/>
        <v>0</v>
      </c>
      <c r="BA49">
        <f t="shared" si="32"/>
        <v>0</v>
      </c>
      <c r="BB49">
        <f t="shared" si="32"/>
        <v>0</v>
      </c>
      <c r="BC49">
        <f t="shared" si="32"/>
        <v>0</v>
      </c>
      <c r="BD49">
        <f t="shared" si="33"/>
        <v>0</v>
      </c>
    </row>
    <row r="50" spans="1:56" ht="15.95" customHeight="1">
      <c r="A50" s="106"/>
      <c r="B50" s="680" t="s">
        <v>455</v>
      </c>
      <c r="C50" s="113"/>
      <c r="D50" s="113"/>
      <c r="E50" s="113"/>
      <c r="F50" s="106"/>
      <c r="G50" s="106"/>
      <c r="H50" s="106"/>
      <c r="I50" s="106"/>
      <c r="J50" s="122"/>
      <c r="K50" s="122"/>
      <c r="L50" s="106"/>
      <c r="M50" s="106"/>
      <c r="N50" s="106"/>
      <c r="O50" s="106"/>
      <c r="P50" s="530" t="str">
        <f>IF(SETTINGS!M14="","",SETTINGS!M14)</f>
        <v>NOT IN PLAN</v>
      </c>
      <c r="Q50" s="494">
        <f>IFERROR(COUNTIFS('TRADE LOG'!$Y$15:$Y$9733,DASHBOARD!P50)*V50,"")</f>
        <v>0</v>
      </c>
      <c r="R50" s="530" t="str">
        <f>IF(SETTINGS!O14="","",SETTINGS!O14)</f>
        <v>GREED</v>
      </c>
      <c r="S50" s="494">
        <f>IFERROR(COUNTIFS('TRADE LOG'!$Z$15:$Z$9733,DASHBOARD!R50)*W50,"")</f>
        <v>0</v>
      </c>
      <c r="T50" s="106"/>
      <c r="U50" s="184"/>
      <c r="V50">
        <f>SETTINGS!N14</f>
        <v>-1</v>
      </c>
      <c r="W50">
        <f>SETTINGS!P14</f>
        <v>-1</v>
      </c>
      <c r="X50">
        <f t="shared" si="28"/>
        <v>0</v>
      </c>
      <c r="Y50">
        <f t="shared" si="29"/>
        <v>0</v>
      </c>
      <c r="AG50">
        <f t="shared" si="12"/>
        <v>49</v>
      </c>
      <c r="AH50">
        <f t="shared" si="10"/>
        <v>8</v>
      </c>
      <c r="AI50">
        <f t="shared" si="11"/>
        <v>0</v>
      </c>
      <c r="AJ50" s="17" t="str">
        <f t="shared" si="34"/>
        <v>NOT IN PLAN</v>
      </c>
      <c r="AK50" s="32">
        <f t="shared" si="30"/>
        <v>0</v>
      </c>
      <c r="AL50" s="32">
        <f t="shared" si="31"/>
        <v>0</v>
      </c>
      <c r="AM50" s="32">
        <f t="shared" si="31"/>
        <v>0</v>
      </c>
      <c r="AN50" s="32">
        <f t="shared" si="31"/>
        <v>0</v>
      </c>
      <c r="AO50" s="32">
        <f t="shared" si="31"/>
        <v>0</v>
      </c>
      <c r="AP50" s="32">
        <f t="shared" si="31"/>
        <v>0</v>
      </c>
      <c r="AQ50" s="32">
        <f t="shared" si="31"/>
        <v>0</v>
      </c>
      <c r="AR50">
        <f t="shared" si="31"/>
        <v>0</v>
      </c>
      <c r="AS50">
        <f t="shared" si="31"/>
        <v>0</v>
      </c>
      <c r="AT50">
        <f t="shared" si="31"/>
        <v>0</v>
      </c>
      <c r="AU50">
        <f t="shared" si="31"/>
        <v>0</v>
      </c>
      <c r="AV50">
        <f t="shared" si="32"/>
        <v>0</v>
      </c>
      <c r="AW50">
        <f t="shared" si="32"/>
        <v>0</v>
      </c>
      <c r="AX50">
        <f t="shared" si="32"/>
        <v>0</v>
      </c>
      <c r="AY50">
        <f t="shared" si="32"/>
        <v>0</v>
      </c>
      <c r="AZ50">
        <f t="shared" si="32"/>
        <v>0</v>
      </c>
      <c r="BA50">
        <f t="shared" si="32"/>
        <v>0</v>
      </c>
      <c r="BB50">
        <f t="shared" si="32"/>
        <v>0</v>
      </c>
      <c r="BC50">
        <f t="shared" si="32"/>
        <v>0</v>
      </c>
      <c r="BD50">
        <f t="shared" si="33"/>
        <v>0</v>
      </c>
    </row>
    <row r="51" spans="1:56" ht="15.95" customHeight="1">
      <c r="A51" s="106"/>
      <c r="B51" s="113"/>
      <c r="C51" s="113"/>
      <c r="D51" s="113"/>
      <c r="E51" s="113"/>
      <c r="F51" s="106"/>
      <c r="G51" s="106"/>
      <c r="H51" s="106"/>
      <c r="I51" s="106"/>
      <c r="J51" s="122"/>
      <c r="K51" s="122"/>
      <c r="L51" s="106"/>
      <c r="M51" s="106"/>
      <c r="N51" s="106"/>
      <c r="O51" s="106"/>
      <c r="P51" s="530" t="str">
        <f>IF(SETTINGS!M15="","",SETTINGS!M15)</f>
        <v>AS PLANNED</v>
      </c>
      <c r="Q51" s="494">
        <f>IFERROR(COUNTIFS('TRADE LOG'!$Y$15:$Y$9733,DASHBOARD!P51)*V51,"")</f>
        <v>11</v>
      </c>
      <c r="R51" s="530" t="str">
        <f>IF(SETTINGS!O15="","",SETTINGS!O15)</f>
        <v>BORED</v>
      </c>
      <c r="S51" s="494">
        <f>IFERROR(COUNTIFS('TRADE LOG'!$Z$15:$Z$9733,DASHBOARD!R51)*W51,"")</f>
        <v>0</v>
      </c>
      <c r="T51" s="106"/>
      <c r="U51" s="184"/>
      <c r="V51">
        <f>SETTINGS!N15</f>
        <v>1</v>
      </c>
      <c r="W51">
        <f>SETTINGS!P15</f>
        <v>-1</v>
      </c>
      <c r="X51">
        <f t="shared" si="28"/>
        <v>11</v>
      </c>
      <c r="Y51">
        <f t="shared" si="29"/>
        <v>0</v>
      </c>
      <c r="AG51">
        <f t="shared" si="12"/>
        <v>48</v>
      </c>
      <c r="AH51">
        <f t="shared" si="10"/>
        <v>9</v>
      </c>
      <c r="AI51">
        <f t="shared" si="11"/>
        <v>0</v>
      </c>
      <c r="AJ51" s="17" t="str">
        <f t="shared" si="34"/>
        <v>AS PLANNED</v>
      </c>
      <c r="AK51" s="32">
        <f t="shared" si="30"/>
        <v>9</v>
      </c>
      <c r="AL51" s="32">
        <f t="shared" si="31"/>
        <v>0</v>
      </c>
      <c r="AM51" s="32">
        <f>IFERROR($V51*IF($P51="",0,COUNTIFS(ReviewRow,AM$45,EntryExit,$P51)),"")</f>
        <v>0</v>
      </c>
      <c r="AN51" s="32">
        <f t="shared" si="31"/>
        <v>0</v>
      </c>
      <c r="AO51" s="32">
        <f t="shared" si="31"/>
        <v>0</v>
      </c>
      <c r="AP51" s="32">
        <f t="shared" si="31"/>
        <v>0</v>
      </c>
      <c r="AQ51" s="32">
        <f t="shared" si="31"/>
        <v>0</v>
      </c>
      <c r="AR51">
        <f t="shared" si="31"/>
        <v>0</v>
      </c>
      <c r="AS51">
        <f t="shared" si="31"/>
        <v>0</v>
      </c>
      <c r="AT51">
        <f t="shared" si="31"/>
        <v>0</v>
      </c>
      <c r="AU51">
        <f t="shared" si="31"/>
        <v>0</v>
      </c>
      <c r="AV51">
        <f t="shared" si="32"/>
        <v>0</v>
      </c>
      <c r="AW51">
        <f t="shared" si="32"/>
        <v>0</v>
      </c>
      <c r="AX51">
        <f t="shared" si="32"/>
        <v>0</v>
      </c>
      <c r="AY51">
        <f t="shared" si="32"/>
        <v>0</v>
      </c>
      <c r="AZ51">
        <f t="shared" si="32"/>
        <v>0</v>
      </c>
      <c r="BA51">
        <f t="shared" si="32"/>
        <v>0</v>
      </c>
      <c r="BB51">
        <f t="shared" si="32"/>
        <v>1</v>
      </c>
      <c r="BC51">
        <f t="shared" si="32"/>
        <v>0</v>
      </c>
      <c r="BD51">
        <f t="shared" si="33"/>
        <v>1</v>
      </c>
    </row>
    <row r="52" spans="1:56" ht="15.95" customHeight="1">
      <c r="A52" s="106"/>
      <c r="B52" s="113"/>
      <c r="C52" s="113"/>
      <c r="D52" s="113"/>
      <c r="E52" s="113"/>
      <c r="F52" s="106"/>
      <c r="G52" s="123"/>
      <c r="H52" s="106"/>
      <c r="I52" s="106"/>
      <c r="J52" s="123"/>
      <c r="K52" s="123"/>
      <c r="L52" s="106"/>
      <c r="M52" s="123"/>
      <c r="N52" s="106"/>
      <c r="O52" s="106"/>
      <c r="P52" s="530" t="str">
        <f>IF(SETTINGS!M16="","",SETTINGS!M16)</f>
        <v>BROKE RULES</v>
      </c>
      <c r="Q52" s="494">
        <f>IFERROR(COUNTIFS('TRADE LOG'!$Y$15:$Y$9733,DASHBOARD!P52)*V52,"")</f>
        <v>-2</v>
      </c>
      <c r="R52" s="530" t="str">
        <f>IF(SETTINGS!O16="","",SETTINGS!O16)</f>
        <v>IMPULSE</v>
      </c>
      <c r="S52" s="494">
        <f>IFERROR(COUNTIFS('TRADE LOG'!$Z$15:$Z$9733,DASHBOARD!R52)*W52,"")</f>
        <v>0</v>
      </c>
      <c r="T52" s="106"/>
      <c r="U52" s="184"/>
      <c r="V52">
        <f>SETTINGS!N16</f>
        <v>-1</v>
      </c>
      <c r="W52">
        <f>SETTINGS!P16</f>
        <v>-2</v>
      </c>
      <c r="X52">
        <f t="shared" si="28"/>
        <v>2</v>
      </c>
      <c r="Y52">
        <f t="shared" si="29"/>
        <v>0</v>
      </c>
      <c r="AG52">
        <f t="shared" si="12"/>
        <v>47</v>
      </c>
      <c r="AH52">
        <f t="shared" si="10"/>
        <v>10</v>
      </c>
      <c r="AI52">
        <f t="shared" si="11"/>
        <v>0</v>
      </c>
      <c r="AJ52" s="17" t="str">
        <f t="shared" si="34"/>
        <v>BROKE RULES</v>
      </c>
      <c r="AK52" s="32">
        <f t="shared" si="30"/>
        <v>-1</v>
      </c>
      <c r="AL52" s="32">
        <f t="shared" si="31"/>
        <v>0</v>
      </c>
      <c r="AM52" s="32">
        <f t="shared" si="31"/>
        <v>0</v>
      </c>
      <c r="AN52" s="32">
        <f t="shared" si="31"/>
        <v>0</v>
      </c>
      <c r="AO52" s="32">
        <f t="shared" si="31"/>
        <v>0</v>
      </c>
      <c r="AP52" s="32">
        <f t="shared" si="31"/>
        <v>0</v>
      </c>
      <c r="AQ52" s="32">
        <f t="shared" si="31"/>
        <v>-1</v>
      </c>
      <c r="AR52">
        <f t="shared" si="31"/>
        <v>0</v>
      </c>
      <c r="AS52">
        <f t="shared" si="31"/>
        <v>0</v>
      </c>
      <c r="AT52">
        <f t="shared" si="31"/>
        <v>0</v>
      </c>
      <c r="AU52">
        <f t="shared" si="31"/>
        <v>0</v>
      </c>
      <c r="AV52">
        <f t="shared" si="32"/>
        <v>0</v>
      </c>
      <c r="AW52">
        <f t="shared" si="32"/>
        <v>0</v>
      </c>
      <c r="AX52">
        <f t="shared" si="32"/>
        <v>0</v>
      </c>
      <c r="AY52">
        <f t="shared" si="32"/>
        <v>0</v>
      </c>
      <c r="AZ52">
        <f t="shared" si="32"/>
        <v>0</v>
      </c>
      <c r="BA52">
        <f t="shared" si="32"/>
        <v>0</v>
      </c>
      <c r="BB52">
        <f t="shared" si="32"/>
        <v>0</v>
      </c>
      <c r="BC52">
        <f t="shared" si="32"/>
        <v>0</v>
      </c>
      <c r="BD52">
        <f t="shared" si="33"/>
        <v>0</v>
      </c>
    </row>
    <row r="53" spans="1:56" ht="15.95" customHeight="1">
      <c r="A53" s="106"/>
      <c r="B53" s="113"/>
      <c r="C53" s="113"/>
      <c r="D53" s="113"/>
      <c r="E53" s="113"/>
      <c r="F53" s="106"/>
      <c r="G53" s="106"/>
      <c r="H53" s="106"/>
      <c r="I53" s="106"/>
      <c r="J53" s="106"/>
      <c r="K53" s="106"/>
      <c r="L53" s="106"/>
      <c r="M53" s="106"/>
      <c r="N53" s="106"/>
      <c r="O53" s="106"/>
      <c r="P53" s="530" t="str">
        <f>IF(SETTINGS!M17="","",SETTINGS!M17)</f>
        <v/>
      </c>
      <c r="Q53" s="494">
        <f>IFERROR(COUNTIFS('TRADE LOG'!$Y$15:$Y$9733,DASHBOARD!P53)*V53,"")</f>
        <v>0</v>
      </c>
      <c r="R53" s="530" t="str">
        <f>IF(SETTINGS!O17="","",SETTINGS!O17)</f>
        <v>FOMO</v>
      </c>
      <c r="S53" s="494">
        <f>IFERROR(COUNTIFS('TRADE LOG'!$Z$15:$Z$9733,DASHBOARD!R53)*W53,"")</f>
        <v>0</v>
      </c>
      <c r="T53" s="106"/>
      <c r="U53" s="184"/>
      <c r="V53">
        <f>SETTINGS!N17</f>
        <v>0</v>
      </c>
      <c r="W53">
        <f>SETTINGS!P17</f>
        <v>-1</v>
      </c>
      <c r="X53">
        <f t="shared" si="28"/>
        <v>0</v>
      </c>
      <c r="Y53">
        <f t="shared" si="29"/>
        <v>0</v>
      </c>
      <c r="AG53">
        <f t="shared" si="12"/>
        <v>46</v>
      </c>
      <c r="AH53">
        <f t="shared" si="10"/>
        <v>11</v>
      </c>
      <c r="AI53">
        <f t="shared" si="11"/>
        <v>0</v>
      </c>
      <c r="AJ53" s="17" t="str">
        <f t="shared" si="34"/>
        <v/>
      </c>
      <c r="AK53" s="32">
        <f t="shared" si="30"/>
        <v>0</v>
      </c>
      <c r="AL53" s="32">
        <f t="shared" si="31"/>
        <v>0</v>
      </c>
      <c r="AM53" s="32">
        <f t="shared" si="31"/>
        <v>0</v>
      </c>
      <c r="AN53" s="32">
        <f t="shared" si="31"/>
        <v>0</v>
      </c>
      <c r="AO53" s="32">
        <f t="shared" si="31"/>
        <v>0</v>
      </c>
      <c r="AP53" s="32">
        <f t="shared" si="31"/>
        <v>0</v>
      </c>
      <c r="AQ53" s="32">
        <f t="shared" si="31"/>
        <v>0</v>
      </c>
      <c r="AR53">
        <f t="shared" si="31"/>
        <v>0</v>
      </c>
      <c r="AS53">
        <f t="shared" si="31"/>
        <v>0</v>
      </c>
      <c r="AT53">
        <f t="shared" si="31"/>
        <v>0</v>
      </c>
      <c r="AU53">
        <f t="shared" si="31"/>
        <v>0</v>
      </c>
      <c r="AV53">
        <f t="shared" si="32"/>
        <v>0</v>
      </c>
      <c r="AW53">
        <f t="shared" si="32"/>
        <v>0</v>
      </c>
      <c r="AX53">
        <f t="shared" si="32"/>
        <v>0</v>
      </c>
      <c r="AY53">
        <f t="shared" si="32"/>
        <v>0</v>
      </c>
      <c r="AZ53">
        <f t="shared" si="32"/>
        <v>0</v>
      </c>
      <c r="BA53">
        <f t="shared" si="32"/>
        <v>0</v>
      </c>
      <c r="BB53">
        <f t="shared" si="32"/>
        <v>0</v>
      </c>
      <c r="BC53">
        <f t="shared" si="32"/>
        <v>0</v>
      </c>
      <c r="BD53">
        <f t="shared" si="33"/>
        <v>0</v>
      </c>
    </row>
    <row r="54" spans="1:56" ht="15.95" customHeight="1">
      <c r="A54" s="106"/>
      <c r="B54" s="113"/>
      <c r="C54" s="113"/>
      <c r="D54" s="113"/>
      <c r="E54" s="113"/>
      <c r="F54" s="106"/>
      <c r="G54" s="106"/>
      <c r="H54" s="106"/>
      <c r="I54" s="106"/>
      <c r="J54" s="106"/>
      <c r="K54" s="106"/>
      <c r="L54" s="106"/>
      <c r="M54" s="106"/>
      <c r="N54" s="106"/>
      <c r="O54" s="106"/>
      <c r="P54" s="530" t="str">
        <f>IF(SETTINGS!M18="","",SETTINGS!M18)</f>
        <v/>
      </c>
      <c r="Q54" s="494">
        <f>IFERROR(COUNTIFS('TRADE LOG'!$Y$15:$Y$9733,DASHBOARD!P54)*V54,"")</f>
        <v>0</v>
      </c>
      <c r="R54" s="530" t="str">
        <f>IF(SETTINGS!O18="","",SETTINGS!O18)</f>
        <v>CONFIDENT</v>
      </c>
      <c r="S54" s="494">
        <f>IFERROR(COUNTIFS('TRADE LOG'!$Z$15:$Z$9733,DASHBOARD!R54)*W54,"")</f>
        <v>14</v>
      </c>
      <c r="T54" s="106"/>
      <c r="U54" s="184"/>
      <c r="V54">
        <f>SETTINGS!N18</f>
        <v>0</v>
      </c>
      <c r="W54">
        <f>SETTINGS!P18</f>
        <v>1</v>
      </c>
      <c r="X54">
        <f t="shared" si="28"/>
        <v>0</v>
      </c>
      <c r="Y54">
        <f t="shared" si="29"/>
        <v>14</v>
      </c>
      <c r="AG54">
        <f t="shared" si="12"/>
        <v>45</v>
      </c>
      <c r="AH54">
        <f t="shared" si="10"/>
        <v>12</v>
      </c>
      <c r="AI54">
        <f t="shared" si="11"/>
        <v>0</v>
      </c>
      <c r="AJ54" s="17" t="str">
        <f t="shared" si="34"/>
        <v/>
      </c>
      <c r="AK54" s="32">
        <f t="shared" si="30"/>
        <v>0</v>
      </c>
      <c r="AL54" s="32">
        <f t="shared" si="31"/>
        <v>0</v>
      </c>
      <c r="AM54" s="32">
        <f t="shared" si="31"/>
        <v>0</v>
      </c>
      <c r="AN54" s="32">
        <f t="shared" si="31"/>
        <v>0</v>
      </c>
      <c r="AO54" s="32">
        <f t="shared" si="31"/>
        <v>0</v>
      </c>
      <c r="AP54" s="32">
        <f t="shared" si="31"/>
        <v>0</v>
      </c>
      <c r="AQ54" s="32">
        <f t="shared" si="31"/>
        <v>0</v>
      </c>
      <c r="AR54">
        <f t="shared" si="31"/>
        <v>0</v>
      </c>
      <c r="AS54">
        <f t="shared" si="31"/>
        <v>0</v>
      </c>
      <c r="AT54">
        <f t="shared" si="31"/>
        <v>0</v>
      </c>
      <c r="AU54">
        <f t="shared" si="31"/>
        <v>0</v>
      </c>
      <c r="AV54">
        <f t="shared" si="32"/>
        <v>0</v>
      </c>
      <c r="AW54">
        <f t="shared" si="32"/>
        <v>0</v>
      </c>
      <c r="AX54">
        <f t="shared" si="32"/>
        <v>0</v>
      </c>
      <c r="AY54">
        <f t="shared" si="32"/>
        <v>0</v>
      </c>
      <c r="AZ54">
        <f t="shared" si="32"/>
        <v>0</v>
      </c>
      <c r="BA54">
        <f t="shared" si="32"/>
        <v>0</v>
      </c>
      <c r="BB54">
        <f t="shared" si="32"/>
        <v>0</v>
      </c>
      <c r="BC54">
        <f t="shared" si="32"/>
        <v>0</v>
      </c>
      <c r="BD54">
        <f t="shared" si="32"/>
        <v>0</v>
      </c>
    </row>
    <row r="55" spans="1:56" ht="15.95" customHeight="1">
      <c r="A55" s="106"/>
      <c r="B55" s="692" t="str">
        <f>IFERROR(AN39,"")</f>
        <v>83% of win trades may due to early exit, under allocate or fear</v>
      </c>
      <c r="C55" s="113"/>
      <c r="D55" s="310"/>
      <c r="E55" s="310"/>
      <c r="F55" s="106"/>
      <c r="G55" s="106"/>
      <c r="H55" s="106"/>
      <c r="I55" s="106"/>
      <c r="J55" s="106"/>
      <c r="K55" s="106"/>
      <c r="L55" s="106"/>
      <c r="M55" s="106"/>
      <c r="N55" s="106"/>
      <c r="O55" s="106"/>
      <c r="P55" s="530" t="str">
        <f>IF(SETTINGS!M19="","",SETTINGS!M19)</f>
        <v/>
      </c>
      <c r="Q55" s="494">
        <f>IFERROR(COUNTIFS('TRADE LOG'!$Y$15:$Y$9733,DASHBOARD!P55)*V55,"")</f>
        <v>0</v>
      </c>
      <c r="R55" s="530" t="str">
        <f>IF(SETTINGS!O19="","",SETTINGS!O19)</f>
        <v>HYPED</v>
      </c>
      <c r="S55" s="494">
        <f>IFERROR(COUNTIFS('TRADE LOG'!$Z$15:$Z$9733,DASHBOARD!R55)*W55,"")</f>
        <v>0</v>
      </c>
      <c r="T55" s="106"/>
      <c r="U55" s="184"/>
      <c r="V55">
        <f>SETTINGS!N19</f>
        <v>0</v>
      </c>
      <c r="W55">
        <f>SETTINGS!P19</f>
        <v>-1</v>
      </c>
      <c r="X55">
        <f t="shared" si="28"/>
        <v>0</v>
      </c>
      <c r="Y55">
        <f t="shared" si="29"/>
        <v>0</v>
      </c>
      <c r="AG55">
        <f t="shared" si="12"/>
        <v>44</v>
      </c>
      <c r="AH55">
        <f t="shared" si="10"/>
        <v>13</v>
      </c>
      <c r="AI55">
        <f t="shared" si="11"/>
        <v>0</v>
      </c>
      <c r="AJ55" s="17" t="str">
        <f t="shared" si="34"/>
        <v/>
      </c>
      <c r="AK55" s="32">
        <f>IFERROR(V55*IF(P55="",0,COUNTIFS(ReviewRow,"&gt;="&amp;1,ReviewRow,"&lt;="&amp;$AK$45,EntryExit,P55)),"")</f>
        <v>0</v>
      </c>
      <c r="AL55" s="32">
        <f t="shared" si="31"/>
        <v>0</v>
      </c>
      <c r="AM55" s="32">
        <f t="shared" si="31"/>
        <v>0</v>
      </c>
      <c r="AN55" s="32">
        <f t="shared" si="31"/>
        <v>0</v>
      </c>
      <c r="AO55" s="32">
        <f t="shared" si="31"/>
        <v>0</v>
      </c>
      <c r="AP55" s="32">
        <f t="shared" si="31"/>
        <v>0</v>
      </c>
      <c r="AQ55" s="32">
        <f t="shared" si="31"/>
        <v>0</v>
      </c>
      <c r="AR55">
        <f t="shared" si="31"/>
        <v>0</v>
      </c>
      <c r="AS55">
        <f t="shared" si="31"/>
        <v>0</v>
      </c>
      <c r="AT55">
        <f t="shared" si="31"/>
        <v>0</v>
      </c>
      <c r="AU55">
        <f t="shared" si="31"/>
        <v>0</v>
      </c>
      <c r="AV55">
        <f t="shared" si="32"/>
        <v>0</v>
      </c>
      <c r="AW55">
        <f t="shared" si="32"/>
        <v>0</v>
      </c>
      <c r="AX55">
        <f t="shared" si="32"/>
        <v>0</v>
      </c>
      <c r="AY55">
        <f t="shared" si="32"/>
        <v>0</v>
      </c>
      <c r="AZ55">
        <f t="shared" si="32"/>
        <v>0</v>
      </c>
      <c r="BA55">
        <f t="shared" si="32"/>
        <v>0</v>
      </c>
      <c r="BB55">
        <f t="shared" si="32"/>
        <v>0</v>
      </c>
      <c r="BC55">
        <f t="shared" si="32"/>
        <v>0</v>
      </c>
      <c r="BD55">
        <f t="shared" si="32"/>
        <v>0</v>
      </c>
    </row>
    <row r="56" spans="1:56" ht="15.95" customHeight="1">
      <c r="A56" s="106"/>
      <c r="B56" s="692" t="str">
        <f>IFERROR(AN40,"")</f>
        <v>79% of loss trades may due to early exit, under allocate or fear</v>
      </c>
      <c r="C56" s="145"/>
      <c r="D56" s="146"/>
      <c r="E56" s="146"/>
      <c r="F56" s="106"/>
      <c r="G56" s="106"/>
      <c r="H56" s="106"/>
      <c r="I56" s="106"/>
      <c r="J56" s="106"/>
      <c r="K56" s="106"/>
      <c r="L56" s="106"/>
      <c r="M56" s="106"/>
      <c r="N56" s="106"/>
      <c r="O56" s="106"/>
      <c r="P56" s="690" t="str">
        <f>IFERROR("Evaluated "&amp;TEXT((X47/AK43),"0%")&amp;"  of total trades","")</f>
        <v>Evaluated 38%  of total trades</v>
      </c>
      <c r="Q56" s="691"/>
      <c r="R56" s="690" t="str">
        <f>IFERROR("Evaluated "&amp;TEXT((Y47/AK43),"0%")&amp;"  of total trades","")</f>
        <v>Evaluated 34%  of total trades</v>
      </c>
      <c r="S56" s="301"/>
      <c r="T56" s="106"/>
      <c r="U56" s="184"/>
      <c r="X56">
        <f>IFERROR(ABS(#REF!/V56),0)</f>
        <v>0</v>
      </c>
      <c r="Y56">
        <f t="shared" ref="Y56" si="35">IFERROR(ABS(S56/W56),0)</f>
        <v>0</v>
      </c>
      <c r="AG56">
        <f t="shared" si="12"/>
        <v>43</v>
      </c>
      <c r="AH56">
        <f t="shared" si="10"/>
        <v>14</v>
      </c>
      <c r="AI56">
        <f t="shared" si="11"/>
        <v>0</v>
      </c>
      <c r="AJ56" s="17" t="str">
        <f>R48</f>
        <v>FEAR</v>
      </c>
      <c r="AK56" s="32">
        <f t="shared" ref="AK56:AK63" si="36">IFERROR(W48*COUNTIFS(ReviewRow,"&gt;="&amp;1,ReviewRow,"&lt;="&amp;AK$45,Emotion,$R48),"")</f>
        <v>0</v>
      </c>
      <c r="AL56" s="32">
        <f t="shared" ref="AL56:BD56" si="37">IFERROR($W48*COUNTIFS(ReviewRow,AL$45,Emotion,$R48),"")</f>
        <v>0</v>
      </c>
      <c r="AM56" s="32">
        <f t="shared" si="37"/>
        <v>0</v>
      </c>
      <c r="AN56" s="32">
        <f t="shared" si="37"/>
        <v>0</v>
      </c>
      <c r="AO56" s="32">
        <f t="shared" si="37"/>
        <v>0</v>
      </c>
      <c r="AP56" s="32">
        <f t="shared" si="37"/>
        <v>0</v>
      </c>
      <c r="AQ56" s="32">
        <f t="shared" si="37"/>
        <v>0</v>
      </c>
      <c r="AR56">
        <f t="shared" si="37"/>
        <v>0</v>
      </c>
      <c r="AS56">
        <f t="shared" si="37"/>
        <v>0</v>
      </c>
      <c r="AT56">
        <f t="shared" si="37"/>
        <v>0</v>
      </c>
      <c r="AU56">
        <f t="shared" si="37"/>
        <v>0</v>
      </c>
      <c r="AV56">
        <f t="shared" si="37"/>
        <v>0</v>
      </c>
      <c r="AW56">
        <f t="shared" si="37"/>
        <v>0</v>
      </c>
      <c r="AX56">
        <f t="shared" si="37"/>
        <v>0</v>
      </c>
      <c r="AY56">
        <f t="shared" si="37"/>
        <v>0</v>
      </c>
      <c r="AZ56">
        <f t="shared" si="37"/>
        <v>0</v>
      </c>
      <c r="BA56">
        <f t="shared" si="37"/>
        <v>0</v>
      </c>
      <c r="BB56">
        <f t="shared" si="37"/>
        <v>0</v>
      </c>
      <c r="BC56">
        <f t="shared" si="37"/>
        <v>0</v>
      </c>
      <c r="BD56">
        <f t="shared" si="37"/>
        <v>0</v>
      </c>
    </row>
    <row r="57" spans="1:56">
      <c r="A57" s="184"/>
      <c r="B57" s="161"/>
      <c r="C57" s="372"/>
      <c r="D57" s="373"/>
      <c r="E57" s="373"/>
      <c r="F57" s="184"/>
      <c r="G57" s="184"/>
      <c r="H57" s="184"/>
      <c r="I57" s="184"/>
      <c r="J57" s="184"/>
      <c r="K57" s="184"/>
      <c r="L57" s="184"/>
      <c r="M57" s="184"/>
      <c r="N57" s="184"/>
      <c r="O57" s="184"/>
      <c r="P57" s="184"/>
      <c r="Q57" s="184"/>
      <c r="R57" s="184"/>
      <c r="S57" s="374"/>
      <c r="T57" s="184"/>
      <c r="U57" s="184"/>
      <c r="AC57" s="495" t="s">
        <v>777</v>
      </c>
      <c r="AD57" s="40">
        <v>50</v>
      </c>
      <c r="AG57">
        <f t="shared" si="12"/>
        <v>42</v>
      </c>
      <c r="AH57">
        <f t="shared" si="10"/>
        <v>15</v>
      </c>
      <c r="AI57">
        <f t="shared" si="11"/>
        <v>0</v>
      </c>
      <c r="AJ57" s="17" t="str">
        <f t="shared" ref="AJ57:AJ63" si="38">R49</f>
        <v>HOPE</v>
      </c>
      <c r="AK57" s="32">
        <f t="shared" si="36"/>
        <v>-2</v>
      </c>
      <c r="AL57" s="32">
        <f t="shared" ref="AL57:BD57" si="39">IFERROR($W49*COUNTIFS(ReviewRow,AL$45,Emotion,$R49),"")</f>
        <v>0</v>
      </c>
      <c r="AM57" s="32">
        <f t="shared" si="39"/>
        <v>0</v>
      </c>
      <c r="AN57" s="32">
        <f t="shared" si="39"/>
        <v>0</v>
      </c>
      <c r="AO57" s="32">
        <f t="shared" si="39"/>
        <v>-1</v>
      </c>
      <c r="AP57" s="32">
        <f t="shared" si="39"/>
        <v>-1</v>
      </c>
      <c r="AQ57" s="32">
        <f t="shared" si="39"/>
        <v>0</v>
      </c>
      <c r="AR57">
        <f t="shared" si="39"/>
        <v>0</v>
      </c>
      <c r="AS57">
        <f t="shared" si="39"/>
        <v>0</v>
      </c>
      <c r="AT57">
        <f t="shared" si="39"/>
        <v>0</v>
      </c>
      <c r="AU57">
        <f t="shared" si="39"/>
        <v>0</v>
      </c>
      <c r="AV57">
        <f t="shared" si="39"/>
        <v>0</v>
      </c>
      <c r="AW57">
        <f t="shared" si="39"/>
        <v>0</v>
      </c>
      <c r="AX57">
        <f t="shared" si="39"/>
        <v>0</v>
      </c>
      <c r="AY57">
        <f t="shared" si="39"/>
        <v>0</v>
      </c>
      <c r="AZ57">
        <f t="shared" si="39"/>
        <v>0</v>
      </c>
      <c r="BA57">
        <f t="shared" si="39"/>
        <v>0</v>
      </c>
      <c r="BB57">
        <f t="shared" si="39"/>
        <v>0</v>
      </c>
      <c r="BC57">
        <f t="shared" si="39"/>
        <v>0</v>
      </c>
      <c r="BD57">
        <f t="shared" si="39"/>
        <v>0</v>
      </c>
    </row>
    <row r="58" spans="1:56" ht="66" customHeight="1">
      <c r="A58" s="184"/>
      <c r="B58" s="161"/>
      <c r="C58" s="184"/>
      <c r="D58" s="184"/>
      <c r="E58" s="184"/>
      <c r="F58" s="184"/>
      <c r="G58" s="184"/>
      <c r="H58" s="184"/>
      <c r="I58" s="785"/>
      <c r="J58" s="785"/>
      <c r="K58" s="785"/>
      <c r="L58" s="785"/>
      <c r="M58" s="184"/>
      <c r="N58" s="375"/>
      <c r="O58" s="184"/>
      <c r="P58" s="184"/>
      <c r="Q58" s="184"/>
      <c r="R58" s="184"/>
      <c r="S58" s="184"/>
      <c r="T58" s="184"/>
      <c r="U58" s="184"/>
      <c r="AG58">
        <f t="shared" si="12"/>
        <v>41</v>
      </c>
      <c r="AH58">
        <f t="shared" si="10"/>
        <v>16</v>
      </c>
      <c r="AI58">
        <f t="shared" si="11"/>
        <v>0</v>
      </c>
      <c r="AJ58" s="17" t="str">
        <f t="shared" si="38"/>
        <v>GREED</v>
      </c>
      <c r="AK58" s="32">
        <f t="shared" si="36"/>
        <v>0</v>
      </c>
      <c r="AL58" s="32">
        <f t="shared" ref="AL58:BD58" si="40">IFERROR($W50*COUNTIFS(ReviewRow,AL$45,Emotion,$R50),"")</f>
        <v>0</v>
      </c>
      <c r="AM58" s="32">
        <f t="shared" si="40"/>
        <v>0</v>
      </c>
      <c r="AN58" s="32">
        <f t="shared" si="40"/>
        <v>0</v>
      </c>
      <c r="AO58" s="32">
        <f t="shared" si="40"/>
        <v>0</v>
      </c>
      <c r="AP58" s="32">
        <f t="shared" si="40"/>
        <v>0</v>
      </c>
      <c r="AQ58" s="32">
        <f t="shared" si="40"/>
        <v>0</v>
      </c>
      <c r="AR58">
        <f t="shared" si="40"/>
        <v>0</v>
      </c>
      <c r="AS58">
        <f t="shared" si="40"/>
        <v>0</v>
      </c>
      <c r="AT58">
        <f t="shared" si="40"/>
        <v>0</v>
      </c>
      <c r="AU58">
        <f t="shared" si="40"/>
        <v>0</v>
      </c>
      <c r="AV58">
        <f t="shared" si="40"/>
        <v>0</v>
      </c>
      <c r="AW58">
        <f t="shared" si="40"/>
        <v>0</v>
      </c>
      <c r="AX58">
        <f t="shared" si="40"/>
        <v>0</v>
      </c>
      <c r="AY58">
        <f t="shared" si="40"/>
        <v>0</v>
      </c>
      <c r="AZ58">
        <f t="shared" si="40"/>
        <v>0</v>
      </c>
      <c r="BA58">
        <f t="shared" si="40"/>
        <v>0</v>
      </c>
      <c r="BB58">
        <f t="shared" si="40"/>
        <v>0</v>
      </c>
      <c r="BC58">
        <f t="shared" si="40"/>
        <v>0</v>
      </c>
      <c r="BD58">
        <f t="shared" si="40"/>
        <v>0</v>
      </c>
    </row>
    <row r="59" spans="1:56" ht="30" customHeight="1">
      <c r="A59" s="161"/>
      <c r="B59" s="746" t="s">
        <v>848</v>
      </c>
      <c r="C59" s="161"/>
      <c r="D59" s="161"/>
      <c r="E59" s="161"/>
      <c r="F59" s="161"/>
      <c r="G59" s="161"/>
      <c r="H59" s="161"/>
      <c r="I59" s="161"/>
      <c r="J59" s="161"/>
      <c r="K59" s="161"/>
      <c r="L59" s="376"/>
      <c r="M59" s="161"/>
      <c r="N59" s="161"/>
      <c r="O59" s="161"/>
      <c r="P59" s="161"/>
      <c r="Q59" s="161"/>
      <c r="R59" s="161"/>
      <c r="S59" s="161"/>
      <c r="T59" s="161"/>
      <c r="U59" s="161"/>
      <c r="AB59" t="s">
        <v>777</v>
      </c>
      <c r="AG59">
        <f t="shared" si="12"/>
        <v>40</v>
      </c>
      <c r="AH59">
        <f t="shared" si="10"/>
        <v>17</v>
      </c>
      <c r="AI59">
        <f t="shared" si="11"/>
        <v>0</v>
      </c>
      <c r="AJ59" t="str">
        <f t="shared" si="38"/>
        <v>BORED</v>
      </c>
      <c r="AK59">
        <f t="shared" si="36"/>
        <v>0</v>
      </c>
      <c r="AL59">
        <f t="shared" ref="AL59:BD59" si="41">IFERROR($W51*COUNTIFS(ReviewRow,AL$45,Emotion,$R51),"")</f>
        <v>0</v>
      </c>
      <c r="AM59">
        <f t="shared" si="41"/>
        <v>0</v>
      </c>
      <c r="AN59">
        <f t="shared" si="41"/>
        <v>0</v>
      </c>
      <c r="AO59">
        <f t="shared" si="41"/>
        <v>0</v>
      </c>
      <c r="AP59">
        <f t="shared" si="41"/>
        <v>0</v>
      </c>
      <c r="AQ59">
        <f t="shared" si="41"/>
        <v>0</v>
      </c>
      <c r="AR59">
        <f t="shared" si="41"/>
        <v>0</v>
      </c>
      <c r="AS59">
        <f t="shared" si="41"/>
        <v>0</v>
      </c>
      <c r="AT59">
        <f t="shared" si="41"/>
        <v>0</v>
      </c>
      <c r="AU59">
        <f t="shared" si="41"/>
        <v>0</v>
      </c>
      <c r="AV59">
        <f t="shared" si="41"/>
        <v>0</v>
      </c>
      <c r="AW59">
        <f t="shared" si="41"/>
        <v>0</v>
      </c>
      <c r="AX59">
        <f t="shared" si="41"/>
        <v>0</v>
      </c>
      <c r="AY59">
        <f t="shared" si="41"/>
        <v>0</v>
      </c>
      <c r="AZ59">
        <f t="shared" si="41"/>
        <v>0</v>
      </c>
      <c r="BA59">
        <f t="shared" si="41"/>
        <v>0</v>
      </c>
      <c r="BB59">
        <f t="shared" si="41"/>
        <v>0</v>
      </c>
      <c r="BC59">
        <f t="shared" si="41"/>
        <v>0</v>
      </c>
      <c r="BD59">
        <f t="shared" si="41"/>
        <v>0</v>
      </c>
    </row>
    <row r="60" spans="1:56">
      <c r="AB60" s="18" t="s">
        <v>778</v>
      </c>
      <c r="AG60">
        <f t="shared" si="12"/>
        <v>39</v>
      </c>
      <c r="AH60">
        <f t="shared" si="10"/>
        <v>18</v>
      </c>
      <c r="AI60">
        <f t="shared" si="11"/>
        <v>0</v>
      </c>
      <c r="AJ60" t="str">
        <f t="shared" si="38"/>
        <v>IMPULSE</v>
      </c>
      <c r="AK60">
        <f t="shared" si="36"/>
        <v>0</v>
      </c>
      <c r="AL60">
        <f t="shared" ref="AL60:BD60" si="42">IFERROR($W52*COUNTIFS(ReviewRow,AL$45,Emotion,$R52),"")</f>
        <v>0</v>
      </c>
      <c r="AM60">
        <f t="shared" si="42"/>
        <v>0</v>
      </c>
      <c r="AN60">
        <f t="shared" si="42"/>
        <v>0</v>
      </c>
      <c r="AO60">
        <f t="shared" si="42"/>
        <v>0</v>
      </c>
      <c r="AP60">
        <f t="shared" si="42"/>
        <v>0</v>
      </c>
      <c r="AQ60">
        <f t="shared" si="42"/>
        <v>0</v>
      </c>
      <c r="AR60">
        <f t="shared" si="42"/>
        <v>0</v>
      </c>
      <c r="AS60">
        <f t="shared" si="42"/>
        <v>0</v>
      </c>
      <c r="AT60">
        <f t="shared" si="42"/>
        <v>0</v>
      </c>
      <c r="AU60">
        <f t="shared" si="42"/>
        <v>0</v>
      </c>
      <c r="AV60">
        <f t="shared" si="42"/>
        <v>0</v>
      </c>
      <c r="AW60">
        <f t="shared" si="42"/>
        <v>0</v>
      </c>
      <c r="AX60">
        <f t="shared" si="42"/>
        <v>0</v>
      </c>
      <c r="AY60">
        <f t="shared" si="42"/>
        <v>0</v>
      </c>
      <c r="AZ60">
        <f t="shared" si="42"/>
        <v>0</v>
      </c>
      <c r="BA60">
        <f t="shared" si="42"/>
        <v>0</v>
      </c>
      <c r="BB60">
        <f t="shared" si="42"/>
        <v>0</v>
      </c>
      <c r="BC60">
        <f t="shared" si="42"/>
        <v>0</v>
      </c>
      <c r="BD60">
        <f t="shared" si="42"/>
        <v>0</v>
      </c>
    </row>
    <row r="61" spans="1:56">
      <c r="AB61">
        <v>20</v>
      </c>
      <c r="AG61">
        <f t="shared" si="12"/>
        <v>38</v>
      </c>
      <c r="AH61">
        <f t="shared" si="10"/>
        <v>19</v>
      </c>
      <c r="AI61">
        <f t="shared" si="11"/>
        <v>0</v>
      </c>
      <c r="AJ61" t="str">
        <f t="shared" si="38"/>
        <v>FOMO</v>
      </c>
      <c r="AK61">
        <f t="shared" si="36"/>
        <v>0</v>
      </c>
      <c r="AL61">
        <f t="shared" ref="AL61:BD61" si="43">IFERROR($W53*COUNTIFS(ReviewRow,AL$45,Emotion,$R53),"")</f>
        <v>0</v>
      </c>
      <c r="AM61">
        <f t="shared" si="43"/>
        <v>0</v>
      </c>
      <c r="AN61">
        <f t="shared" si="43"/>
        <v>0</v>
      </c>
      <c r="AO61">
        <f t="shared" si="43"/>
        <v>0</v>
      </c>
      <c r="AP61">
        <f t="shared" si="43"/>
        <v>0</v>
      </c>
      <c r="AQ61">
        <f t="shared" si="43"/>
        <v>0</v>
      </c>
      <c r="AR61">
        <f t="shared" si="43"/>
        <v>0</v>
      </c>
      <c r="AS61">
        <f t="shared" si="43"/>
        <v>0</v>
      </c>
      <c r="AT61">
        <f t="shared" si="43"/>
        <v>0</v>
      </c>
      <c r="AU61">
        <f t="shared" si="43"/>
        <v>0</v>
      </c>
      <c r="AV61">
        <f t="shared" si="43"/>
        <v>0</v>
      </c>
      <c r="AW61">
        <f t="shared" si="43"/>
        <v>0</v>
      </c>
      <c r="AX61">
        <f t="shared" si="43"/>
        <v>0</v>
      </c>
      <c r="AY61">
        <f t="shared" si="43"/>
        <v>0</v>
      </c>
      <c r="AZ61">
        <f t="shared" si="43"/>
        <v>0</v>
      </c>
      <c r="BA61">
        <f t="shared" si="43"/>
        <v>0</v>
      </c>
      <c r="BB61">
        <f t="shared" si="43"/>
        <v>0</v>
      </c>
      <c r="BC61">
        <f t="shared" si="43"/>
        <v>0</v>
      </c>
      <c r="BD61">
        <f t="shared" si="43"/>
        <v>0</v>
      </c>
    </row>
    <row r="62" spans="1:56">
      <c r="AB62">
        <v>50</v>
      </c>
      <c r="AG62">
        <f t="shared" si="12"/>
        <v>37</v>
      </c>
      <c r="AH62">
        <f t="shared" si="10"/>
        <v>20</v>
      </c>
      <c r="AI62">
        <f t="shared" si="11"/>
        <v>37</v>
      </c>
      <c r="AJ62" t="str">
        <f t="shared" si="38"/>
        <v>CONFIDENT</v>
      </c>
      <c r="AK62">
        <f t="shared" si="36"/>
        <v>11</v>
      </c>
      <c r="AL62">
        <f t="shared" ref="AL62:BD62" si="44">IFERROR($W54*COUNTIFS(ReviewRow,AL$45,Emotion,$R54),"")</f>
        <v>0</v>
      </c>
      <c r="AM62">
        <f t="shared" si="44"/>
        <v>0</v>
      </c>
      <c r="AN62">
        <f t="shared" si="44"/>
        <v>0</v>
      </c>
      <c r="AO62">
        <f t="shared" si="44"/>
        <v>0</v>
      </c>
      <c r="AP62">
        <f t="shared" si="44"/>
        <v>0</v>
      </c>
      <c r="AQ62">
        <f t="shared" si="44"/>
        <v>1</v>
      </c>
      <c r="AR62">
        <f t="shared" si="44"/>
        <v>0</v>
      </c>
      <c r="AS62">
        <f t="shared" si="44"/>
        <v>0</v>
      </c>
      <c r="AT62">
        <f t="shared" si="44"/>
        <v>0</v>
      </c>
      <c r="AU62">
        <f t="shared" si="44"/>
        <v>0</v>
      </c>
      <c r="AV62">
        <f t="shared" si="44"/>
        <v>0</v>
      </c>
      <c r="AW62">
        <f t="shared" si="44"/>
        <v>0</v>
      </c>
      <c r="AX62">
        <f t="shared" si="44"/>
        <v>0</v>
      </c>
      <c r="AY62">
        <f t="shared" si="44"/>
        <v>0</v>
      </c>
      <c r="AZ62">
        <f t="shared" si="44"/>
        <v>0</v>
      </c>
      <c r="BA62">
        <f t="shared" si="44"/>
        <v>0</v>
      </c>
      <c r="BB62">
        <f t="shared" si="44"/>
        <v>1</v>
      </c>
      <c r="BC62">
        <f t="shared" si="44"/>
        <v>0</v>
      </c>
      <c r="BD62">
        <f t="shared" si="44"/>
        <v>1</v>
      </c>
    </row>
    <row r="63" spans="1:56">
      <c r="AB63">
        <v>100</v>
      </c>
      <c r="AG63">
        <f t="shared" si="12"/>
        <v>36</v>
      </c>
      <c r="AH63">
        <f t="shared" si="10"/>
        <v>21</v>
      </c>
      <c r="AI63">
        <f t="shared" si="11"/>
        <v>0</v>
      </c>
      <c r="AJ63" t="str">
        <f t="shared" si="38"/>
        <v>HYPED</v>
      </c>
      <c r="AK63">
        <f t="shared" si="36"/>
        <v>0</v>
      </c>
      <c r="AL63">
        <f t="shared" ref="AL63:BD63" si="45">IFERROR($W55*COUNTIFS(ReviewRow,AL$45,Emotion,$R55),"")</f>
        <v>0</v>
      </c>
      <c r="AM63">
        <f t="shared" si="45"/>
        <v>0</v>
      </c>
      <c r="AN63">
        <f t="shared" si="45"/>
        <v>0</v>
      </c>
      <c r="AO63">
        <f t="shared" si="45"/>
        <v>0</v>
      </c>
      <c r="AP63">
        <f t="shared" si="45"/>
        <v>0</v>
      </c>
      <c r="AQ63">
        <f t="shared" si="45"/>
        <v>0</v>
      </c>
      <c r="AR63">
        <f t="shared" si="45"/>
        <v>0</v>
      </c>
      <c r="AS63">
        <f t="shared" si="45"/>
        <v>0</v>
      </c>
      <c r="AT63">
        <f t="shared" si="45"/>
        <v>0</v>
      </c>
      <c r="AU63">
        <f t="shared" si="45"/>
        <v>0</v>
      </c>
      <c r="AV63">
        <f t="shared" si="45"/>
        <v>0</v>
      </c>
      <c r="AW63">
        <f t="shared" si="45"/>
        <v>0</v>
      </c>
      <c r="AX63">
        <f t="shared" si="45"/>
        <v>0</v>
      </c>
      <c r="AY63">
        <f t="shared" si="45"/>
        <v>0</v>
      </c>
      <c r="AZ63">
        <f t="shared" si="45"/>
        <v>0</v>
      </c>
      <c r="BA63">
        <f t="shared" si="45"/>
        <v>0</v>
      </c>
      <c r="BB63">
        <f t="shared" si="45"/>
        <v>0</v>
      </c>
      <c r="BC63">
        <f t="shared" si="45"/>
        <v>0</v>
      </c>
      <c r="BD63">
        <f t="shared" si="45"/>
        <v>0</v>
      </c>
    </row>
    <row r="64" spans="1:56">
      <c r="AB64">
        <v>200</v>
      </c>
      <c r="AG64">
        <f t="shared" si="12"/>
        <v>35</v>
      </c>
      <c r="AH64">
        <f t="shared" si="10"/>
        <v>22</v>
      </c>
      <c r="AI64">
        <f t="shared" si="11"/>
        <v>0</v>
      </c>
    </row>
    <row r="65" spans="28:35">
      <c r="AB65">
        <v>500</v>
      </c>
      <c r="AG65">
        <f t="shared" si="12"/>
        <v>34</v>
      </c>
      <c r="AH65">
        <f t="shared" si="10"/>
        <v>23</v>
      </c>
      <c r="AI65">
        <f t="shared" si="11"/>
        <v>0</v>
      </c>
    </row>
    <row r="66" spans="28:35">
      <c r="AG66">
        <f t="shared" si="12"/>
        <v>33</v>
      </c>
      <c r="AH66">
        <f t="shared" si="10"/>
        <v>24</v>
      </c>
      <c r="AI66">
        <f t="shared" si="11"/>
        <v>0</v>
      </c>
    </row>
    <row r="67" spans="28:35">
      <c r="AG67">
        <f t="shared" si="12"/>
        <v>32</v>
      </c>
      <c r="AH67">
        <f t="shared" si="10"/>
        <v>25</v>
      </c>
      <c r="AI67">
        <f t="shared" si="11"/>
        <v>0</v>
      </c>
    </row>
    <row r="68" spans="28:35">
      <c r="AG68">
        <f t="shared" si="12"/>
        <v>31</v>
      </c>
      <c r="AH68">
        <f t="shared" si="10"/>
        <v>26</v>
      </c>
      <c r="AI68">
        <f t="shared" si="11"/>
        <v>0</v>
      </c>
    </row>
    <row r="69" spans="28:35">
      <c r="AG69">
        <f t="shared" ref="AG69:AG92" si="46">AG68-1</f>
        <v>30</v>
      </c>
      <c r="AH69">
        <f t="shared" si="10"/>
        <v>27</v>
      </c>
      <c r="AI69">
        <f t="shared" si="11"/>
        <v>0</v>
      </c>
    </row>
    <row r="70" spans="28:35">
      <c r="AG70">
        <f t="shared" si="46"/>
        <v>29</v>
      </c>
      <c r="AH70">
        <f t="shared" si="10"/>
        <v>28</v>
      </c>
      <c r="AI70">
        <f t="shared" si="11"/>
        <v>0</v>
      </c>
    </row>
    <row r="71" spans="28:35">
      <c r="AG71">
        <f t="shared" si="46"/>
        <v>28</v>
      </c>
      <c r="AH71">
        <f t="shared" si="10"/>
        <v>29</v>
      </c>
      <c r="AI71">
        <f t="shared" si="11"/>
        <v>0</v>
      </c>
    </row>
    <row r="72" spans="28:35">
      <c r="AG72">
        <f t="shared" si="46"/>
        <v>27</v>
      </c>
      <c r="AH72">
        <f t="shared" si="10"/>
        <v>30</v>
      </c>
      <c r="AI72">
        <f t="shared" si="11"/>
        <v>0</v>
      </c>
    </row>
    <row r="73" spans="28:35">
      <c r="AG73">
        <f t="shared" si="46"/>
        <v>26</v>
      </c>
      <c r="AH73">
        <f t="shared" si="10"/>
        <v>31</v>
      </c>
      <c r="AI73">
        <f t="shared" si="11"/>
        <v>0</v>
      </c>
    </row>
    <row r="74" spans="28:35">
      <c r="AG74">
        <f t="shared" si="46"/>
        <v>25</v>
      </c>
      <c r="AH74">
        <f t="shared" si="10"/>
        <v>32</v>
      </c>
      <c r="AI74">
        <f t="shared" si="11"/>
        <v>0</v>
      </c>
    </row>
    <row r="75" spans="28:35">
      <c r="AG75">
        <f t="shared" si="46"/>
        <v>24</v>
      </c>
      <c r="AH75">
        <f t="shared" si="10"/>
        <v>33</v>
      </c>
      <c r="AI75">
        <f t="shared" si="11"/>
        <v>0</v>
      </c>
    </row>
    <row r="76" spans="28:35">
      <c r="AG76">
        <f t="shared" si="46"/>
        <v>23</v>
      </c>
      <c r="AH76">
        <f t="shared" ref="AH76:AH92" si="47">IF(OR(INDEX(ActionLog,AG76)="sell",INDEX(ActionLog,AG76)="buy"),1,0)+AH75</f>
        <v>34</v>
      </c>
      <c r="AI76">
        <f t="shared" si="11"/>
        <v>0</v>
      </c>
    </row>
    <row r="77" spans="28:35">
      <c r="AG77">
        <f t="shared" si="46"/>
        <v>22</v>
      </c>
      <c r="AH77">
        <f t="shared" si="47"/>
        <v>35</v>
      </c>
      <c r="AI77">
        <f t="shared" si="11"/>
        <v>0</v>
      </c>
    </row>
    <row r="78" spans="28:35">
      <c r="AG78">
        <f t="shared" si="46"/>
        <v>21</v>
      </c>
      <c r="AH78">
        <f t="shared" si="47"/>
        <v>36</v>
      </c>
      <c r="AI78">
        <f t="shared" si="11"/>
        <v>0</v>
      </c>
    </row>
    <row r="79" spans="28:35">
      <c r="AG79">
        <f t="shared" si="46"/>
        <v>20</v>
      </c>
      <c r="AH79">
        <f t="shared" si="47"/>
        <v>37</v>
      </c>
      <c r="AI79">
        <f t="shared" si="11"/>
        <v>0</v>
      </c>
    </row>
    <row r="80" spans="28:35">
      <c r="AG80">
        <f t="shared" si="46"/>
        <v>19</v>
      </c>
      <c r="AH80">
        <f t="shared" si="47"/>
        <v>38</v>
      </c>
      <c r="AI80">
        <f t="shared" si="11"/>
        <v>0</v>
      </c>
    </row>
    <row r="81" spans="33:35">
      <c r="AG81">
        <f t="shared" si="46"/>
        <v>18</v>
      </c>
      <c r="AH81">
        <f t="shared" si="47"/>
        <v>39</v>
      </c>
      <c r="AI81">
        <f t="shared" si="11"/>
        <v>0</v>
      </c>
    </row>
    <row r="82" spans="33:35">
      <c r="AG82">
        <f t="shared" si="46"/>
        <v>17</v>
      </c>
      <c r="AH82">
        <f t="shared" si="47"/>
        <v>40</v>
      </c>
      <c r="AI82">
        <f t="shared" si="11"/>
        <v>0</v>
      </c>
    </row>
    <row r="83" spans="33:35">
      <c r="AG83">
        <f t="shared" si="46"/>
        <v>16</v>
      </c>
      <c r="AH83">
        <f t="shared" si="47"/>
        <v>41</v>
      </c>
      <c r="AI83">
        <f t="shared" si="11"/>
        <v>0</v>
      </c>
    </row>
    <row r="84" spans="33:35">
      <c r="AG84">
        <f t="shared" si="46"/>
        <v>15</v>
      </c>
      <c r="AH84">
        <f t="shared" si="47"/>
        <v>42</v>
      </c>
      <c r="AI84">
        <f t="shared" si="11"/>
        <v>0</v>
      </c>
    </row>
    <row r="85" spans="33:35">
      <c r="AG85">
        <f t="shared" si="46"/>
        <v>14</v>
      </c>
      <c r="AH85">
        <f t="shared" si="47"/>
        <v>43</v>
      </c>
      <c r="AI85">
        <f t="shared" si="11"/>
        <v>0</v>
      </c>
    </row>
    <row r="86" spans="33:35">
      <c r="AG86">
        <f t="shared" si="46"/>
        <v>13</v>
      </c>
      <c r="AH86">
        <f t="shared" si="47"/>
        <v>44</v>
      </c>
      <c r="AI86">
        <f t="shared" si="11"/>
        <v>0</v>
      </c>
    </row>
    <row r="87" spans="33:35">
      <c r="AG87">
        <f t="shared" si="46"/>
        <v>12</v>
      </c>
      <c r="AH87">
        <f t="shared" si="47"/>
        <v>45</v>
      </c>
      <c r="AI87">
        <f t="shared" si="11"/>
        <v>0</v>
      </c>
    </row>
    <row r="88" spans="33:35">
      <c r="AG88">
        <f t="shared" si="46"/>
        <v>11</v>
      </c>
      <c r="AH88">
        <f t="shared" si="47"/>
        <v>46</v>
      </c>
      <c r="AI88">
        <f t="shared" si="11"/>
        <v>0</v>
      </c>
    </row>
    <row r="89" spans="33:35">
      <c r="AG89">
        <f t="shared" si="46"/>
        <v>10</v>
      </c>
      <c r="AH89">
        <f t="shared" si="47"/>
        <v>47</v>
      </c>
      <c r="AI89">
        <f t="shared" si="11"/>
        <v>0</v>
      </c>
    </row>
    <row r="90" spans="33:35">
      <c r="AG90">
        <f t="shared" si="46"/>
        <v>9</v>
      </c>
      <c r="AH90">
        <f t="shared" si="47"/>
        <v>48</v>
      </c>
      <c r="AI90">
        <f t="shared" si="11"/>
        <v>0</v>
      </c>
    </row>
    <row r="91" spans="33:35">
      <c r="AG91">
        <f t="shared" si="46"/>
        <v>8</v>
      </c>
      <c r="AH91">
        <f t="shared" si="47"/>
        <v>49</v>
      </c>
      <c r="AI91">
        <f t="shared" si="11"/>
        <v>0</v>
      </c>
    </row>
    <row r="92" spans="33:35">
      <c r="AG92">
        <f t="shared" si="46"/>
        <v>7</v>
      </c>
      <c r="AH92">
        <f t="shared" si="47"/>
        <v>50</v>
      </c>
      <c r="AI92">
        <f t="shared" si="11"/>
        <v>0</v>
      </c>
    </row>
  </sheetData>
  <sheetProtection algorithmName="SHA-512" hashValue="bwoyq2TDIl/RVfkhzIGPoLfWqq+/CL7hfiHa9am3emP5GeDJ7YV6GusYm9SvSV6cgr9a3q8vmI3rVaZzmsCXUg==" saltValue="YQu/RbUn5gLFDAqMV1h05w==" spinCount="100000" sheet="1" objects="1" scenarios="1" formatCells="0" autoFilter="0" pivotTables="0"/>
  <protectedRanges>
    <protectedRange sqref="W25:Y29" name="axis"/>
    <protectedRange sqref="Y17:Z18" name="chart"/>
    <protectedRange sqref="AD27:AD28" name="Range1"/>
    <protectedRange sqref="AA56:AE64" name="Range3"/>
  </protectedRanges>
  <mergeCells count="60">
    <mergeCell ref="G4:N4"/>
    <mergeCell ref="G19:N19"/>
    <mergeCell ref="G30:N30"/>
    <mergeCell ref="G45:N45"/>
    <mergeCell ref="M42:N42"/>
    <mergeCell ref="M43:N43"/>
    <mergeCell ref="M44:N44"/>
    <mergeCell ref="M31:N31"/>
    <mergeCell ref="M37:N37"/>
    <mergeCell ref="M38:N38"/>
    <mergeCell ref="M39:N39"/>
    <mergeCell ref="M40:N40"/>
    <mergeCell ref="M41:N41"/>
    <mergeCell ref="M32:N32"/>
    <mergeCell ref="M33:N33"/>
    <mergeCell ref="M34:N34"/>
    <mergeCell ref="D44:E44"/>
    <mergeCell ref="K42:L42"/>
    <mergeCell ref="I43:J43"/>
    <mergeCell ref="I37:J37"/>
    <mergeCell ref="I38:J38"/>
    <mergeCell ref="I58:L58"/>
    <mergeCell ref="I32:J32"/>
    <mergeCell ref="I44:J44"/>
    <mergeCell ref="K44:L44"/>
    <mergeCell ref="K43:L43"/>
    <mergeCell ref="I35:J35"/>
    <mergeCell ref="I36:J36"/>
    <mergeCell ref="I39:J39"/>
    <mergeCell ref="K39:L39"/>
    <mergeCell ref="I42:J42"/>
    <mergeCell ref="I41:J41"/>
    <mergeCell ref="I40:J40"/>
    <mergeCell ref="R6:S6"/>
    <mergeCell ref="C32:D32"/>
    <mergeCell ref="C27:D27"/>
    <mergeCell ref="C28:D28"/>
    <mergeCell ref="C23:D23"/>
    <mergeCell ref="R7:S12"/>
    <mergeCell ref="C24:D24"/>
    <mergeCell ref="C25:D25"/>
    <mergeCell ref="C26:D26"/>
    <mergeCell ref="C13:D13"/>
    <mergeCell ref="Q21:R21"/>
    <mergeCell ref="Q22:R22"/>
    <mergeCell ref="C22:D22"/>
    <mergeCell ref="M35:N35"/>
    <mergeCell ref="M36:N36"/>
    <mergeCell ref="C14:D14"/>
    <mergeCell ref="P7:Q12"/>
    <mergeCell ref="P6:Q6"/>
    <mergeCell ref="C6:D6"/>
    <mergeCell ref="C7:D7"/>
    <mergeCell ref="C12:D12"/>
    <mergeCell ref="C8:D8"/>
    <mergeCell ref="C15:D15"/>
    <mergeCell ref="C16:D16"/>
    <mergeCell ref="C17:D17"/>
    <mergeCell ref="I31:J31"/>
    <mergeCell ref="K31:L31"/>
  </mergeCells>
  <phoneticPr fontId="111" type="noConversion"/>
  <conditionalFormatting sqref="C6:E8 S17 S46 I2 Q21:S22 C22:E28 E32 C32 E48 I44:M44 M32:M43 C12:E17">
    <cfRule type="cellIs" dxfId="290" priority="196" operator="lessThan">
      <formula>0</formula>
    </cfRule>
  </conditionalFormatting>
  <conditionalFormatting sqref="Q48:Q55">
    <cfRule type="dataBar" priority="190">
      <dataBar>
        <cfvo type="min"/>
        <cfvo type="max"/>
        <color theme="4"/>
      </dataBar>
      <extLst>
        <ext xmlns:x14="http://schemas.microsoft.com/office/spreadsheetml/2009/9/main" uri="{B025F937-C7B1-47D3-B67F-A62EFF666E3E}">
          <x14:id>{AC241CD0-F511-49DA-A392-33682DC16D8A}</x14:id>
        </ext>
      </extLst>
    </cfRule>
  </conditionalFormatting>
  <conditionalFormatting sqref="S48:S56">
    <cfRule type="dataBar" priority="189">
      <dataBar>
        <cfvo type="min"/>
        <cfvo type="max"/>
        <color theme="4"/>
      </dataBar>
      <extLst>
        <ext xmlns:x14="http://schemas.microsoft.com/office/spreadsheetml/2009/9/main" uri="{B025F937-C7B1-47D3-B67F-A62EFF666E3E}">
          <x14:id>{651C4FEF-30C5-42DD-84B7-68879D71902A}</x14:id>
        </ext>
      </extLst>
    </cfRule>
  </conditionalFormatting>
  <conditionalFormatting sqref="B3:D3">
    <cfRule type="expression" dxfId="289" priority="1202">
      <formula>$I$2&lt;0</formula>
    </cfRule>
  </conditionalFormatting>
  <conditionalFormatting sqref="Q17 I43:L43">
    <cfRule type="cellIs" dxfId="288" priority="119" operator="lessThan">
      <formula>1</formula>
    </cfRule>
  </conditionalFormatting>
  <dataValidations count="20">
    <dataValidation allowBlank="1" showInputMessage="1" showErrorMessage="1" prompt="(Gain/Loss) Divided by 2nd Qtr Beginning Capital" sqref="E24" xr:uid="{00000000-0002-0000-0100-000000000000}"/>
    <dataValidation allowBlank="1" showInputMessage="1" showErrorMessage="1" prompt="(Gain/Loss) Divided by 1st Qtr Beginning Capital" sqref="E23" xr:uid="{00000000-0002-0000-0100-000001000000}"/>
    <dataValidation allowBlank="1" showInputMessage="1" showErrorMessage="1" prompt="(Gain/Loss) Divided by 3rd Qtr Beginning Capital" sqref="E25" xr:uid="{00000000-0002-0000-0100-000002000000}"/>
    <dataValidation allowBlank="1" showInputMessage="1" showErrorMessage="1" prompt="(Gain/Loss) Divided by 4th Qtr Beginning Capital" sqref="E26" xr:uid="{00000000-0002-0000-0100-000003000000}"/>
    <dataValidation allowBlank="1" showInputMessage="1" showErrorMessage="1" prompt="(Gain/Loss) Divided by YTD Beginning Capital" sqref="E27" xr:uid="{00000000-0002-0000-0100-000004000000}"/>
    <dataValidation allowBlank="1" showInputMessage="1" showErrorMessage="1" prompt="(Gain/Loss) Divided by PYTD Beginning Capital" sqref="E28" xr:uid="{00000000-0002-0000-0100-000005000000}"/>
    <dataValidation allowBlank="1" showInputMessage="1" showErrorMessage="1" prompt="(Gain/Loss) Divided by This Month Beginning Capital" sqref="E22" xr:uid="{00000000-0002-0000-0100-000006000000}"/>
    <dataValidation allowBlank="1" showInputMessage="1" showErrorMessage="1" prompt="Profit Divided by This Week Beginning Capital" sqref="S21" xr:uid="{00000000-0002-0000-0100-000007000000}"/>
    <dataValidation allowBlank="1" showInputMessage="1" showErrorMessage="1" prompt="Profit Divided by Total Deposits" sqref="E6:E8" xr:uid="{00000000-0002-0000-0100-000009000000}"/>
    <dataValidation allowBlank="1" showInputMessage="1" showErrorMessage="1" prompt="Adjusted Profit Loss Ratio" sqref="P17" xr:uid="{00000000-0002-0000-0100-00000C000000}"/>
    <dataValidation allowBlank="1" showInputMessage="1" showErrorMessage="1" prompt="Expectancy Per Trade" sqref="R17" xr:uid="{00000000-0002-0000-0100-00000E000000}"/>
    <dataValidation allowBlank="1" showInputMessage="1" showErrorMessage="1" prompt="(Gain/Loss) Divided by Prev.Week Beginning Capital" sqref="S27:S29" xr:uid="{00000000-0002-0000-0100-000008000000}"/>
    <dataValidation allowBlank="1" showInputMessage="1" showErrorMessage="1" prompt="RRR = Average Win% / Average Loss%" sqref="G39" xr:uid="{941DB44F-BC5D-451B-9A79-592AA2C85F7A}"/>
    <dataValidation allowBlank="1" showInputMessage="1" showErrorMessage="1" prompt="Position size % of equity to bet on each trade" sqref="B43" xr:uid="{22073274-E092-4760-B59F-EB9A301289EB}"/>
    <dataValidation allowBlank="1" showInputMessage="1" showErrorMessage="1" prompt="RRR = Ave. Win% / Ave.Loss%" sqref="K39" xr:uid="{30751E56-7662-4876-9FC2-307AEED366A0}"/>
    <dataValidation allowBlank="1" showInputMessage="1" showErrorMessage="1" prompt="Profit Ratio = Ave.Profit / Ave.Loss" sqref="K42" xr:uid="{D307FC97-A0D0-4B43-B177-D5E073A3F983}"/>
    <dataValidation allowBlank="1" showInputMessage="1" showErrorMessage="1" prompt="Edge = Ave. Profit / Ave.Loss" sqref="G42" xr:uid="{2E9EE889-7C54-47F6-926D-6DD2C31F2178}"/>
    <dataValidation allowBlank="1" showInputMessage="1" showErrorMessage="1" prompt="Adjusted Edge = (Average Profit*Win Rate)/(Average Loss*Loss Rate)" sqref="G43" xr:uid="{A4A053E1-0D39-46DA-8977-8D4766C1DDCC}"/>
    <dataValidation allowBlank="1" showInputMessage="1" showErrorMessage="1" prompt="Profit Divided by Prev.Week Beginning Capital" sqref="S22" xr:uid="{048E2EB3-FF4B-4FC3-AED0-74BB0C28BDF7}"/>
    <dataValidation allowBlank="1" showInputMessage="1" showErrorMessage="1" prompt="Yield % = Profit / Cumulative Bought Amount" sqref="E12:E14" xr:uid="{9C6D4E32-5FAC-4683-8530-3EBE7BB3D073}"/>
  </dataValidations>
  <hyperlinks>
    <hyperlink ref="E11" location="'TRADE STATISTICS'!C1" tooltip="STATISTICS" display="More Details" xr:uid="{2671C750-1AF1-46CE-B424-786BC2ED9838}"/>
    <hyperlink ref="E20" location="'Monthly Report'!D19" tooltip="Review Monthly Report" display="Review Monthly Report ►" xr:uid="{F23D5169-5D43-4F8D-9944-B5E6A585BFD9}"/>
  </hyperlinks>
  <printOptions horizontalCentered="1"/>
  <pageMargins left="0.7" right="0.7" top="1" bottom="0.75" header="0.3" footer="0.3"/>
  <pageSetup paperSize="9" scale="68" fitToHeight="2" orientation="landscape" r:id="rId2"/>
  <rowBreaks count="1" manualBreakCount="1">
    <brk id="29" max="18" man="1"/>
  </rowBreaks>
  <drawing r:id="rId3"/>
  <legacyDrawing r:id="rId4"/>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AC241CD0-F511-49DA-A392-33682DC16D8A}">
            <x14:dataBar minLength="0" maxLength="100" gradient="0">
              <x14:cfvo type="autoMin"/>
              <x14:cfvo type="autoMax"/>
              <x14:negativeFillColor theme="5"/>
              <x14:axisColor theme="1" tint="0.249977111117893"/>
            </x14:dataBar>
          </x14:cfRule>
          <xm:sqref>Q48:Q55</xm:sqref>
        </x14:conditionalFormatting>
        <x14:conditionalFormatting xmlns:xm="http://schemas.microsoft.com/office/excel/2006/main">
          <x14:cfRule type="dataBar" id="{651C4FEF-30C5-42DD-84B7-68879D71902A}">
            <x14:dataBar minLength="0" maxLength="100" gradient="0">
              <x14:cfvo type="autoMin"/>
              <x14:cfvo type="autoMax"/>
              <x14:negativeFillColor theme="5"/>
              <x14:axisColor theme="7"/>
            </x14:dataBar>
          </x14:cfRule>
          <xm:sqref>S48:S56</xm:sqref>
        </x14:conditionalFormatting>
      </x14:conditionalFormattings>
    </ext>
    <ext xmlns:x14="http://schemas.microsoft.com/office/spreadsheetml/2009/9/main" uri="{A8765BA9-456A-4dab-B4F3-ACF838C121DE}">
      <x14:slicerList>
        <x14:slicer r:id="rId6"/>
      </x14:slicerList>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radeLog">
    <tabColor theme="5"/>
  </sheetPr>
  <dimension ref="A1:EO15000"/>
  <sheetViews>
    <sheetView showGridLines="0" showRowColHeaders="0" topLeftCell="B1" zoomScaleNormal="100" workbookViewId="0">
      <pane ySplit="14" topLeftCell="A67" activePane="bottomLeft" state="frozen"/>
      <selection activeCell="B1" sqref="B1"/>
      <selection pane="bottomLeft" activeCell="J71" sqref="J71"/>
    </sheetView>
  </sheetViews>
  <sheetFormatPr defaultColWidth="0" defaultRowHeight="15"/>
  <cols>
    <col min="1" max="1" width="9.140625" hidden="1" customWidth="1"/>
    <col min="2" max="2" width="3.5703125" customWidth="1"/>
    <col min="3" max="3" width="13.140625" customWidth="1"/>
    <col min="4" max="4" width="5.85546875" customWidth="1"/>
    <col min="5" max="6" width="10" customWidth="1"/>
    <col min="7" max="7" width="12.7109375" customWidth="1"/>
    <col min="8" max="9" width="12.28515625" customWidth="1"/>
    <col min="10" max="10" width="13.140625" customWidth="1"/>
    <col min="11" max="11" width="12.7109375" customWidth="1"/>
    <col min="12" max="12" width="10" customWidth="1"/>
    <col min="13" max="13" width="12.28515625" customWidth="1"/>
    <col min="14" max="14" width="8.7109375" hidden="1" customWidth="1"/>
    <col min="15" max="15" width="12.28515625" hidden="1" customWidth="1"/>
    <col min="16" max="16" width="12.140625" hidden="1" customWidth="1"/>
    <col min="17" max="18" width="12.28515625" hidden="1" customWidth="1"/>
    <col min="19" max="19" width="7.7109375" hidden="1" customWidth="1"/>
    <col min="20" max="20" width="12.28515625" hidden="1" customWidth="1"/>
    <col min="21" max="21" width="9.7109375" hidden="1" customWidth="1"/>
    <col min="22" max="22" width="11.7109375" customWidth="1"/>
    <col min="23" max="23" width="7.7109375" customWidth="1"/>
    <col min="24" max="24" width="12.7109375" customWidth="1"/>
    <col min="25" max="26" width="13.28515625" customWidth="1"/>
    <col min="27" max="27" width="25.140625" customWidth="1"/>
    <col min="28" max="28" width="27.5703125" customWidth="1"/>
    <col min="29" max="29" width="84" customWidth="1"/>
    <col min="30" max="30" width="15" hidden="1" customWidth="1"/>
    <col min="31" max="31" width="10.7109375" hidden="1" customWidth="1"/>
    <col min="32" max="32" width="13.85546875" hidden="1" customWidth="1"/>
    <col min="33" max="33" width="10" hidden="1" customWidth="1"/>
    <col min="34" max="34" width="9.140625" hidden="1" customWidth="1"/>
    <col min="35" max="35" width="11" hidden="1" customWidth="1"/>
    <col min="36" max="36" width="8.7109375" hidden="1" customWidth="1"/>
    <col min="37" max="37" width="5.5703125" hidden="1" customWidth="1"/>
    <col min="38" max="38" width="13.42578125" hidden="1" customWidth="1"/>
    <col min="39" max="39" width="14.7109375" hidden="1" customWidth="1"/>
    <col min="40" max="40" width="13.140625" hidden="1" customWidth="1"/>
    <col min="41" max="41" width="9.28515625" hidden="1" customWidth="1"/>
    <col min="42" max="42" width="10.85546875" hidden="1" customWidth="1"/>
    <col min="43" max="43" width="16" hidden="1" customWidth="1"/>
    <col min="44" max="44" width="15.28515625" hidden="1" customWidth="1"/>
    <col min="45" max="45" width="17.5703125" hidden="1" customWidth="1"/>
    <col min="46" max="46" width="14.85546875" style="14" hidden="1" customWidth="1"/>
    <col min="47" max="47" width="12.7109375" hidden="1" customWidth="1"/>
    <col min="48" max="48" width="10" hidden="1" customWidth="1"/>
    <col min="49" max="49" width="3.42578125" hidden="1" customWidth="1"/>
    <col min="50" max="51" width="8.85546875" hidden="1" customWidth="1"/>
    <col min="52" max="52" width="13.140625" hidden="1" customWidth="1"/>
    <col min="53" max="53" width="12" hidden="1" customWidth="1"/>
    <col min="54" max="57" width="12.140625" hidden="1" customWidth="1"/>
    <col min="58" max="58" width="9.7109375" hidden="1" customWidth="1"/>
    <col min="59" max="59" width="10.7109375" hidden="1" customWidth="1"/>
    <col min="60" max="60" width="12.7109375" hidden="1" customWidth="1"/>
    <col min="61" max="61" width="11.28515625" hidden="1" customWidth="1"/>
    <col min="62" max="62" width="7.85546875" hidden="1" customWidth="1"/>
    <col min="63" max="63" width="6.140625" hidden="1" customWidth="1"/>
    <col min="64" max="64" width="15.5703125" hidden="1" customWidth="1"/>
    <col min="65" max="65" width="14.28515625" hidden="1" customWidth="1"/>
    <col min="66" max="68" width="6.140625" hidden="1" customWidth="1"/>
    <col min="69" max="69" width="13" hidden="1" customWidth="1"/>
    <col min="70" max="70" width="10.28515625" hidden="1" customWidth="1"/>
    <col min="71" max="71" width="17.28515625" hidden="1" customWidth="1"/>
    <col min="72" max="74" width="8.85546875" hidden="1" customWidth="1"/>
    <col min="75" max="75" width="13.28515625" hidden="1" customWidth="1"/>
    <col min="76" max="76" width="9" hidden="1" customWidth="1"/>
    <col min="77" max="77" width="12.7109375" hidden="1" customWidth="1"/>
    <col min="78" max="78" width="10.7109375" hidden="1" customWidth="1"/>
    <col min="79" max="79" width="10.28515625" hidden="1" customWidth="1"/>
    <col min="80" max="80" width="12" hidden="1" customWidth="1"/>
    <col min="81" max="81" width="12.28515625" hidden="1" customWidth="1"/>
    <col min="82" max="82" width="7" hidden="1" customWidth="1"/>
    <col min="83" max="83" width="10.5703125" hidden="1" customWidth="1"/>
    <col min="84" max="84" width="8.28515625" hidden="1" customWidth="1"/>
    <col min="85" max="85" width="10" hidden="1" customWidth="1"/>
    <col min="86" max="86" width="11.28515625" hidden="1" customWidth="1"/>
    <col min="87" max="92" width="7.7109375" hidden="1" customWidth="1"/>
    <col min="93" max="93" width="13.28515625" hidden="1" customWidth="1"/>
    <col min="94" max="94" width="6.28515625" hidden="1" customWidth="1"/>
    <col min="95" max="96" width="14.7109375" hidden="1" customWidth="1"/>
    <col min="97" max="101" width="10.7109375" hidden="1" customWidth="1"/>
    <col min="102" max="102" width="14.7109375" hidden="1" customWidth="1"/>
    <col min="103" max="103" width="10.7109375" hidden="1" customWidth="1"/>
    <col min="104" max="105" width="11.28515625" hidden="1" customWidth="1"/>
    <col min="106" max="106" width="13.85546875" hidden="1" customWidth="1"/>
    <col min="107" max="107" width="10.140625" hidden="1" customWidth="1"/>
    <col min="108" max="108" width="13.7109375" hidden="1" customWidth="1"/>
    <col min="109" max="112" width="8.85546875" hidden="1" customWidth="1"/>
    <col min="113" max="113" width="8.7109375" hidden="1" customWidth="1"/>
    <col min="114" max="115" width="8.85546875" hidden="1" customWidth="1"/>
    <col min="116" max="116" width="12.85546875" hidden="1" customWidth="1"/>
    <col min="117" max="117" width="11.7109375" hidden="1" customWidth="1"/>
    <col min="118" max="145" width="0" hidden="1" customWidth="1"/>
    <col min="146" max="16384" width="8.85546875" hidden="1"/>
  </cols>
  <sheetData>
    <row r="1" spans="2:145" ht="30" customHeight="1">
      <c r="B1" s="159" t="s">
        <v>344</v>
      </c>
      <c r="C1" s="160"/>
      <c r="D1" s="163"/>
      <c r="E1" s="163"/>
      <c r="F1" s="164"/>
      <c r="G1" s="165"/>
      <c r="H1" s="166"/>
      <c r="I1" s="166"/>
      <c r="J1" s="167"/>
      <c r="K1" s="315"/>
      <c r="L1" s="168"/>
      <c r="M1" s="729"/>
      <c r="N1" s="730"/>
      <c r="O1" s="731"/>
      <c r="P1" s="113"/>
      <c r="Q1" s="113"/>
      <c r="R1" s="113"/>
      <c r="S1" s="732"/>
      <c r="T1" s="732"/>
      <c r="U1" s="733"/>
      <c r="V1" s="734"/>
      <c r="W1" s="734"/>
      <c r="X1" s="735"/>
      <c r="Y1" s="736"/>
      <c r="Z1" s="736"/>
      <c r="AA1" s="113"/>
      <c r="AB1" s="113"/>
      <c r="AC1" s="737"/>
      <c r="AD1" s="32" t="s">
        <v>218</v>
      </c>
      <c r="AE1" s="32">
        <f>AE2+AE3</f>
        <v>55</v>
      </c>
      <c r="AF1" s="32" t="s">
        <v>748</v>
      </c>
      <c r="AG1" s="157"/>
      <c r="AH1" s="305">
        <f>AH4+SETTINGS!W3</f>
        <v>119</v>
      </c>
      <c r="AJ1" s="305">
        <f>COUNT(J15:J13418)+12</f>
        <v>68</v>
      </c>
      <c r="AM1">
        <f>VLOOKUP(L4,BU1:BV12,2,0)</f>
        <v>6</v>
      </c>
      <c r="AO1" t="s">
        <v>754</v>
      </c>
      <c r="AY1" t="s">
        <v>696</v>
      </c>
      <c r="BD1" s="29"/>
      <c r="BG1" s="511">
        <v>1</v>
      </c>
      <c r="BH1" s="511">
        <v>1</v>
      </c>
      <c r="BI1">
        <f>DASHBOARD!AD57</f>
        <v>50</v>
      </c>
      <c r="BK1" t="s">
        <v>697</v>
      </c>
      <c r="BU1" s="32" t="s">
        <v>364</v>
      </c>
      <c r="BV1">
        <v>1</v>
      </c>
      <c r="BW1" s="32" t="s">
        <v>291</v>
      </c>
      <c r="BX1">
        <f>MIN($AO$15:$AO$9733)</f>
        <v>2020</v>
      </c>
      <c r="CF1" s="32" t="s">
        <v>749</v>
      </c>
      <c r="CG1" s="32" t="s">
        <v>286</v>
      </c>
      <c r="CH1" t="s">
        <v>750</v>
      </c>
      <c r="DO1" s="32" t="s">
        <v>700</v>
      </c>
      <c r="DP1" s="32"/>
      <c r="DQ1" s="32"/>
      <c r="DR1" s="32" t="s">
        <v>314</v>
      </c>
      <c r="DS1" s="32" t="s">
        <v>19</v>
      </c>
      <c r="DT1" s="32" t="s">
        <v>11</v>
      </c>
      <c r="DU1" s="19" t="s">
        <v>22</v>
      </c>
      <c r="DV1" s="15" t="s">
        <v>315</v>
      </c>
      <c r="DW1" t="s">
        <v>245</v>
      </c>
      <c r="DX1" t="s">
        <v>191</v>
      </c>
      <c r="DY1" s="19" t="s">
        <v>316</v>
      </c>
      <c r="DZ1" s="92">
        <v>1</v>
      </c>
      <c r="EA1" t="s">
        <v>66</v>
      </c>
      <c r="EB1" t="s">
        <v>11</v>
      </c>
      <c r="EC1" t="s">
        <v>244</v>
      </c>
      <c r="ED1" t="s">
        <v>245</v>
      </c>
      <c r="EE1" t="s">
        <v>111</v>
      </c>
      <c r="EF1" s="19" t="s">
        <v>401</v>
      </c>
      <c r="EG1" s="19" t="s">
        <v>402</v>
      </c>
      <c r="EH1" t="s">
        <v>313</v>
      </c>
      <c r="EI1" t="s">
        <v>330</v>
      </c>
      <c r="EJ1" t="s">
        <v>66</v>
      </c>
      <c r="EK1" t="s">
        <v>466</v>
      </c>
      <c r="EL1" t="s">
        <v>467</v>
      </c>
      <c r="EM1" t="s">
        <v>468</v>
      </c>
      <c r="EN1" t="s">
        <v>469</v>
      </c>
      <c r="EO1" t="s">
        <v>218</v>
      </c>
    </row>
    <row r="2" spans="2:145" ht="21.75" customHeight="1">
      <c r="B2" s="161"/>
      <c r="C2" s="323">
        <v>1</v>
      </c>
      <c r="D2" s="147">
        <v>1</v>
      </c>
      <c r="E2" s="322" t="s">
        <v>691</v>
      </c>
      <c r="F2" s="147"/>
      <c r="G2" s="802" t="s">
        <v>738</v>
      </c>
      <c r="H2" s="802"/>
      <c r="I2" s="802" t="s">
        <v>824</v>
      </c>
      <c r="J2" s="802"/>
      <c r="K2" s="802" t="s">
        <v>825</v>
      </c>
      <c r="L2" s="802"/>
      <c r="M2" s="113"/>
      <c r="N2" s="381"/>
      <c r="O2" s="382"/>
      <c r="P2" s="113"/>
      <c r="Q2" s="113"/>
      <c r="R2" s="113"/>
      <c r="S2" s="383"/>
      <c r="T2" s="383"/>
      <c r="U2" s="383"/>
      <c r="V2" s="384"/>
      <c r="W2" s="384"/>
      <c r="X2" s="409"/>
      <c r="Y2" s="410"/>
      <c r="Z2" s="410"/>
      <c r="AA2" s="113"/>
      <c r="AB2" s="113"/>
      <c r="AC2" s="410"/>
      <c r="AD2" s="32" t="s">
        <v>264</v>
      </c>
      <c r="AE2" s="32">
        <f>'TRADE STATISTICS'!$AY$4+'TRADE STATISTICS'!$AZ$4</f>
        <v>52</v>
      </c>
      <c r="AF2" s="101">
        <f>IFERROR(AE2/$AE$1,0)</f>
        <v>0.94545454545454544</v>
      </c>
      <c r="AH2" s="481">
        <f>AH6+1</f>
        <v>75</v>
      </c>
      <c r="AI2" t="s">
        <v>753</v>
      </c>
      <c r="AJ2" s="306">
        <f>COUNT(J15:J13418)+14</f>
        <v>70</v>
      </c>
      <c r="AM2" t="e">
        <f>VLOOKUP(L5,BW2:BX4,2,0)</f>
        <v>#N/A</v>
      </c>
      <c r="AO2" s="489" t="str">
        <f>IF(J4="","",J4)</f>
        <v>Momentum</v>
      </c>
      <c r="AP2" s="32" t="s">
        <v>337</v>
      </c>
      <c r="AY2" s="32"/>
      <c r="AZ2" s="32" t="s">
        <v>419</v>
      </c>
      <c r="BA2" s="32" t="s">
        <v>218</v>
      </c>
      <c r="BB2" s="32" t="s">
        <v>420</v>
      </c>
      <c r="BC2" s="32" t="s">
        <v>35</v>
      </c>
      <c r="BD2" s="32" t="s">
        <v>726</v>
      </c>
      <c r="BK2" s="32"/>
      <c r="BL2" s="32" t="s">
        <v>195</v>
      </c>
      <c r="BM2" s="32" t="s">
        <v>196</v>
      </c>
      <c r="BN2" s="32"/>
      <c r="BU2" s="32" t="s">
        <v>365</v>
      </c>
      <c r="BV2">
        <v>2</v>
      </c>
      <c r="BW2" s="32">
        <f>MAX($AO$15:$AO$9733)</f>
        <v>2023</v>
      </c>
      <c r="BX2">
        <v>1</v>
      </c>
      <c r="BZ2" t="s">
        <v>66</v>
      </c>
      <c r="CD2" t="s">
        <v>379</v>
      </c>
      <c r="CF2" s="32">
        <f>IF(SETTINGS!R12="",NA(),1)</f>
        <v>1</v>
      </c>
      <c r="CG2" s="32">
        <f>IF(SETTINGS!M12="",NA(),1)</f>
        <v>1</v>
      </c>
      <c r="CH2" s="32">
        <f>IF(SETTINGS!O12="",NA(),1)</f>
        <v>1</v>
      </c>
      <c r="DO2" s="32" t="str">
        <f>SETTINGS!R11</f>
        <v>NO SETUP</v>
      </c>
      <c r="DP2" s="32">
        <v>1.0000000000000001E-5</v>
      </c>
      <c r="DQ2" s="32">
        <v>1</v>
      </c>
      <c r="DR2" s="32">
        <f>SETTINGS!AG24-SUM(DR3:DR12)</f>
        <v>30</v>
      </c>
      <c r="DS2" s="32">
        <f>SETTINGS!AH24-SUM(DS3:DS12)</f>
        <v>13</v>
      </c>
      <c r="DT2" s="32">
        <f>SETTINGS!AI24-SUM(DT3:DT12)</f>
        <v>17</v>
      </c>
      <c r="DU2" s="21">
        <f>DS2/DR2</f>
        <v>0.43333333333333335</v>
      </c>
      <c r="DV2" s="20">
        <f>IFERROR(SUMIFS(PNLPercent,PNLPercent,"&gt;0",SetupLog,"")/DS2,0)</f>
        <v>6.2964125592643028E-2</v>
      </c>
      <c r="DW2" s="20">
        <f>IFERROR(-SUMIFS(PNLPercent,PNLPercent,"&lt;=0",SetupLog,"")/DT2,0)</f>
        <v>2.6318963287625851E-2</v>
      </c>
      <c r="DX2" s="16">
        <f>IFERROR(DV2/DW2,0)</f>
        <v>2.3923482435285095</v>
      </c>
      <c r="DY2">
        <f>IF(DT2=0,0,IF(SETTINGS!$AN$6=SETTINGS!$AI$3,EF2,EG2))</f>
        <v>0.29478105672307459</v>
      </c>
      <c r="DZ2">
        <f t="shared" ref="DZ2:DZ12" si="0">IF(DU2="",0,100%)</f>
        <v>1</v>
      </c>
      <c r="EA2">
        <f>SETTINGS!AP24-SUM(EA3:EA12)</f>
        <v>7733.4100000000026</v>
      </c>
      <c r="EB2">
        <f>SETTINGS!AQ24-SUM(EB3:EB12)</f>
        <v>-5996.1499999999969</v>
      </c>
      <c r="EC2">
        <f t="shared" ref="EC2:EC12" si="1">EA2/DS2</f>
        <v>594.87769230769254</v>
      </c>
      <c r="ED2">
        <f t="shared" ref="ED2:ED3" si="2">IFERROR(EB2/DT2,0)</f>
        <v>-352.71470588235275</v>
      </c>
      <c r="EE2">
        <f t="shared" ref="EE2:EE12" si="3">IFERROR(EC2/(-ED2),0)</f>
        <v>1.6865690099865378</v>
      </c>
      <c r="EF2" s="21">
        <f t="shared" ref="EF2:EF6" si="4">IF(DR2=0,"",1/(1+(EE2/1)))</f>
        <v>0.37222196648691741</v>
      </c>
      <c r="EG2" s="21">
        <f t="shared" ref="EG2:EG7" si="5">IF(DR2=0,"",1/(1+(DX2/1)))</f>
        <v>0.29478105672307459</v>
      </c>
      <c r="EH2">
        <f t="shared" ref="EH2:EH7" si="6">IF(DR2=0,"",EA2+EB2+DP2)</f>
        <v>1737.2600100000056</v>
      </c>
      <c r="EI2">
        <f t="shared" ref="EI2:EI12" si="7">IFERROR((DU2*EC2)-((1-DU2)*-ED2),0)</f>
        <v>57.908666666666875</v>
      </c>
      <c r="EJ2">
        <f t="shared" ref="EJ2:EJ12" si="8">LARGE($EH$2:$EH$12,DQ2)</f>
        <v>3057.6000199999994</v>
      </c>
      <c r="EK2">
        <f t="shared" ref="EK2:EK12" si="9">MATCH(EJ2,$EH$2:$EH$12,0)</f>
        <v>2</v>
      </c>
      <c r="EL2" t="str">
        <f>INDEX(SETTINGS!$R$11:$R$21,EK2)</f>
        <v>Momentum</v>
      </c>
      <c r="EM2">
        <f t="shared" ref="EM2:EM12" si="10">INDEX($EI$2:$EI$12,EK2)</f>
        <v>509.59999999999991</v>
      </c>
      <c r="EN2" s="93">
        <f t="shared" ref="EN2:EN12" si="11">INDEX($DU$2:$DU$12,EK2)</f>
        <v>0.66666666666666663</v>
      </c>
      <c r="EO2" s="16">
        <f t="shared" ref="EO2:EO12" si="12">INDEX($DR$2:$DR$12,EK2)</f>
        <v>6</v>
      </c>
    </row>
    <row r="3" spans="2:145" ht="28.5" customHeight="1" thickBot="1">
      <c r="B3" s="161"/>
      <c r="C3" s="681" t="s">
        <v>739</v>
      </c>
      <c r="D3" s="148"/>
      <c r="E3" s="317"/>
      <c r="F3" s="113"/>
      <c r="G3" s="113"/>
      <c r="H3" s="113"/>
      <c r="I3" s="113"/>
      <c r="J3" s="113"/>
      <c r="K3" s="113"/>
      <c r="L3" s="113"/>
      <c r="M3" s="113"/>
      <c r="N3" s="381"/>
      <c r="O3" s="382"/>
      <c r="P3" s="113"/>
      <c r="Q3" s="113"/>
      <c r="R3" s="113"/>
      <c r="S3" s="383"/>
      <c r="T3" s="383"/>
      <c r="U3" s="383"/>
      <c r="V3" s="384"/>
      <c r="W3" s="384"/>
      <c r="X3" s="411"/>
      <c r="Y3" s="412"/>
      <c r="Z3" s="412"/>
      <c r="AA3" s="113"/>
      <c r="AB3" s="113"/>
      <c r="AC3" s="410"/>
      <c r="AD3" s="32" t="s">
        <v>265</v>
      </c>
      <c r="AE3" s="32">
        <f>'TRADE STATISTICS'!$BD$4+'TRADE STATISTICS'!$BE$4</f>
        <v>3</v>
      </c>
      <c r="AF3" s="101">
        <f>IFERROR(AE3/$AE$1,0)</f>
        <v>5.4545454545454543E-2</v>
      </c>
      <c r="AH3" s="305">
        <f>IF(AH5&lt;AJ1,AH5,AJ1)</f>
        <v>44</v>
      </c>
      <c r="AM3" t="str">
        <f>INDEX(BU1:BU12,AM1)</f>
        <v>JUN</v>
      </c>
      <c r="AN3" s="15"/>
      <c r="AO3" s="489" t="str">
        <f t="shared" ref="AO3:AO4" si="13">IF(J5="","",J5)</f>
        <v/>
      </c>
      <c r="AP3" s="32" t="s">
        <v>755</v>
      </c>
      <c r="AY3" s="32" t="s">
        <v>448</v>
      </c>
      <c r="AZ3" s="32">
        <v>2</v>
      </c>
      <c r="BA3" s="32">
        <f>COUNTIFS('TRADE LOG'!$AP$15:$AP$9733,AZ3,$BK$15:$BK$9733,"&lt;&gt;0")</f>
        <v>12</v>
      </c>
      <c r="BB3" s="32">
        <f>COUNTIFS('TRADE LOG'!$AP$15:$AP$9733,AZ3,'TRADE LOG'!$BK$15:$BK$9733,"1")</f>
        <v>3</v>
      </c>
      <c r="BC3" s="32">
        <f>BA3-BB3</f>
        <v>9</v>
      </c>
      <c r="BD3" s="101">
        <f>IFERROR(BB3/BA3,0)</f>
        <v>0.25</v>
      </c>
      <c r="BH3" s="15" t="s">
        <v>773</v>
      </c>
      <c r="BI3" s="15" t="s">
        <v>774</v>
      </c>
      <c r="BK3" s="32">
        <f>AX8+3</f>
        <v>59</v>
      </c>
      <c r="BL3" s="22">
        <f>MAX(BG15:BG9733)*(1+BM3)</f>
        <v>55356.84839999993</v>
      </c>
      <c r="BM3" s="102">
        <v>0.02</v>
      </c>
      <c r="BN3" s="32">
        <f>MAX(BH15:BH9733)*(1+BM3)</f>
        <v>55356.84839999993</v>
      </c>
      <c r="BU3" s="32" t="s">
        <v>366</v>
      </c>
      <c r="BV3">
        <v>3</v>
      </c>
      <c r="BW3" s="32">
        <f>IFERROR(IF((BW2-1)&lt;$BX$1,"",(BW2-1)),"")</f>
        <v>2022</v>
      </c>
      <c r="BX3">
        <v>2</v>
      </c>
      <c r="BY3">
        <v>1</v>
      </c>
      <c r="BZ3">
        <f>LARGE('TRADE STATISTICS'!$BE$16:$BE$66,BY3)</f>
        <v>4767.8500099999992</v>
      </c>
      <c r="CA3">
        <f>IF(BZ3&lt;0,"",BZ3)</f>
        <v>4767.8500099999992</v>
      </c>
      <c r="CB3">
        <f>MATCH(CA3,'TRADE STATISTICS'!$BE$16:$BE$66,0)</f>
        <v>1</v>
      </c>
      <c r="CC3" t="str">
        <f>INDEX('TRADE STATISTICS'!$AJ$16:$AJ$66,CB3)</f>
        <v>AUDUSD</v>
      </c>
      <c r="CD3" s="93">
        <f>IF(CC3="","",INDEX('TRADE STATISTICS'!$BK$16:$BK$66,CB3))</f>
        <v>4.6237754779934401E-2</v>
      </c>
      <c r="CF3" s="32">
        <f>IF(SETTINGS!R13="",NA(),1)</f>
        <v>1</v>
      </c>
      <c r="CG3" s="32">
        <f>IF(SETTINGS!M13="",NA(),1)</f>
        <v>1</v>
      </c>
      <c r="CH3" s="32">
        <f>IF(SETTINGS!O13="",NA(),1)</f>
        <v>1</v>
      </c>
      <c r="DO3" s="32" t="str">
        <f>SETTINGS!R12</f>
        <v>Momentum</v>
      </c>
      <c r="DP3" s="32">
        <v>2.0000000000000002E-5</v>
      </c>
      <c r="DQ3" s="32">
        <v>2</v>
      </c>
      <c r="DR3" s="32">
        <f t="shared" ref="DR3:DR12" si="14">COUNTIFS(SetupLog,DO3)</f>
        <v>6</v>
      </c>
      <c r="DS3" s="32">
        <f t="shared" ref="DS3:DS12" si="15">COUNTIFS(SetupLog,DO3,WL,"w")</f>
        <v>4</v>
      </c>
      <c r="DT3" s="32">
        <f>DR3-DS3</f>
        <v>2</v>
      </c>
      <c r="DU3" s="21">
        <f t="shared" ref="DU3:DU12" si="16">IFERROR(DS3/DR3,"")</f>
        <v>0.66666666666666663</v>
      </c>
      <c r="DV3" s="191">
        <f t="shared" ref="DV3:DV12" si="17">IFERROR(SUMIFS(PNLPercent,PNLPercent,"&gt;0",SetupLog,DO3)/DS3,0)</f>
        <v>5.512828668911629E-2</v>
      </c>
      <c r="DW3" s="20">
        <f>IFERROR(-SUMIFS(PNLPercent,PNLPercent,"&lt;=0",SetupLog,SETTINGS!R12)/DT3,0)</f>
        <v>7.4361543340656219E-3</v>
      </c>
      <c r="DX3" s="16">
        <f>IFERROR(DV3/DW3,0)</f>
        <v>7.4135479459549636</v>
      </c>
      <c r="DY3">
        <f>IF(DT3=0,0,IF(SETTINGS!$AN$6=SETTINGS!$AI$3,EF3,EG3))</f>
        <v>0.11885592218925627</v>
      </c>
      <c r="DZ3">
        <f t="shared" si="0"/>
        <v>1</v>
      </c>
      <c r="EA3">
        <f t="shared" ref="EA3:EA12" si="18">SUMIFS(PNLwFees,PNLwFees,"&gt;0",SetupLog,DO3)</f>
        <v>3242.8999999999996</v>
      </c>
      <c r="EB3">
        <f t="shared" ref="EB3:EB12" si="19">SUMIFS(PNLwFees,PNLwFees,"&lt;=0",SetupLog,DO3)</f>
        <v>-185.3</v>
      </c>
      <c r="EC3">
        <f t="shared" si="1"/>
        <v>810.72499999999991</v>
      </c>
      <c r="ED3">
        <f t="shared" si="2"/>
        <v>-92.65</v>
      </c>
      <c r="EE3">
        <f t="shared" si="3"/>
        <v>8.7504047490555834</v>
      </c>
      <c r="EF3" s="21">
        <f t="shared" si="4"/>
        <v>0.10255984502559848</v>
      </c>
      <c r="EG3" s="21">
        <f t="shared" si="5"/>
        <v>0.11885592218925627</v>
      </c>
      <c r="EH3">
        <f t="shared" si="6"/>
        <v>3057.6000199999994</v>
      </c>
      <c r="EI3">
        <f t="shared" si="7"/>
        <v>509.59999999999991</v>
      </c>
      <c r="EJ3">
        <f t="shared" si="8"/>
        <v>1737.2600100000056</v>
      </c>
      <c r="EK3">
        <f t="shared" si="9"/>
        <v>1</v>
      </c>
      <c r="EL3" t="str">
        <f>INDEX(SETTINGS!$R$11:$R$21,EK3)</f>
        <v>NO SETUP</v>
      </c>
      <c r="EM3">
        <f t="shared" si="10"/>
        <v>57.908666666666875</v>
      </c>
      <c r="EN3" s="93">
        <f t="shared" si="11"/>
        <v>0.43333333333333335</v>
      </c>
      <c r="EO3" s="16">
        <f t="shared" si="12"/>
        <v>30</v>
      </c>
    </row>
    <row r="4" spans="2:145" ht="18" customHeight="1" thickBot="1">
      <c r="B4" s="161"/>
      <c r="C4" s="672" t="s">
        <v>727</v>
      </c>
      <c r="D4" s="804">
        <f>IFERROR(IF(SheetlU14="xxx","Invalid User",SheetIAA6),"")</f>
        <v>0</v>
      </c>
      <c r="E4" s="805"/>
      <c r="F4" s="113"/>
      <c r="G4" s="632" t="s">
        <v>736</v>
      </c>
      <c r="H4" s="696" t="s">
        <v>757</v>
      </c>
      <c r="I4" s="632" t="s">
        <v>731</v>
      </c>
      <c r="J4" s="482" t="s">
        <v>157</v>
      </c>
      <c r="K4" s="633" t="s">
        <v>734</v>
      </c>
      <c r="L4" s="460" t="s">
        <v>369</v>
      </c>
      <c r="M4" s="113"/>
      <c r="N4" s="385"/>
      <c r="O4" s="386"/>
      <c r="P4" s="113"/>
      <c r="Q4" s="113"/>
      <c r="R4" s="113"/>
      <c r="S4" s="387"/>
      <c r="T4" s="387"/>
      <c r="U4" s="387"/>
      <c r="V4" s="388"/>
      <c r="W4" s="388"/>
      <c r="X4" s="413"/>
      <c r="Y4" s="414"/>
      <c r="Z4" s="414"/>
      <c r="AA4" s="113"/>
      <c r="AB4" s="113"/>
      <c r="AC4" s="738"/>
      <c r="AH4" s="305">
        <f>COUNTA(F15:F25752)+14</f>
        <v>69</v>
      </c>
      <c r="AM4" t="str">
        <f>IFERROR(INDEX(BW2:BW4,AM2),"")</f>
        <v/>
      </c>
      <c r="AN4" s="15"/>
      <c r="AO4" s="489" t="str">
        <f t="shared" si="13"/>
        <v/>
      </c>
      <c r="AP4" s="32" t="s">
        <v>287</v>
      </c>
      <c r="AX4">
        <f>SUMIFS('TRADE LOG'!$BD$15:$BD$9733,PercentPandL,"&gt;="&amp;DASHBOARD!AM5,PercentPandL,"&lt;"&amp;DASHBOARD!AN5,'TRADE LOG'!$BK$15:$BK$9733,"1")</f>
        <v>0</v>
      </c>
      <c r="AY4" s="32" t="s">
        <v>449</v>
      </c>
      <c r="AZ4" s="32">
        <v>3</v>
      </c>
      <c r="BA4" s="32">
        <f>COUNTIFS('TRADE LOG'!$AP$15:$AP$9733,AZ4,$BK$15:$BK$9733,"&lt;&gt;0")</f>
        <v>0</v>
      </c>
      <c r="BB4" s="32">
        <f>COUNTIFS('TRADE LOG'!$AP$15:$AP$9733,AZ4,'TRADE LOG'!$BK$15:$BK$9733,"1")</f>
        <v>0</v>
      </c>
      <c r="BC4" s="32">
        <f>BA4-BB4</f>
        <v>0</v>
      </c>
      <c r="BD4" s="101">
        <f t="shared" ref="BD4:BD7" si="20">IFERROR(BB4/BA4,0)</f>
        <v>0</v>
      </c>
      <c r="BF4">
        <f ca="1">IFERROR(ROUND(MAX(INDIRECT("$Bg$"&amp;$BJ$5&amp;":$Bg$"&amp;$BJ$4))*1.03,-1),1)</f>
        <v>55900</v>
      </c>
      <c r="BG4" s="508" t="s">
        <v>775</v>
      </c>
      <c r="BH4" s="509">
        <f ca="1">IFERROR(ROUNDUP(MAX(INDIRECT("$Bg$"&amp;$BJ$5&amp;":$BK$"&amp;$BJ$4))*BH1,-1),1)</f>
        <v>54280</v>
      </c>
      <c r="BI4" s="510">
        <f>COUNT($AU$15:$AU$10591)</f>
        <v>56</v>
      </c>
      <c r="BJ4">
        <f>BI4+14</f>
        <v>70</v>
      </c>
      <c r="BK4" s="32">
        <v>0</v>
      </c>
      <c r="BL4" s="103">
        <f>MIN(BG15:BG9733)*(1-BM4)</f>
        <v>48004.947199999995</v>
      </c>
      <c r="BM4" s="102">
        <v>0.02</v>
      </c>
      <c r="BN4" s="32">
        <f>MIN(BH15:BH9733)*(1-BM4)</f>
        <v>48004.947199999995</v>
      </c>
      <c r="BU4" s="32" t="s">
        <v>367</v>
      </c>
      <c r="BV4">
        <v>4</v>
      </c>
      <c r="BW4" s="32">
        <f t="shared" ref="BW4:BW8" si="21">IFERROR(IF((BW3-1)&lt;$BX$1,"",(BW3-1)),"")</f>
        <v>2021</v>
      </c>
      <c r="BX4">
        <v>3</v>
      </c>
      <c r="BY4">
        <v>2</v>
      </c>
      <c r="BZ4">
        <f>LARGE('TRADE STATISTICS'!$BE$16:$BE$66,BY4)</f>
        <v>527.30003999999997</v>
      </c>
      <c r="CA4">
        <f t="shared" ref="CA4:CA5" si="22">IF(BZ4&lt;0,"",BZ4)</f>
        <v>527.30003999999997</v>
      </c>
      <c r="CB4">
        <f>MATCH(CA4,'TRADE STATISTICS'!$BE$16:$BE$66,0)</f>
        <v>4</v>
      </c>
      <c r="CC4" t="str">
        <f>INDEX('TRADE STATISTICS'!$AJ$16:$AJ$66,CB4)</f>
        <v>GBPUSD</v>
      </c>
      <c r="CD4" s="93">
        <f>IF(CC4="","",INDEX('TRADE STATISTICS'!$BK$16:$BK$66,CB4))</f>
        <v>4.7535041878235384E-3</v>
      </c>
      <c r="CF4" s="32">
        <f>IF(SETTINGS!R14="",NA(),1)</f>
        <v>1</v>
      </c>
      <c r="CG4" s="32">
        <f>IF(SETTINGS!M14="",NA(),1)</f>
        <v>1</v>
      </c>
      <c r="CH4" s="32">
        <f>IF(SETTINGS!O14="",NA(),1)</f>
        <v>1</v>
      </c>
      <c r="DO4" s="32" t="str">
        <f>SETTINGS!R13</f>
        <v>Bounce</v>
      </c>
      <c r="DP4" s="32">
        <v>3.0000000000000001E-5</v>
      </c>
      <c r="DQ4" s="32">
        <v>3</v>
      </c>
      <c r="DR4" s="32">
        <f t="shared" si="14"/>
        <v>12</v>
      </c>
      <c r="DS4" s="32">
        <f t="shared" si="15"/>
        <v>5</v>
      </c>
      <c r="DT4" s="32">
        <f t="shared" ref="DT4:DT12" si="23">DR4-DS4</f>
        <v>7</v>
      </c>
      <c r="DU4" s="21">
        <f t="shared" si="16"/>
        <v>0.41666666666666669</v>
      </c>
      <c r="DV4" s="191">
        <f t="shared" si="17"/>
        <v>8.7132965898503806E-2</v>
      </c>
      <c r="DW4" s="20">
        <f>IFERROR(-SUMIFS(PNLPercent,PNLPercent,"&lt;=0",SetupLog,SETTINGS!R13)/DT4,0)</f>
        <v>6.562311031260129E-2</v>
      </c>
      <c r="DX4" s="16">
        <f t="shared" ref="DX4:DX12" si="24">IFERROR(DV4/DW4,0)</f>
        <v>1.3277786664398941</v>
      </c>
      <c r="DY4">
        <f>IF(DT4=0,0,IF(SETTINGS!$AN$6=SETTINGS!$AI$3,EF4,EG4))</f>
        <v>0.42959410807274073</v>
      </c>
      <c r="DZ4">
        <f t="shared" si="0"/>
        <v>1</v>
      </c>
      <c r="EA4">
        <f t="shared" si="18"/>
        <v>1561.75</v>
      </c>
      <c r="EB4">
        <f t="shared" si="19"/>
        <v>-2504.5299999999997</v>
      </c>
      <c r="EC4">
        <f t="shared" si="1"/>
        <v>312.35000000000002</v>
      </c>
      <c r="ED4">
        <f>IFERROR(EB4/DT4,0)</f>
        <v>-357.78999999999996</v>
      </c>
      <c r="EE4">
        <f t="shared" si="3"/>
        <v>0.87299812739316374</v>
      </c>
      <c r="EF4" s="21">
        <f t="shared" si="4"/>
        <v>0.53390336347628853</v>
      </c>
      <c r="EG4" s="21">
        <f t="shared" si="5"/>
        <v>0.42959410807274073</v>
      </c>
      <c r="EH4">
        <f t="shared" si="6"/>
        <v>-942.77996999999971</v>
      </c>
      <c r="EI4">
        <f t="shared" si="7"/>
        <v>-78.564999999999941</v>
      </c>
      <c r="EJ4">
        <f t="shared" si="8"/>
        <v>419.34005000000002</v>
      </c>
      <c r="EK4">
        <f t="shared" si="9"/>
        <v>5</v>
      </c>
      <c r="EL4" t="str">
        <f>INDEX(SETTINGS!$R$11:$R$21,EK4)</f>
        <v>Swing Trade</v>
      </c>
      <c r="EM4">
        <f t="shared" si="10"/>
        <v>59.905714285714282</v>
      </c>
      <c r="EN4" s="93">
        <f t="shared" si="11"/>
        <v>0.42857142857142855</v>
      </c>
      <c r="EO4" s="16">
        <f t="shared" si="12"/>
        <v>7</v>
      </c>
    </row>
    <row r="5" spans="2:145" ht="18" customHeight="1" thickBot="1">
      <c r="B5" s="314" t="str">
        <f>"e"&amp;COUNTA(F15:F832)+15</f>
        <v>e70</v>
      </c>
      <c r="C5" s="672" t="s">
        <v>728</v>
      </c>
      <c r="D5" s="806">
        <f>'MONTHLY REPORT'!L15</f>
        <v>0</v>
      </c>
      <c r="E5" s="806"/>
      <c r="F5" s="407"/>
      <c r="G5" s="632" t="s">
        <v>737</v>
      </c>
      <c r="H5" s="696" t="s">
        <v>7</v>
      </c>
      <c r="I5" s="268" t="s">
        <v>732</v>
      </c>
      <c r="J5" s="483"/>
      <c r="K5" s="633" t="s">
        <v>735</v>
      </c>
      <c r="L5" s="460">
        <v>2020</v>
      </c>
      <c r="M5" s="113"/>
      <c r="N5" s="389"/>
      <c r="O5" s="390"/>
      <c r="P5" s="113"/>
      <c r="Q5" s="113"/>
      <c r="R5" s="113"/>
      <c r="S5" s="391"/>
      <c r="T5" s="392"/>
      <c r="U5" s="391"/>
      <c r="V5" s="393"/>
      <c r="W5" s="393"/>
      <c r="X5" s="413"/>
      <c r="Y5" s="414"/>
      <c r="Z5" s="113"/>
      <c r="AA5" s="113"/>
      <c r="AB5" s="113"/>
      <c r="AC5" s="739"/>
      <c r="AE5" s="32" t="s">
        <v>304</v>
      </c>
      <c r="AF5" s="32" t="str">
        <f>"F"&amp;COUNT(C15:C832)+15</f>
        <v>F71</v>
      </c>
      <c r="AG5" s="303"/>
      <c r="AH5" s="305">
        <f>IF(AH4&gt;64,AH4-25,20)</f>
        <v>44</v>
      </c>
      <c r="AO5" t="str">
        <f>IF(H4="","",H4)</f>
        <v>usdchf</v>
      </c>
      <c r="AP5" s="32" t="s">
        <v>756</v>
      </c>
      <c r="AY5" s="32" t="s">
        <v>450</v>
      </c>
      <c r="AZ5" s="32">
        <v>4</v>
      </c>
      <c r="BA5" s="32">
        <f>COUNTIFS('TRADE LOG'!$AP$15:$AP$9733,AZ5,$BK$15:$BK$9733,"&lt;&gt;0")</f>
        <v>2</v>
      </c>
      <c r="BB5" s="32">
        <f>COUNTIFS('TRADE LOG'!$AP$15:$AP$9733,AZ5,'TRADE LOG'!$BK$15:$BK$9733,"1")</f>
        <v>0</v>
      </c>
      <c r="BC5" s="32">
        <f>BA5-BB5</f>
        <v>2</v>
      </c>
      <c r="BD5" s="101">
        <f t="shared" si="20"/>
        <v>0</v>
      </c>
      <c r="BF5">
        <f ca="1">IFERROR(ROUND(MIN(INDIRECT("$Bg$"&amp;$BJ$5&amp;":$Bg$"&amp;$BJ$4))*1.03,-1),1)</f>
        <v>50450</v>
      </c>
      <c r="BG5" s="19" t="s">
        <v>776</v>
      </c>
      <c r="BH5" s="19">
        <f ca="1">IFERROR(ROUNDDOWN(MIN(INDIRECT("$Bg$"&amp;$BJ$5&amp;":$Bg$"&amp;$BJ$4))*BG1,-1),1)</f>
        <v>48980</v>
      </c>
      <c r="BI5" s="19">
        <f>IF(BI1="ALL",0,IF(BI1&gt;=BI4,0,BI4-BI1))</f>
        <v>6</v>
      </c>
      <c r="BJ5">
        <f>BI5+14</f>
        <v>20</v>
      </c>
      <c r="BK5" s="32" t="s">
        <v>197</v>
      </c>
      <c r="BL5" s="104">
        <f>MIN(BS15:BS9733)</f>
        <v>-4.0518855781178816E-2</v>
      </c>
      <c r="BM5" s="22">
        <f>IFERROR(INDEX(BR15:BR9733,MATCH(BL5,BS15:BS9733,0))*BL5,0)</f>
        <v>-2179.8800000000047</v>
      </c>
      <c r="BN5" s="32"/>
      <c r="BU5" s="32" t="s">
        <v>368</v>
      </c>
      <c r="BV5">
        <v>5</v>
      </c>
      <c r="BW5" s="32">
        <f t="shared" si="21"/>
        <v>2020</v>
      </c>
      <c r="BX5">
        <v>4</v>
      </c>
      <c r="BY5">
        <v>3</v>
      </c>
      <c r="BZ5">
        <f>LARGE('TRADE STATISTICS'!$BE$16:$BE$66,BY5)</f>
        <v>-65.689950000000024</v>
      </c>
      <c r="CA5" t="str">
        <f t="shared" si="22"/>
        <v/>
      </c>
      <c r="CB5">
        <f>MATCH(CA5,'TRADE STATISTICS'!$BE$16:$BE$66,0)</f>
        <v>7</v>
      </c>
      <c r="CC5" t="str">
        <f>INDEX('TRADE STATISTICS'!$AJ$16:$AJ$66,CB5)</f>
        <v/>
      </c>
      <c r="CD5" s="93" t="str">
        <f>IF(CC5="","",INDEX('TRADE STATISTICS'!$BK$16:$BK$66,CB5))</f>
        <v/>
      </c>
      <c r="CF5" s="32">
        <f>IF(SETTINGS!R15="",NA(),1)</f>
        <v>1</v>
      </c>
      <c r="CG5" s="32">
        <f>IF(SETTINGS!M15="",NA(),1)</f>
        <v>1</v>
      </c>
      <c r="CH5" s="32">
        <f>IF(SETTINGS!O15="",NA(),1)</f>
        <v>1</v>
      </c>
      <c r="DO5" s="32" t="str">
        <f>SETTINGS!R14</f>
        <v>Trend Follow</v>
      </c>
      <c r="DP5" s="32">
        <v>4.0000000000000003E-5</v>
      </c>
      <c r="DQ5" s="32">
        <v>4</v>
      </c>
      <c r="DR5" s="32">
        <f t="shared" si="14"/>
        <v>0</v>
      </c>
      <c r="DS5" s="32">
        <f t="shared" si="15"/>
        <v>0</v>
      </c>
      <c r="DT5" s="32">
        <f t="shared" si="23"/>
        <v>0</v>
      </c>
      <c r="DU5" s="21" t="str">
        <f t="shared" si="16"/>
        <v/>
      </c>
      <c r="DV5" s="191">
        <f t="shared" si="17"/>
        <v>0</v>
      </c>
      <c r="DW5" s="20">
        <f>IFERROR(-SUMIFS(PNLPercent,PNLPercent,"&lt;=0",SetupLog,SETTINGS!R14)/DT5,0)</f>
        <v>0</v>
      </c>
      <c r="DX5" s="16">
        <f t="shared" si="24"/>
        <v>0</v>
      </c>
      <c r="DY5">
        <f>IF(DT5=0,0,IF(SETTINGS!$AN$6=SETTINGS!$AI$3,EF5,EG5))</f>
        <v>0</v>
      </c>
      <c r="DZ5">
        <f t="shared" si="0"/>
        <v>0</v>
      </c>
      <c r="EA5">
        <f t="shared" si="18"/>
        <v>0</v>
      </c>
      <c r="EB5">
        <f t="shared" si="19"/>
        <v>0</v>
      </c>
      <c r="EC5" t="e">
        <f t="shared" si="1"/>
        <v>#DIV/0!</v>
      </c>
      <c r="ED5">
        <f t="shared" ref="ED5:ED12" si="25">IFERROR(EB5/DT5,0)</f>
        <v>0</v>
      </c>
      <c r="EE5">
        <f t="shared" si="3"/>
        <v>0</v>
      </c>
      <c r="EF5" s="21" t="str">
        <f t="shared" si="4"/>
        <v/>
      </c>
      <c r="EG5" s="21" t="str">
        <f t="shared" si="5"/>
        <v/>
      </c>
      <c r="EH5" t="str">
        <f t="shared" si="6"/>
        <v/>
      </c>
      <c r="EI5">
        <f t="shared" si="7"/>
        <v>0</v>
      </c>
      <c r="EJ5">
        <f t="shared" si="8"/>
        <v>-942.77996999999971</v>
      </c>
      <c r="EK5">
        <f t="shared" si="9"/>
        <v>3</v>
      </c>
      <c r="EL5" t="str">
        <f>INDEX(SETTINGS!$R$11:$R$21,EK5)</f>
        <v>Bounce</v>
      </c>
      <c r="EM5">
        <f t="shared" si="10"/>
        <v>-78.564999999999941</v>
      </c>
      <c r="EN5" s="93">
        <f t="shared" si="11"/>
        <v>0.41666666666666669</v>
      </c>
      <c r="EO5" s="16">
        <f t="shared" si="12"/>
        <v>12</v>
      </c>
    </row>
    <row r="6" spans="2:145" ht="18" customHeight="1" thickBot="1">
      <c r="B6" s="161"/>
      <c r="C6" s="673" t="s">
        <v>729</v>
      </c>
      <c r="D6" s="804">
        <f>'MONTHLY REPORT'!K14</f>
        <v>4271.4199999999973</v>
      </c>
      <c r="E6" s="805"/>
      <c r="F6" s="408"/>
      <c r="G6" s="695"/>
      <c r="H6" s="694"/>
      <c r="I6" s="632" t="s">
        <v>733</v>
      </c>
      <c r="J6" s="483"/>
      <c r="K6" s="113"/>
      <c r="L6" s="113"/>
      <c r="M6" s="113"/>
      <c r="N6" s="389"/>
      <c r="O6" s="390"/>
      <c r="P6" s="113"/>
      <c r="Q6" s="113"/>
      <c r="R6" s="113"/>
      <c r="S6" s="391"/>
      <c r="T6" s="113"/>
      <c r="U6" s="394"/>
      <c r="V6" s="393"/>
      <c r="W6" s="393"/>
      <c r="X6" s="413"/>
      <c r="Y6" s="414"/>
      <c r="Z6" s="414"/>
      <c r="AA6" s="113"/>
      <c r="AB6" s="113"/>
      <c r="AC6" s="739"/>
      <c r="AE6" s="32" t="s">
        <v>177</v>
      </c>
      <c r="AF6" s="32">
        <f>SETTINGS!O4</f>
        <v>100</v>
      </c>
      <c r="AG6" s="303"/>
      <c r="AH6" s="305">
        <f>IF(AND(AH4&lt;AH7,AH1&gt;AH7),AH7,IF(AH4&lt;AH1,AH1,AH7))</f>
        <v>74</v>
      </c>
      <c r="AO6" t="str">
        <f>IF(H5="","",H5)</f>
        <v>SELL</v>
      </c>
      <c r="AP6" s="32" t="s">
        <v>274</v>
      </c>
      <c r="AY6" s="32" t="s">
        <v>451</v>
      </c>
      <c r="AZ6" s="32">
        <v>5</v>
      </c>
      <c r="BA6" s="32">
        <f>COUNTIFS('TRADE LOG'!$AP$15:$AP$9733,AZ6,$BK$15:$BK$9733,"&lt;&gt;0")</f>
        <v>28</v>
      </c>
      <c r="BB6" s="32">
        <f>COUNTIFS('TRADE LOG'!$AP$15:$AP$9733,AZ6,'TRADE LOG'!$BK$15:$BK$9733,"1")</f>
        <v>15</v>
      </c>
      <c r="BC6" s="32">
        <f>BA6-BB6</f>
        <v>13</v>
      </c>
      <c r="BD6" s="101">
        <f t="shared" si="20"/>
        <v>0.5357142857142857</v>
      </c>
      <c r="BH6" s="16"/>
      <c r="BI6" s="17"/>
      <c r="BK6" s="32" t="s">
        <v>131</v>
      </c>
      <c r="BL6" s="22">
        <f>-MIN(BQ15:BQ9733)</f>
        <v>5</v>
      </c>
      <c r="BM6" s="22">
        <f>MIN(BP15:BP9833)</f>
        <v>-1015.3599999999999</v>
      </c>
      <c r="BN6" s="32"/>
      <c r="BU6" s="32" t="s">
        <v>369</v>
      </c>
      <c r="BV6">
        <v>6</v>
      </c>
      <c r="BW6" s="32" t="str">
        <f t="shared" si="21"/>
        <v/>
      </c>
      <c r="BX6">
        <v>5</v>
      </c>
      <c r="BZ6" t="s">
        <v>66</v>
      </c>
      <c r="CD6" t="s">
        <v>379</v>
      </c>
      <c r="CF6" s="32">
        <f>IF(SETTINGS!R16="",NA(),1)</f>
        <v>1</v>
      </c>
      <c r="CG6" s="32">
        <f>IF(SETTINGS!M16="",NA(),1)</f>
        <v>1</v>
      </c>
      <c r="CH6" s="32">
        <f>IF(SETTINGS!O16="",NA(),1)</f>
        <v>1</v>
      </c>
      <c r="DO6" s="32" t="str">
        <f>SETTINGS!R15</f>
        <v>Swing Trade</v>
      </c>
      <c r="DP6" s="32">
        <v>5.0000000000000002E-5</v>
      </c>
      <c r="DQ6" s="32">
        <v>5</v>
      </c>
      <c r="DR6" s="32">
        <f t="shared" si="14"/>
        <v>7</v>
      </c>
      <c r="DS6" s="32">
        <f t="shared" si="15"/>
        <v>3</v>
      </c>
      <c r="DT6" s="32">
        <f t="shared" si="23"/>
        <v>4</v>
      </c>
      <c r="DU6" s="21">
        <f t="shared" si="16"/>
        <v>0.42857142857142855</v>
      </c>
      <c r="DV6" s="191">
        <f t="shared" si="17"/>
        <v>7.6788169932103453E-2</v>
      </c>
      <c r="DW6" s="20">
        <f>IFERROR(-SUMIFS(PNLPercent,PNLPercent,"&lt;=0",SetupLog,SETTINGS!R15)/DT6,0)</f>
        <v>0.10347845020810478</v>
      </c>
      <c r="DX6" s="16">
        <f t="shared" si="24"/>
        <v>0.74206919196871723</v>
      </c>
      <c r="DY6">
        <f>IF(DT6=0,0,IF(SETTINGS!$AN$6=SETTINGS!$AI$3,EF6,EG6))</f>
        <v>0.57403001247608154</v>
      </c>
      <c r="DZ6">
        <f t="shared" si="0"/>
        <v>1</v>
      </c>
      <c r="EA6">
        <f t="shared" si="18"/>
        <v>1267.05</v>
      </c>
      <c r="EB6">
        <f t="shared" si="19"/>
        <v>-847.70999999999992</v>
      </c>
      <c r="EC6">
        <f t="shared" si="1"/>
        <v>422.34999999999997</v>
      </c>
      <c r="ED6">
        <f t="shared" si="25"/>
        <v>-211.92749999999998</v>
      </c>
      <c r="EE6">
        <f t="shared" si="3"/>
        <v>1.992898514822286</v>
      </c>
      <c r="EF6" s="21">
        <f t="shared" si="4"/>
        <v>0.33412425949209928</v>
      </c>
      <c r="EG6" s="21">
        <f t="shared" si="5"/>
        <v>0.57403001247608154</v>
      </c>
      <c r="EH6">
        <f t="shared" si="6"/>
        <v>419.34005000000002</v>
      </c>
      <c r="EI6">
        <f t="shared" si="7"/>
        <v>59.905714285714282</v>
      </c>
      <c r="EJ6" t="e">
        <f t="shared" si="8"/>
        <v>#NUM!</v>
      </c>
      <c r="EK6" t="e">
        <f t="shared" si="9"/>
        <v>#NUM!</v>
      </c>
      <c r="EL6" t="e">
        <f>INDEX(SETTINGS!$R$11:$R$21,EK6)</f>
        <v>#NUM!</v>
      </c>
      <c r="EM6" t="e">
        <f t="shared" si="10"/>
        <v>#NUM!</v>
      </c>
      <c r="EN6" s="93" t="e">
        <f t="shared" si="11"/>
        <v>#NUM!</v>
      </c>
      <c r="EO6" s="16" t="e">
        <f t="shared" si="12"/>
        <v>#NUM!</v>
      </c>
    </row>
    <row r="7" spans="2:145" ht="18" customHeight="1">
      <c r="B7" s="161"/>
      <c r="C7" s="673" t="s">
        <v>730</v>
      </c>
      <c r="D7" s="806">
        <f>'MONTHLY REPORT'!L14</f>
        <v>8.5428399999999946E-2</v>
      </c>
      <c r="E7" s="806"/>
      <c r="F7" s="407"/>
      <c r="G7" s="694"/>
      <c r="H7" s="694"/>
      <c r="I7" s="694"/>
      <c r="J7" s="149"/>
      <c r="K7" s="113"/>
      <c r="L7" s="113"/>
      <c r="M7" s="113"/>
      <c r="N7" s="389"/>
      <c r="O7" s="390"/>
      <c r="P7" s="113"/>
      <c r="Q7" s="113"/>
      <c r="R7" s="113"/>
      <c r="S7" s="391"/>
      <c r="T7" s="113"/>
      <c r="U7" s="391"/>
      <c r="V7" s="395"/>
      <c r="W7" s="393"/>
      <c r="X7" s="413"/>
      <c r="Y7" s="414"/>
      <c r="Z7" s="414"/>
      <c r="AA7" s="113"/>
      <c r="AB7" s="113"/>
      <c r="AC7" s="739"/>
      <c r="AE7" s="32" t="s">
        <v>172</v>
      </c>
      <c r="AF7" s="192" t="str">
        <f>SETTINGS!O3</f>
        <v>USD</v>
      </c>
      <c r="AG7" s="303"/>
      <c r="AH7" s="305">
        <f>COUNT(B15:B9733)+14</f>
        <v>74</v>
      </c>
      <c r="AI7" t="s">
        <v>751</v>
      </c>
      <c r="AL7">
        <f>IF('TRADE LOG'!E2='TRADE STATISTICS'!X13,IFERROR('MONTHLY REPORT'!K15,0),"Invalid User")</f>
        <v>0</v>
      </c>
      <c r="AX7" t="s">
        <v>115</v>
      </c>
      <c r="AY7" s="32" t="s">
        <v>452</v>
      </c>
      <c r="AZ7" s="32">
        <v>6</v>
      </c>
      <c r="BA7" s="32">
        <f>COUNTIFS('TRADE LOG'!$AP$15:$AP$9733,AZ7,$BK$15:$BK$9733,"&lt;&gt;0")</f>
        <v>13</v>
      </c>
      <c r="BB7" s="32">
        <f>COUNTIFS('TRADE LOG'!$AP$15:$AP$9733,AZ7,'TRADE LOG'!$BK$15:$BK$9733,"1")</f>
        <v>7</v>
      </c>
      <c r="BC7" s="32">
        <f>BA7-BB7</f>
        <v>6</v>
      </c>
      <c r="BD7" s="101">
        <f t="shared" si="20"/>
        <v>0.53846153846153844</v>
      </c>
      <c r="BH7" s="16"/>
      <c r="BI7" s="17"/>
      <c r="BK7" s="32" t="s">
        <v>130</v>
      </c>
      <c r="BL7" s="22">
        <f>MAX(BQ15:BQ9733)</f>
        <v>5</v>
      </c>
      <c r="BM7" s="22">
        <f>MAX(BP15:BP9833)</f>
        <v>1391.7499999999998</v>
      </c>
      <c r="BN7" s="32"/>
      <c r="BU7" s="32" t="s">
        <v>370</v>
      </c>
      <c r="BV7">
        <v>7</v>
      </c>
      <c r="BW7" s="32" t="str">
        <f t="shared" si="21"/>
        <v/>
      </c>
      <c r="BX7">
        <v>6</v>
      </c>
      <c r="BY7">
        <v>1</v>
      </c>
      <c r="BZ7">
        <f>SMALL('TRADE STATISTICS'!$BE$16:$BE$66,BY7)</f>
        <v>-419.12997000000104</v>
      </c>
      <c r="CA7">
        <f>IF(BZ7&gt;=0,"",BZ7)</f>
        <v>-419.12997000000104</v>
      </c>
      <c r="CB7">
        <f>MATCH(CA7,'TRADE STATISTICS'!$BE$16:$BE$66,0)</f>
        <v>3</v>
      </c>
      <c r="CC7" t="str">
        <f>INDEX('TRADE STATISTICS'!$AJ$16:$AJ$66,CB7)</f>
        <v>EURUSD</v>
      </c>
      <c r="CD7" s="93">
        <f>IF(CC7="","",INDEX('TRADE STATISTICS'!$BK$16:$BK$66,CB7))</f>
        <v>-2.1770770162758777E-3</v>
      </c>
      <c r="CF7" s="32">
        <f>IF(SETTINGS!R17="",NA(),1)</f>
        <v>1</v>
      </c>
      <c r="CG7" s="32" t="e">
        <f>IF(SETTINGS!M17="",NA(),1)</f>
        <v>#N/A</v>
      </c>
      <c r="CH7" s="32">
        <f>IF(SETTINGS!O17="",NA(),1)</f>
        <v>1</v>
      </c>
      <c r="DO7" s="32" t="str">
        <f>SETTINGS!R16</f>
        <v>Bottom fishing</v>
      </c>
      <c r="DP7" s="32">
        <v>6.0000000000000002E-5</v>
      </c>
      <c r="DQ7" s="32">
        <v>6</v>
      </c>
      <c r="DR7" s="32">
        <f t="shared" si="14"/>
        <v>0</v>
      </c>
      <c r="DS7" s="32">
        <f t="shared" si="15"/>
        <v>0</v>
      </c>
      <c r="DT7" s="32">
        <f t="shared" si="23"/>
        <v>0</v>
      </c>
      <c r="DU7" s="21" t="str">
        <f t="shared" si="16"/>
        <v/>
      </c>
      <c r="DV7" s="191">
        <f t="shared" si="17"/>
        <v>0</v>
      </c>
      <c r="DW7" s="20">
        <f>IFERROR(-SUMIFS(PNLPercent,PNLPercent,"&lt;=0",SetupLog,SETTINGS!R16)/DT7,0)</f>
        <v>0</v>
      </c>
      <c r="DX7" s="16">
        <f t="shared" si="24"/>
        <v>0</v>
      </c>
      <c r="DY7">
        <f>IF(DT7=0,0,IF(SETTINGS!$AN$6=SETTINGS!$AI$3,EF7,EG7))</f>
        <v>0</v>
      </c>
      <c r="DZ7">
        <f t="shared" si="0"/>
        <v>0</v>
      </c>
      <c r="EA7">
        <f t="shared" si="18"/>
        <v>0</v>
      </c>
      <c r="EB7">
        <f t="shared" si="19"/>
        <v>0</v>
      </c>
      <c r="EC7" t="e">
        <f t="shared" si="1"/>
        <v>#DIV/0!</v>
      </c>
      <c r="ED7">
        <f t="shared" si="25"/>
        <v>0</v>
      </c>
      <c r="EE7">
        <f t="shared" si="3"/>
        <v>0</v>
      </c>
      <c r="EF7" s="21" t="str">
        <f>IF(DR7=0,"",1/(1+(EE7/1)))</f>
        <v/>
      </c>
      <c r="EG7" t="str">
        <f t="shared" si="5"/>
        <v/>
      </c>
      <c r="EH7" t="str">
        <f t="shared" si="6"/>
        <v/>
      </c>
      <c r="EI7">
        <f t="shared" si="7"/>
        <v>0</v>
      </c>
      <c r="EJ7" t="e">
        <f t="shared" si="8"/>
        <v>#NUM!</v>
      </c>
      <c r="EK7" t="e">
        <f t="shared" si="9"/>
        <v>#NUM!</v>
      </c>
      <c r="EL7" t="e">
        <f>INDEX(SETTINGS!$R$11:$R$21,EK7)</f>
        <v>#NUM!</v>
      </c>
      <c r="EM7" t="e">
        <f t="shared" si="10"/>
        <v>#NUM!</v>
      </c>
      <c r="EN7" s="93" t="e">
        <f t="shared" si="11"/>
        <v>#NUM!</v>
      </c>
      <c r="EO7" s="16" t="e">
        <f t="shared" si="12"/>
        <v>#NUM!</v>
      </c>
    </row>
    <row r="8" spans="2:145" ht="18" customHeight="1">
      <c r="B8" s="161"/>
      <c r="C8" s="715" t="str">
        <f>IF(((COUNTA(D15:D9733)*2)-(COUNT(J15:J9733)+COUNT(C15:C9733)))=0,"","        "&amp;((COUNTA(D15:D9733)*2)-(COUNT(J15:J9733)+COUNT(C15:C9733)))&amp;" Invalid Date Format")</f>
        <v/>
      </c>
      <c r="D8" s="113"/>
      <c r="E8" s="113"/>
      <c r="F8" s="408"/>
      <c r="G8" s="149"/>
      <c r="H8" s="150"/>
      <c r="I8" s="803" t="str">
        <f>"      Last Data Update:  "&amp;TEXT(INDEX(C:C,AH4),"mmm-dd-yyyy")</f>
        <v xml:space="preserve">      Last Data Update:  Jun-01-2020</v>
      </c>
      <c r="J8" s="803"/>
      <c r="K8" s="396"/>
      <c r="L8" s="153"/>
      <c r="M8" s="153"/>
      <c r="N8" s="389"/>
      <c r="O8" s="390"/>
      <c r="P8" s="113"/>
      <c r="Q8" s="113"/>
      <c r="R8" s="113"/>
      <c r="S8" s="391"/>
      <c r="T8" s="113"/>
      <c r="U8" s="397"/>
      <c r="V8" s="398"/>
      <c r="W8" s="393"/>
      <c r="X8" s="413"/>
      <c r="Y8" s="414"/>
      <c r="Z8" s="414"/>
      <c r="AA8" s="113"/>
      <c r="AB8" s="113"/>
      <c r="AC8" s="739"/>
      <c r="AE8" s="32" t="s">
        <v>176</v>
      </c>
      <c r="AF8" s="38">
        <f>SETTINGS!AB28</f>
        <v>100000</v>
      </c>
      <c r="AG8" s="303"/>
      <c r="AH8" s="305">
        <f>IF(AH9&gt;10014,10014,AH9)</f>
        <v>174</v>
      </c>
      <c r="AI8" t="s">
        <v>752</v>
      </c>
      <c r="AL8" s="93">
        <f>SETTINGS!S3</f>
        <v>0.01</v>
      </c>
      <c r="AX8" s="19">
        <f>COUNT(J15:J9832)</f>
        <v>56</v>
      </c>
      <c r="AY8" s="32" t="s">
        <v>724</v>
      </c>
      <c r="AZ8" s="32">
        <v>7</v>
      </c>
      <c r="BA8" s="32">
        <f>COUNTIFS('TRADE LOG'!$AP$15:$AP$9733,AZ8,$BK$15:$BK$9733,"&lt;&gt;0")</f>
        <v>0</v>
      </c>
      <c r="BB8" s="32">
        <f>COUNTIFS('TRADE LOG'!$AP$15:$AP$9733,AZ8,'TRADE LOG'!$BK$15:$BK$9733,"1")</f>
        <v>0</v>
      </c>
      <c r="BC8" s="32">
        <f t="shared" ref="BC8:BC9" si="26">BA8-BB8</f>
        <v>0</v>
      </c>
      <c r="BD8" s="101">
        <f t="shared" ref="BD8:BD9" si="27">IFERROR(BB8/BA8,0)</f>
        <v>0</v>
      </c>
      <c r="BK8" s="32" t="s">
        <v>189</v>
      </c>
      <c r="BL8" s="105">
        <f>MIN(BM15:BM9833)</f>
        <v>-1745.67</v>
      </c>
      <c r="BM8" s="22">
        <f>-INDEX(BL15:BL9733,MATCH(BL8,BM15:BM9733,0))</f>
        <v>3</v>
      </c>
      <c r="BN8" s="32"/>
      <c r="BU8" s="32" t="s">
        <v>371</v>
      </c>
      <c r="BV8">
        <v>8</v>
      </c>
      <c r="BW8" s="32" t="str">
        <f t="shared" si="21"/>
        <v/>
      </c>
      <c r="BX8">
        <v>7</v>
      </c>
      <c r="BY8">
        <v>2</v>
      </c>
      <c r="BZ8">
        <f>SMALL('TRADE STATISTICS'!$BE$16:$BE$66,BY8)</f>
        <v>-409.99997999999999</v>
      </c>
      <c r="CA8">
        <f t="shared" ref="CA8:CA9" si="28">IF(BZ8&gt;=0,"",BZ8)</f>
        <v>-409.99997999999999</v>
      </c>
      <c r="CB8">
        <f>MATCH(CA8,'TRADE STATISTICS'!$BE$16:$BE$66,0)</f>
        <v>2</v>
      </c>
      <c r="CC8" t="str">
        <f>INDEX('TRADE STATISTICS'!$AJ$16:$AJ$66,CB8)</f>
        <v>XAUUSD</v>
      </c>
      <c r="CD8" s="93">
        <f>IF(CC8="","",INDEX('TRADE STATISTICS'!$BK$16:$BK$66,CB8))</f>
        <v>-7.8782063821153487E-5</v>
      </c>
      <c r="CF8" s="32">
        <f>IF(SETTINGS!R18="",NA(),1)</f>
        <v>1</v>
      </c>
      <c r="CG8" s="32" t="e">
        <f>IF(SETTINGS!M18="",NA(),1)</f>
        <v>#N/A</v>
      </c>
      <c r="CH8" s="32">
        <f>IF(SETTINGS!O18="",NA(),1)</f>
        <v>1</v>
      </c>
      <c r="DO8" s="32" t="str">
        <f>SETTINGS!R17</f>
        <v>My Setup 1</v>
      </c>
      <c r="DP8" s="32">
        <v>6.9999999999999994E-5</v>
      </c>
      <c r="DQ8" s="32">
        <v>7</v>
      </c>
      <c r="DR8" s="32">
        <f t="shared" si="14"/>
        <v>0</v>
      </c>
      <c r="DS8" s="32">
        <f t="shared" si="15"/>
        <v>0</v>
      </c>
      <c r="DT8" s="32">
        <f t="shared" si="23"/>
        <v>0</v>
      </c>
      <c r="DU8" s="689" t="str">
        <f t="shared" si="16"/>
        <v/>
      </c>
      <c r="DV8" s="191">
        <f t="shared" si="17"/>
        <v>0</v>
      </c>
      <c r="DW8" s="20">
        <f>IFERROR(-SUMIFS(PNLPercent,PNLPercent,"&lt;=0",SetupLog,SETTINGS!R17)/DT8,0)</f>
        <v>0</v>
      </c>
      <c r="DX8" s="16">
        <f t="shared" si="24"/>
        <v>0</v>
      </c>
      <c r="DY8">
        <f>IF(DT8=0,0,IF(SETTINGS!$AN$6=SETTINGS!$AI$3,EF8,EG8))</f>
        <v>0</v>
      </c>
      <c r="DZ8">
        <f t="shared" si="0"/>
        <v>0</v>
      </c>
      <c r="EA8">
        <f t="shared" si="18"/>
        <v>0</v>
      </c>
      <c r="EB8">
        <f t="shared" si="19"/>
        <v>0</v>
      </c>
      <c r="EC8" t="e">
        <f t="shared" si="1"/>
        <v>#DIV/0!</v>
      </c>
      <c r="ED8">
        <f t="shared" si="25"/>
        <v>0</v>
      </c>
      <c r="EE8">
        <f t="shared" si="3"/>
        <v>0</v>
      </c>
      <c r="EF8" s="21" t="str">
        <f t="shared" ref="EF8:EF12" si="29">IF(DR8=0,"",1/(1+(EE8/1)))</f>
        <v/>
      </c>
      <c r="EG8" t="str">
        <f t="shared" ref="EG8:EG12" si="30">IF(DR8=0,"",1/(1+(DX8/1)))</f>
        <v/>
      </c>
      <c r="EH8" t="str">
        <f t="shared" ref="EH8:EH12" si="31">IF(DR8=0,"",EA8+EB8+DP8)</f>
        <v/>
      </c>
      <c r="EI8">
        <f t="shared" si="7"/>
        <v>0</v>
      </c>
      <c r="EJ8" t="e">
        <f t="shared" si="8"/>
        <v>#NUM!</v>
      </c>
      <c r="EK8" t="e">
        <f t="shared" si="9"/>
        <v>#NUM!</v>
      </c>
      <c r="EL8" t="e">
        <f>INDEX(SETTINGS!$R$11:$R$21,EK8)</f>
        <v>#NUM!</v>
      </c>
      <c r="EM8" t="e">
        <f t="shared" si="10"/>
        <v>#NUM!</v>
      </c>
      <c r="EN8" s="93" t="e">
        <f t="shared" si="11"/>
        <v>#NUM!</v>
      </c>
      <c r="EO8" s="16" t="e">
        <f t="shared" si="12"/>
        <v>#NUM!</v>
      </c>
    </row>
    <row r="9" spans="2:145" ht="6.75" customHeight="1">
      <c r="B9" s="161"/>
      <c r="C9" s="318"/>
      <c r="D9" s="318"/>
      <c r="E9" s="318"/>
      <c r="F9" s="113"/>
      <c r="G9" s="149"/>
      <c r="H9" s="151"/>
      <c r="I9" s="320"/>
      <c r="J9" s="149"/>
      <c r="K9" s="396"/>
      <c r="L9" s="153"/>
      <c r="M9" s="153"/>
      <c r="N9" s="399"/>
      <c r="O9" s="400"/>
      <c r="P9" s="113"/>
      <c r="Q9" s="113"/>
      <c r="R9" s="113"/>
      <c r="S9" s="393"/>
      <c r="T9" s="113"/>
      <c r="U9" s="401"/>
      <c r="V9" s="395"/>
      <c r="W9" s="171"/>
      <c r="X9" s="169"/>
      <c r="Y9" s="170"/>
      <c r="Z9" s="155"/>
      <c r="AA9" s="124"/>
      <c r="AB9" s="124"/>
      <c r="AC9" s="480"/>
      <c r="AE9" s="32" t="s">
        <v>355</v>
      </c>
      <c r="AF9" s="193">
        <f>1/AF6</f>
        <v>0.01</v>
      </c>
      <c r="AG9" s="303" t="s">
        <v>687</v>
      </c>
      <c r="AH9" s="307">
        <f>AH7+SETTINGS!W4</f>
        <v>174</v>
      </c>
      <c r="AY9" s="32" t="s">
        <v>725</v>
      </c>
      <c r="AZ9" s="32">
        <v>1</v>
      </c>
      <c r="BA9" s="32">
        <f>COUNTIFS('TRADE LOG'!$AP$15:$AP$9733,AZ9,$BK$15:$BK$9733,"&lt;&gt;0")</f>
        <v>0</v>
      </c>
      <c r="BB9" s="32">
        <f>COUNTIFS('TRADE LOG'!$AP$15:$AP$9733,AZ9,'TRADE LOG'!$BK$15:$BK$9733,"1")</f>
        <v>0</v>
      </c>
      <c r="BC9" s="32">
        <f t="shared" si="26"/>
        <v>0</v>
      </c>
      <c r="BD9" s="101">
        <f t="shared" si="27"/>
        <v>0</v>
      </c>
      <c r="BK9" s="32" t="s">
        <v>190</v>
      </c>
      <c r="BL9" s="22">
        <f>MAX(BO15:BO9833)</f>
        <v>2572.9</v>
      </c>
      <c r="BM9" s="22">
        <f>INDEX(BN15:BN9733,MATCH(BL9,BO15:BO9733,0))</f>
        <v>4</v>
      </c>
      <c r="BN9" s="32"/>
      <c r="BU9" s="32" t="s">
        <v>372</v>
      </c>
      <c r="BV9">
        <v>9</v>
      </c>
      <c r="BW9" s="32"/>
      <c r="BY9">
        <v>3</v>
      </c>
      <c r="BZ9">
        <f>SMALL('TRADE STATISTICS'!$BE$16:$BE$66,BY9)</f>
        <v>-128.90994000000009</v>
      </c>
      <c r="CA9">
        <f t="shared" si="28"/>
        <v>-128.90994000000009</v>
      </c>
      <c r="CB9">
        <f>MATCH(CA9,'TRADE STATISTICS'!$BE$16:$BE$66,0)</f>
        <v>6</v>
      </c>
      <c r="CC9" t="str">
        <f>INDEX('TRADE STATISTICS'!$AJ$16:$AJ$66,CB9)</f>
        <v>USDCAD</v>
      </c>
      <c r="CD9" s="93">
        <f>IF(CC9="","",INDEX('TRADE STATISTICS'!$BK$16:$BK$66,CB9))</f>
        <v>-5.8599785539124535E-4</v>
      </c>
      <c r="CF9" s="32">
        <f>IF(SETTINGS!R19="",NA(),1)</f>
        <v>1</v>
      </c>
      <c r="CG9" s="32" t="e">
        <f>IF(SETTINGS!M19="",NA(),1)</f>
        <v>#N/A</v>
      </c>
      <c r="CH9" s="32">
        <f>IF(SETTINGS!O19="",NA(),1)</f>
        <v>1</v>
      </c>
      <c r="DO9" s="32" t="str">
        <f>SETTINGS!R18</f>
        <v>My Setup 2</v>
      </c>
      <c r="DP9" s="32">
        <v>8.0000000000000007E-5</v>
      </c>
      <c r="DQ9" s="32">
        <v>8</v>
      </c>
      <c r="DR9" s="32">
        <f t="shared" si="14"/>
        <v>0</v>
      </c>
      <c r="DS9" s="32">
        <f t="shared" si="15"/>
        <v>0</v>
      </c>
      <c r="DT9" s="32">
        <f t="shared" si="23"/>
        <v>0</v>
      </c>
      <c r="DU9" s="689" t="str">
        <f t="shared" si="16"/>
        <v/>
      </c>
      <c r="DV9" s="191">
        <f t="shared" si="17"/>
        <v>0</v>
      </c>
      <c r="DW9" s="20">
        <f>IFERROR(-SUMIFS(PNLPercent,PNLPercent,"&lt;=0",SetupLog,SETTINGS!R18)/DT9,0)</f>
        <v>0</v>
      </c>
      <c r="DX9" s="16">
        <f t="shared" si="24"/>
        <v>0</v>
      </c>
      <c r="DY9">
        <f>IF(DT9=0,0,IF(SETTINGS!$AN$6=SETTINGS!$AI$3,EF9,EG9))</f>
        <v>0</v>
      </c>
      <c r="DZ9">
        <f t="shared" si="0"/>
        <v>0</v>
      </c>
      <c r="EA9">
        <f t="shared" si="18"/>
        <v>0</v>
      </c>
      <c r="EB9">
        <f t="shared" si="19"/>
        <v>0</v>
      </c>
      <c r="EC9" t="e">
        <f t="shared" si="1"/>
        <v>#DIV/0!</v>
      </c>
      <c r="ED9">
        <f t="shared" si="25"/>
        <v>0</v>
      </c>
      <c r="EE9">
        <f t="shared" si="3"/>
        <v>0</v>
      </c>
      <c r="EF9" s="21" t="str">
        <f t="shared" si="29"/>
        <v/>
      </c>
      <c r="EG9" t="str">
        <f t="shared" si="30"/>
        <v/>
      </c>
      <c r="EH9" t="str">
        <f t="shared" si="31"/>
        <v/>
      </c>
      <c r="EI9">
        <f t="shared" si="7"/>
        <v>0</v>
      </c>
      <c r="EJ9" t="e">
        <f t="shared" si="8"/>
        <v>#NUM!</v>
      </c>
      <c r="EK9" t="e">
        <f t="shared" si="9"/>
        <v>#NUM!</v>
      </c>
      <c r="EL9" t="e">
        <f>INDEX(SETTINGS!$R$11:$R$21,EK9)</f>
        <v>#NUM!</v>
      </c>
      <c r="EM9" t="e">
        <f t="shared" si="10"/>
        <v>#NUM!</v>
      </c>
      <c r="EN9" s="93" t="e">
        <f t="shared" si="11"/>
        <v>#NUM!</v>
      </c>
      <c r="EO9" s="16" t="e">
        <f t="shared" si="12"/>
        <v>#NUM!</v>
      </c>
    </row>
    <row r="10" spans="2:145" ht="4.5" customHeight="1">
      <c r="B10" s="161"/>
      <c r="C10" s="113"/>
      <c r="D10" s="152"/>
      <c r="E10" s="152"/>
      <c r="F10" s="113"/>
      <c r="G10" s="153"/>
      <c r="H10" s="153"/>
      <c r="I10" s="321"/>
      <c r="J10" s="380"/>
      <c r="K10" s="396"/>
      <c r="L10" s="153"/>
      <c r="M10" s="153"/>
      <c r="N10" s="402"/>
      <c r="O10" s="403"/>
      <c r="P10" s="113"/>
      <c r="Q10" s="113"/>
      <c r="R10" s="113"/>
      <c r="S10" s="153"/>
      <c r="T10" s="404"/>
      <c r="U10" s="405"/>
      <c r="V10" s="406"/>
      <c r="W10" s="172"/>
      <c r="X10" s="173"/>
      <c r="Y10" s="174"/>
      <c r="Z10" s="154"/>
      <c r="AA10" s="124"/>
      <c r="AB10" s="124"/>
      <c r="AC10" s="154"/>
      <c r="AF10" s="193">
        <f>1/SETTINGS!AC29</f>
        <v>1</v>
      </c>
      <c r="AG10" s="303" t="s">
        <v>686</v>
      </c>
      <c r="AH10" s="304"/>
      <c r="BA10" s="32">
        <f>COUNTIFS('TRADE LOG'!$AP$15:$AP$9733,AZ10,$BK$15:$BK$9733,"&lt;&gt;0")</f>
        <v>0</v>
      </c>
      <c r="BC10" s="312">
        <f>IF(AZ15=0,BA15,0)</f>
        <v>50000</v>
      </c>
      <c r="BD10" s="29"/>
      <c r="BU10" s="32" t="s">
        <v>373</v>
      </c>
      <c r="BV10">
        <v>10</v>
      </c>
      <c r="BW10" s="32"/>
      <c r="CF10" s="32">
        <f>IF(SETTINGS!R20="",NA(),1)</f>
        <v>1</v>
      </c>
      <c r="CG10" s="32" t="e">
        <f>IF(SETTINGS!M20="",NA(),1)</f>
        <v>#N/A</v>
      </c>
      <c r="CH10" s="32" t="e">
        <f>IF(SETTINGS!O20="",NA(),1)</f>
        <v>#N/A</v>
      </c>
      <c r="DO10" s="32" t="str">
        <f>SETTINGS!R19</f>
        <v>My Setup 3</v>
      </c>
      <c r="DP10" s="32">
        <v>9.0000000000000006E-5</v>
      </c>
      <c r="DQ10" s="32">
        <v>9</v>
      </c>
      <c r="DR10" s="32">
        <f t="shared" si="14"/>
        <v>0</v>
      </c>
      <c r="DS10" s="32">
        <f t="shared" si="15"/>
        <v>0</v>
      </c>
      <c r="DT10" s="32">
        <f t="shared" si="23"/>
        <v>0</v>
      </c>
      <c r="DU10" s="689" t="str">
        <f t="shared" si="16"/>
        <v/>
      </c>
      <c r="DV10" s="191">
        <f t="shared" si="17"/>
        <v>0</v>
      </c>
      <c r="DW10" s="20">
        <f>IFERROR(-SUMIFS(PNLPercent,PNLPercent,"&lt;=0",SetupLog,SETTINGS!R19)/DT10,0)</f>
        <v>0</v>
      </c>
      <c r="DX10" s="16">
        <f t="shared" si="24"/>
        <v>0</v>
      </c>
      <c r="DY10">
        <f>IF(DT10=0,0,IF(SETTINGS!$AN$6=SETTINGS!$AI$3,EF10,EG10))</f>
        <v>0</v>
      </c>
      <c r="DZ10">
        <f t="shared" si="0"/>
        <v>0</v>
      </c>
      <c r="EA10">
        <f t="shared" si="18"/>
        <v>0</v>
      </c>
      <c r="EB10">
        <f t="shared" si="19"/>
        <v>0</v>
      </c>
      <c r="EC10" t="e">
        <f t="shared" si="1"/>
        <v>#DIV/0!</v>
      </c>
      <c r="ED10">
        <f t="shared" si="25"/>
        <v>0</v>
      </c>
      <c r="EE10">
        <f t="shared" si="3"/>
        <v>0</v>
      </c>
      <c r="EF10" s="21" t="str">
        <f t="shared" si="29"/>
        <v/>
      </c>
      <c r="EG10" t="str">
        <f t="shared" si="30"/>
        <v/>
      </c>
      <c r="EH10" t="str">
        <f t="shared" si="31"/>
        <v/>
      </c>
      <c r="EI10">
        <f t="shared" si="7"/>
        <v>0</v>
      </c>
      <c r="EJ10" t="e">
        <f t="shared" si="8"/>
        <v>#NUM!</v>
      </c>
      <c r="EK10" t="e">
        <f t="shared" si="9"/>
        <v>#NUM!</v>
      </c>
      <c r="EL10" t="e">
        <f>INDEX(SETTINGS!$R$11:$R$21,EK10)</f>
        <v>#NUM!</v>
      </c>
      <c r="EM10" t="e">
        <f t="shared" si="10"/>
        <v>#NUM!</v>
      </c>
      <c r="EN10" s="93" t="e">
        <f t="shared" si="11"/>
        <v>#NUM!</v>
      </c>
      <c r="EO10" s="16" t="e">
        <f t="shared" si="12"/>
        <v>#NUM!</v>
      </c>
    </row>
    <row r="11" spans="2:145" ht="17.25" hidden="1" customHeight="1">
      <c r="B11" s="161"/>
      <c r="C11" s="162"/>
      <c r="D11" s="162"/>
      <c r="E11" s="162"/>
      <c r="F11" s="162"/>
      <c r="G11" s="175"/>
      <c r="H11" s="176"/>
      <c r="I11" s="176"/>
      <c r="J11" s="177"/>
      <c r="K11" s="316"/>
      <c r="L11" s="178"/>
      <c r="M11" s="178"/>
      <c r="N11" s="179"/>
      <c r="O11" s="180"/>
      <c r="S11" s="181"/>
      <c r="T11" s="181"/>
      <c r="U11" s="182"/>
      <c r="V11" s="181"/>
      <c r="W11" s="181"/>
      <c r="X11" s="183"/>
      <c r="Y11" s="174"/>
      <c r="Z11" s="154"/>
      <c r="AA11" s="124"/>
      <c r="AB11" s="124"/>
      <c r="AC11" s="154"/>
      <c r="AE11" s="32" t="s">
        <v>378</v>
      </c>
      <c r="AF11" s="193">
        <f>1/SETTINGS!AC30</f>
        <v>1</v>
      </c>
      <c r="AG11" s="303" t="s">
        <v>528</v>
      </c>
      <c r="AH11" s="304"/>
      <c r="AL11" s="309">
        <f>AX8-COUNT($C$15:$C$9733)</f>
        <v>0</v>
      </c>
      <c r="BD11" s="29"/>
      <c r="BF11" t="s">
        <v>698</v>
      </c>
      <c r="BU11" s="32" t="s">
        <v>374</v>
      </c>
      <c r="BV11">
        <v>11</v>
      </c>
      <c r="BW11" s="32"/>
      <c r="CF11" s="32">
        <f>IF(SETTINGS!R21="",NA(),1)</f>
        <v>1</v>
      </c>
      <c r="CG11" s="32">
        <f>IF(SETTINGS!M21="",NA(),1)</f>
        <v>1</v>
      </c>
      <c r="CH11" s="32" t="e">
        <f>IF(SETTINGS!O21="",NA(),1)</f>
        <v>#N/A</v>
      </c>
      <c r="DO11" s="32" t="str">
        <f>SETTINGS!R20</f>
        <v>My Setup 4</v>
      </c>
      <c r="DP11" s="32">
        <v>1E-4</v>
      </c>
      <c r="DQ11" s="32">
        <v>10</v>
      </c>
      <c r="DR11" s="32">
        <f t="shared" si="14"/>
        <v>0</v>
      </c>
      <c r="DS11" s="32">
        <f t="shared" si="15"/>
        <v>0</v>
      </c>
      <c r="DT11" s="32">
        <f t="shared" si="23"/>
        <v>0</v>
      </c>
      <c r="DU11" s="689" t="str">
        <f t="shared" si="16"/>
        <v/>
      </c>
      <c r="DV11" s="191">
        <f t="shared" si="17"/>
        <v>0</v>
      </c>
      <c r="DW11" s="20">
        <f>IFERROR(-SUMIFS(PNLPercent,PNLPercent,"&lt;=0",SetupLog,SETTINGS!R20)/DT11,0)</f>
        <v>0</v>
      </c>
      <c r="DX11" s="16">
        <f t="shared" si="24"/>
        <v>0</v>
      </c>
      <c r="DY11">
        <f>IF(DT11=0,0,IF(SETTINGS!$AN$6=SETTINGS!$AI$3,EF11,EG11))</f>
        <v>0</v>
      </c>
      <c r="DZ11">
        <f t="shared" si="0"/>
        <v>0</v>
      </c>
      <c r="EA11">
        <f t="shared" si="18"/>
        <v>0</v>
      </c>
      <c r="EB11">
        <f t="shared" si="19"/>
        <v>0</v>
      </c>
      <c r="EC11" t="e">
        <f t="shared" si="1"/>
        <v>#DIV/0!</v>
      </c>
      <c r="ED11">
        <f t="shared" si="25"/>
        <v>0</v>
      </c>
      <c r="EE11">
        <f t="shared" si="3"/>
        <v>0</v>
      </c>
      <c r="EF11" s="21" t="str">
        <f t="shared" si="29"/>
        <v/>
      </c>
      <c r="EG11" t="str">
        <f t="shared" si="30"/>
        <v/>
      </c>
      <c r="EH11" t="str">
        <f t="shared" si="31"/>
        <v/>
      </c>
      <c r="EI11">
        <f t="shared" si="7"/>
        <v>0</v>
      </c>
      <c r="EJ11" t="e">
        <f t="shared" si="8"/>
        <v>#NUM!</v>
      </c>
      <c r="EK11" t="e">
        <f t="shared" si="9"/>
        <v>#NUM!</v>
      </c>
      <c r="EL11" t="e">
        <f>INDEX(SETTINGS!$R$11:$R$21,EK11)</f>
        <v>#NUM!</v>
      </c>
      <c r="EM11" t="e">
        <f t="shared" si="10"/>
        <v>#NUM!</v>
      </c>
      <c r="EN11" s="93" t="e">
        <f t="shared" si="11"/>
        <v>#NUM!</v>
      </c>
      <c r="EO11" s="16" t="e">
        <f t="shared" si="12"/>
        <v>#NUM!</v>
      </c>
    </row>
    <row r="12" spans="2:145" ht="20.100000000000001" hidden="1" customHeight="1">
      <c r="B12" s="158">
        <f>(B11+1)</f>
        <v>1</v>
      </c>
      <c r="C12" s="345"/>
      <c r="D12" s="346"/>
      <c r="E12" s="347"/>
      <c r="F12" s="348"/>
      <c r="G12" s="349"/>
      <c r="H12" s="349"/>
      <c r="I12" s="349"/>
      <c r="J12" s="350"/>
      <c r="K12" s="349"/>
      <c r="L12" s="351"/>
      <c r="M12" s="352"/>
      <c r="N12" s="353"/>
      <c r="O12" s="354"/>
      <c r="P12">
        <f t="shared" ref="P12" si="32">IF(D12="buy",K12-G12,G12-K12)</f>
        <v>0</v>
      </c>
      <c r="Q12">
        <f>IFERROR(E12*G12*IF(AM12=0,AE12,AM12)*IF(N12&gt;0,(1/N12),AJ12),"")</f>
        <v>0</v>
      </c>
      <c r="R12">
        <f>IFERROR(E12*K12*IF(AM12=0,AE12,AM12)*IF(N12&gt;0,(1/N12),AJ12),"")</f>
        <v>0</v>
      </c>
      <c r="S12" s="711" t="str">
        <f t="shared" ref="S12" si="33">IF(K12="","",IF(ISNUMBER(VALUE(RIGHT(F12,2)))=FALSE,P12/AG12,P12))</f>
        <v/>
      </c>
      <c r="T12" s="712" t="str">
        <f>IF(OR(D12="in",D12="out"),M12,IF(J12="","",IF(K12="","",IF(M12="",(P12*E12*AM12)+L12,M12+L12))))</f>
        <v/>
      </c>
      <c r="U12" s="713" t="str">
        <f t="shared" ref="U12" si="34">IFERROR(T12/Q12,"")</f>
        <v/>
      </c>
      <c r="V12" s="419" t="str">
        <f t="shared" ref="V12" si="35">IFERROR(IF(E12="","",(INT(J12-C12)&amp;"d "&amp;TEXT(J12-C12,"h""h ""m""m """))),"")</f>
        <v/>
      </c>
      <c r="W12" s="714" t="str">
        <f>IFERROR(IF(F12="","",T12/(BG11*$AL$8)),"")</f>
        <v/>
      </c>
      <c r="X12" s="684"/>
      <c r="Y12" s="688"/>
      <c r="Z12" s="688"/>
      <c r="AA12" s="685"/>
      <c r="AB12" s="686"/>
      <c r="AC12" s="687"/>
      <c r="AD12" t="str">
        <f>IF(B12="","",IF(OR(D12="in",D12="out"),B12,IF(T12&lt;=0,"L","W")))</f>
        <v>W</v>
      </c>
      <c r="AE12">
        <f>IF(RIGHT(F12,3)="JPY",1000,IF(AI12=1,100000,IF(LEFT(F12,3)="XAU",100,1)))</f>
        <v>1</v>
      </c>
      <c r="AF12">
        <f>J12-C12</f>
        <v>0</v>
      </c>
      <c r="AG12" s="156">
        <f>IF(O12&lt;&gt;"",O12,IF(RIGHT(F12,3)="jpy",0.01,IF(LEN(F12)&lt;6,0.01,IF(AND(G12&gt;=10,G12&lt;1000),0.01,IF(G12&gt;=1000,0.1,0.0001)))))</f>
        <v>0.01</v>
      </c>
      <c r="AH12" t="e">
        <f>MATCH(F12,curpairs,0)</f>
        <v>#N/A</v>
      </c>
      <c r="AI12">
        <f t="shared" ref="AI12" si="36">IFERROR(IF(AH12&gt;0,1,0),0)</f>
        <v>0</v>
      </c>
      <c r="AJ12">
        <f>IF(AI12=1,$AF$9,IF(LEFT(F12,3)="XAU",$AF$11,$AF$10))</f>
        <v>1</v>
      </c>
      <c r="AM12">
        <f>IFERROR(IF(M12="",AE12,M12/(IF(K12="","",P12)*E12)),0)</f>
        <v>1</v>
      </c>
      <c r="AN12" t="str">
        <f>IF(C12="","",TEXT(C12,"mmm"))</f>
        <v/>
      </c>
      <c r="AO12" t="str">
        <f>IF(C12="","",VALUE(TEXT(C12,"yyy")))</f>
        <v/>
      </c>
      <c r="AP12">
        <f t="shared" ref="AP12" si="37">WEEKDAY(AT12,1)</f>
        <v>3</v>
      </c>
      <c r="AQ12" t="str">
        <f>IF(COUNTIF($F12:F$15,F12)=1,B12,"")</f>
        <v/>
      </c>
      <c r="AR12">
        <f t="shared" ref="AR12" si="38">AR11+0.00001</f>
        <v>1.0000000000000001E-5</v>
      </c>
      <c r="AS12" s="14" t="str">
        <f>IF(J12="","",J12+AR12)</f>
        <v/>
      </c>
      <c r="AT12" s="35">
        <f>IFERROR(SMALL(DateExit,B12),"")</f>
        <v>43977.24189657408</v>
      </c>
      <c r="AU12">
        <f>IF(AT12="","",MATCH(AT12,DateExit,0))</f>
        <v>1</v>
      </c>
      <c r="AV12" s="14">
        <f>DATE(YEAR(J12),MONTH(J12),DAY(1))</f>
        <v>1</v>
      </c>
      <c r="AZ12">
        <f>INDEX($Q$15:$Q$9733,AU12)</f>
        <v>0</v>
      </c>
      <c r="BA12" s="28">
        <f>INDEX($T$15:$T$9733,AU12)-BB12</f>
        <v>50000</v>
      </c>
      <c r="BB12">
        <f>INDEX(Fees,AU12)</f>
        <v>0</v>
      </c>
      <c r="BC12">
        <f t="shared" ref="BC12" si="39">IF(AZ12=0,BA12,0)</f>
        <v>50000</v>
      </c>
      <c r="BD12">
        <f t="shared" ref="BD12" si="40">IFERROR(IF(AZ12=0,0,BA12+BB12),"")</f>
        <v>0</v>
      </c>
      <c r="BE12" t="str">
        <f t="shared" ref="BE12" si="41">IFERROR(BD12/AZ12,"")</f>
        <v/>
      </c>
      <c r="BF12">
        <f>IF(BG12="","",B12)</f>
        <v>1</v>
      </c>
      <c r="BG12">
        <f t="shared" ref="BG12" si="42">IFERROR(IF(AT12="",NA(),BG11+IF(BD12="",0,BD12)),"")</f>
        <v>0</v>
      </c>
      <c r="BH12">
        <f t="shared" ref="BH12" si="43">IF(AT12="","",BH11+BD12+BC12)</f>
        <v>50000</v>
      </c>
      <c r="BI12">
        <f t="shared" ref="BI12" si="44">IFERROR(AZ12/BH12,"")</f>
        <v>0</v>
      </c>
      <c r="BK12">
        <f t="shared" ref="BK12" si="45">IF(BC12&lt;&gt;0,0,IF(BD12&gt;0,1,-1))</f>
        <v>0</v>
      </c>
      <c r="BL12">
        <f t="shared" ref="BL12" si="46">IF(BK12=1,0,BK12+BL11)</f>
        <v>0</v>
      </c>
      <c r="BM12">
        <f t="shared" ref="BM12" si="47">IFERROR(IF(AZ12="",0,IF(BK12&lt;0,BD12+BM11,0)),0)</f>
        <v>0</v>
      </c>
      <c r="BN12">
        <f t="shared" ref="BN12" si="48">IF(BK12=-1,0,BK12+BN11)</f>
        <v>0</v>
      </c>
      <c r="BO12">
        <f t="shared" ref="BO12" si="49">IFERROR(IF(AZ12="","",IF(BN12&gt;0,BD12+BO11,0)),0)</f>
        <v>0</v>
      </c>
      <c r="BP12">
        <f t="shared" ref="BP12" si="50">IF(BQ12=$BL$7,BO12,IF(BQ12=-$BL$6,BM12,0))</f>
        <v>0</v>
      </c>
      <c r="BQ12">
        <f t="shared" ref="BQ12" si="51">IFERROR(BN12+BL12,"")</f>
        <v>0</v>
      </c>
      <c r="BR12">
        <f>IFERROR(MAX($BG12:BG$14),"")</f>
        <v>0</v>
      </c>
      <c r="BS12" t="str">
        <f t="shared" ref="BS12" si="52">IFERROR((BG12-BR12)/BR12,"")</f>
        <v/>
      </c>
      <c r="BU12" s="319" t="s">
        <v>705</v>
      </c>
      <c r="BV12">
        <v>12</v>
      </c>
      <c r="CF12" s="32" t="e">
        <f>IF(SETTINGS!R22="",NA(),1)</f>
        <v>#N/A</v>
      </c>
      <c r="CG12" s="32" t="e">
        <f>IF(SETTINGS!M22="",NA(),1)</f>
        <v>#N/A</v>
      </c>
      <c r="CH12" s="32" t="e">
        <f>IF(SETTINGS!O22="",NA(),1)</f>
        <v>#N/A</v>
      </c>
      <c r="DO12" t="str">
        <f>SETTINGS!R21</f>
        <v>My Setup 5</v>
      </c>
      <c r="DP12">
        <v>1.1E-4</v>
      </c>
      <c r="DQ12">
        <v>11</v>
      </c>
      <c r="DR12">
        <f t="shared" si="14"/>
        <v>0</v>
      </c>
      <c r="DS12">
        <f t="shared" si="15"/>
        <v>0</v>
      </c>
      <c r="DT12">
        <f t="shared" si="23"/>
        <v>0</v>
      </c>
      <c r="DU12" s="689" t="str">
        <f t="shared" si="16"/>
        <v/>
      </c>
      <c r="DV12">
        <f t="shared" si="17"/>
        <v>0</v>
      </c>
      <c r="DW12">
        <f>IFERROR(-SUMIFS(PNLPercent,PNLPercent,"&lt;=0",SetupLog,SETTINGS!R21)/DT12,0)</f>
        <v>0</v>
      </c>
      <c r="DX12">
        <f t="shared" si="24"/>
        <v>0</v>
      </c>
      <c r="DY12" t="str">
        <f>IF(SETTINGS!$AN$6=SETTINGS!$AI$3,EF12,EG12)</f>
        <v/>
      </c>
      <c r="DZ12">
        <f t="shared" si="0"/>
        <v>0</v>
      </c>
      <c r="EA12">
        <f t="shared" si="18"/>
        <v>0</v>
      </c>
      <c r="EB12">
        <f t="shared" si="19"/>
        <v>0</v>
      </c>
      <c r="EC12" t="e">
        <f t="shared" si="1"/>
        <v>#DIV/0!</v>
      </c>
      <c r="ED12">
        <f t="shared" si="25"/>
        <v>0</v>
      </c>
      <c r="EE12">
        <f t="shared" si="3"/>
        <v>0</v>
      </c>
      <c r="EF12" s="21" t="str">
        <f t="shared" si="29"/>
        <v/>
      </c>
      <c r="EG12" t="str">
        <f t="shared" si="30"/>
        <v/>
      </c>
      <c r="EH12" t="str">
        <f t="shared" si="31"/>
        <v/>
      </c>
      <c r="EI12">
        <f t="shared" si="7"/>
        <v>0</v>
      </c>
      <c r="EJ12" t="e">
        <f t="shared" si="8"/>
        <v>#NUM!</v>
      </c>
      <c r="EK12" t="e">
        <f t="shared" si="9"/>
        <v>#NUM!</v>
      </c>
      <c r="EL12" t="e">
        <f>INDEX(SETTINGS!$R$11:$R$21,EK12)</f>
        <v>#NUM!</v>
      </c>
      <c r="EM12" t="e">
        <f t="shared" si="10"/>
        <v>#NUM!</v>
      </c>
      <c r="EN12" t="e">
        <f t="shared" si="11"/>
        <v>#NUM!</v>
      </c>
      <c r="EO12" t="e">
        <f t="shared" si="12"/>
        <v>#NUM!</v>
      </c>
    </row>
    <row r="13" spans="2:145" ht="19.5" customHeight="1">
      <c r="B13" s="651" t="s">
        <v>272</v>
      </c>
      <c r="C13" s="651" t="s">
        <v>273</v>
      </c>
      <c r="D13" s="652" t="s">
        <v>274</v>
      </c>
      <c r="E13" s="652" t="s">
        <v>275</v>
      </c>
      <c r="F13" s="653" t="s">
        <v>252</v>
      </c>
      <c r="G13" s="653" t="s">
        <v>276</v>
      </c>
      <c r="H13" s="653" t="s">
        <v>164</v>
      </c>
      <c r="I13" s="653" t="s">
        <v>165</v>
      </c>
      <c r="J13" s="653" t="s">
        <v>277</v>
      </c>
      <c r="K13" s="653" t="s">
        <v>278</v>
      </c>
      <c r="L13" s="654" t="s">
        <v>279</v>
      </c>
      <c r="M13" s="654" t="s">
        <v>280</v>
      </c>
      <c r="N13" s="655" t="s">
        <v>529</v>
      </c>
      <c r="O13" s="656" t="s">
        <v>699</v>
      </c>
      <c r="P13" s="657" t="s">
        <v>308</v>
      </c>
      <c r="Q13" s="657" t="s">
        <v>282</v>
      </c>
      <c r="R13" s="657" t="s">
        <v>283</v>
      </c>
      <c r="S13" s="652" t="s">
        <v>281</v>
      </c>
      <c r="T13" s="658" t="str">
        <f>"NET PNL ("&amp;SETTINGS!AL1&amp;")"</f>
        <v>NET PNL ($)</v>
      </c>
      <c r="U13" s="659" t="s">
        <v>178</v>
      </c>
      <c r="V13" s="659" t="s">
        <v>284</v>
      </c>
      <c r="W13" s="659" t="s">
        <v>285</v>
      </c>
      <c r="X13" s="660" t="s">
        <v>124</v>
      </c>
      <c r="Y13" s="660" t="s">
        <v>286</v>
      </c>
      <c r="Z13" s="660" t="s">
        <v>287</v>
      </c>
      <c r="AA13" s="661" t="s">
        <v>350</v>
      </c>
      <c r="AB13" s="661" t="s">
        <v>351</v>
      </c>
      <c r="AC13" s="661" t="s">
        <v>351</v>
      </c>
      <c r="AD13" s="19" t="s">
        <v>224</v>
      </c>
      <c r="AE13" s="19" t="s">
        <v>171</v>
      </c>
      <c r="AF13" s="19" t="s">
        <v>398</v>
      </c>
      <c r="AG13" s="19" t="s">
        <v>175</v>
      </c>
      <c r="AJ13" s="308"/>
      <c r="AK13" s="308"/>
      <c r="AM13" t="s">
        <v>307</v>
      </c>
      <c r="AN13" t="s">
        <v>290</v>
      </c>
      <c r="AO13" t="s">
        <v>291</v>
      </c>
      <c r="AP13" t="s">
        <v>419</v>
      </c>
      <c r="AQ13" t="s">
        <v>759</v>
      </c>
      <c r="AR13" t="s">
        <v>288</v>
      </c>
      <c r="AS13" t="s">
        <v>289</v>
      </c>
      <c r="AT13" s="14" t="s">
        <v>187</v>
      </c>
      <c r="AU13" t="s">
        <v>292</v>
      </c>
      <c r="AV13" t="s">
        <v>155</v>
      </c>
      <c r="AZ13" t="s">
        <v>203</v>
      </c>
      <c r="BA13" t="s">
        <v>294</v>
      </c>
      <c r="BB13" t="s">
        <v>311</v>
      </c>
      <c r="BC13" t="s">
        <v>293</v>
      </c>
      <c r="BD13" t="s">
        <v>312</v>
      </c>
      <c r="BE13" t="s">
        <v>226</v>
      </c>
      <c r="BG13" t="s">
        <v>303</v>
      </c>
      <c r="BH13" t="s">
        <v>302</v>
      </c>
      <c r="BI13" t="s">
        <v>154</v>
      </c>
      <c r="BK13" t="s">
        <v>295</v>
      </c>
      <c r="BL13" t="s">
        <v>133</v>
      </c>
      <c r="BM13" t="s">
        <v>185</v>
      </c>
      <c r="BN13" t="s">
        <v>134</v>
      </c>
      <c r="BO13" t="s">
        <v>186</v>
      </c>
      <c r="BP13" t="s">
        <v>296</v>
      </c>
      <c r="BQ13" t="s">
        <v>297</v>
      </c>
      <c r="BR13" s="194" t="s">
        <v>197</v>
      </c>
      <c r="BS13" t="s">
        <v>298</v>
      </c>
      <c r="CF13" s="32" t="e">
        <f>IF(SETTINGS!R23="",NA(),1)</f>
        <v>#N/A</v>
      </c>
      <c r="CG13" s="32" t="e">
        <f>IF(SETTINGS!M23="",NA(),1)</f>
        <v>#N/A</v>
      </c>
      <c r="CH13" s="32" t="e">
        <f>IF(SETTINGS!O23="",NA(),1)</f>
        <v>#N/A</v>
      </c>
    </row>
    <row r="14" spans="2:145" ht="19.5" hidden="1" customHeight="1">
      <c r="B14" s="59" t="s">
        <v>758</v>
      </c>
      <c r="C14" s="50" t="s">
        <v>166</v>
      </c>
      <c r="D14" s="51" t="s">
        <v>153</v>
      </c>
      <c r="E14" s="52" t="s">
        <v>161</v>
      </c>
      <c r="F14" s="53" t="s">
        <v>162</v>
      </c>
      <c r="G14" s="54" t="s">
        <v>163</v>
      </c>
      <c r="H14" s="54" t="s">
        <v>164</v>
      </c>
      <c r="I14" s="54" t="s">
        <v>165</v>
      </c>
      <c r="J14" s="55" t="s">
        <v>167</v>
      </c>
      <c r="K14" s="54" t="s">
        <v>168</v>
      </c>
      <c r="L14" s="56" t="s">
        <v>128</v>
      </c>
      <c r="M14" s="57" t="s">
        <v>169</v>
      </c>
      <c r="N14" s="95"/>
      <c r="O14" s="58"/>
      <c r="Q14" t="s">
        <v>179</v>
      </c>
      <c r="R14" t="s">
        <v>180</v>
      </c>
      <c r="S14" s="415" t="s">
        <v>170</v>
      </c>
      <c r="T14" s="416" t="s">
        <v>199</v>
      </c>
      <c r="U14" s="417" t="s">
        <v>178</v>
      </c>
      <c r="V14" s="418" t="s">
        <v>192</v>
      </c>
      <c r="W14" s="420" t="s">
        <v>193</v>
      </c>
      <c r="X14" s="421" t="s">
        <v>258</v>
      </c>
      <c r="Y14" s="422" t="s">
        <v>44</v>
      </c>
      <c r="Z14" s="422" t="s">
        <v>45</v>
      </c>
      <c r="AA14" s="423" t="s">
        <v>25</v>
      </c>
      <c r="AB14" s="424" t="s">
        <v>33</v>
      </c>
      <c r="AC14" s="425"/>
      <c r="AD14" t="s">
        <v>322</v>
      </c>
      <c r="AE14" t="s">
        <v>171</v>
      </c>
      <c r="AG14" t="s">
        <v>175</v>
      </c>
      <c r="AN14" t="s">
        <v>290</v>
      </c>
      <c r="AO14" t="s">
        <v>291</v>
      </c>
      <c r="AQ14" t="s">
        <v>194</v>
      </c>
      <c r="AR14" t="s">
        <v>4</v>
      </c>
      <c r="AS14" t="s">
        <v>188</v>
      </c>
      <c r="AT14" s="14" t="s">
        <v>187</v>
      </c>
      <c r="AV14" t="s">
        <v>155</v>
      </c>
      <c r="AZ14" t="s">
        <v>203</v>
      </c>
      <c r="BA14" t="s">
        <v>66</v>
      </c>
      <c r="BC14" t="s">
        <v>225</v>
      </c>
      <c r="BD14" t="s">
        <v>66</v>
      </c>
      <c r="BE14" t="s">
        <v>226</v>
      </c>
      <c r="BF14" t="s">
        <v>703</v>
      </c>
      <c r="BI14" t="s">
        <v>154</v>
      </c>
      <c r="BK14" t="s">
        <v>184</v>
      </c>
      <c r="BR14" s="194" t="s">
        <v>183</v>
      </c>
      <c r="BS14" t="s">
        <v>132</v>
      </c>
      <c r="CF14" s="32" t="e">
        <f>IF(SETTINGS!R24="",NA(),1)</f>
        <v>#N/A</v>
      </c>
      <c r="CG14" s="32" t="e">
        <f>IF(SETTINGS!M24="",NA(),1)</f>
        <v>#N/A</v>
      </c>
      <c r="CH14" s="32" t="e">
        <f>IF(SETTINGS!O24="",NA(),1)</f>
        <v>#N/A</v>
      </c>
    </row>
    <row r="15" spans="2:145" ht="19.5" customHeight="1">
      <c r="B15" s="158">
        <v>1</v>
      </c>
      <c r="C15" s="345">
        <v>43977.241886574076</v>
      </c>
      <c r="D15" s="346" t="s">
        <v>223</v>
      </c>
      <c r="E15" s="347"/>
      <c r="F15" s="348"/>
      <c r="G15" s="349"/>
      <c r="H15" s="349"/>
      <c r="I15" s="349"/>
      <c r="J15" s="350">
        <v>43977.241886574076</v>
      </c>
      <c r="K15" s="349"/>
      <c r="L15" s="351"/>
      <c r="M15" s="352">
        <v>50000</v>
      </c>
      <c r="N15" s="353"/>
      <c r="O15" s="354"/>
      <c r="P15">
        <f t="shared" ref="P15:P74" si="53">IF(D15="buy",K15-G15,G15-K15)</f>
        <v>0</v>
      </c>
      <c r="Q15">
        <f t="shared" ref="Q15:Q74" si="54">IFERROR(E15*G15*IF(AM15=0,AE15,AM15)*IF(N15&gt;0,(1/N15),AJ15),"")</f>
        <v>0</v>
      </c>
      <c r="R15">
        <f t="shared" ref="R15:R74" si="55">IFERROR(E15*K15*IF(AM15=0,AE15,AM15)*IF(N15&gt;0,(1/N15),AJ15),"")</f>
        <v>0</v>
      </c>
      <c r="S15" s="711" t="str">
        <f t="shared" ref="S15:S74" si="56">IF(K15="","",IF(ISNUMBER(VALUE(RIGHT(F15,2)))=FALSE,P15/AG15,P15))</f>
        <v/>
      </c>
      <c r="T15" s="712">
        <f t="shared" ref="T15:T74" si="57">IF(OR(D15="in",D15="out"),M15,IF(J15="","",IF(K15="","",IF(M15="",(P15*E15*AM15)+L15,M15+L15))))</f>
        <v>50000</v>
      </c>
      <c r="U15" s="713" t="str">
        <f t="shared" ref="U15:U16" si="58">IFERROR(T15/Q15,"")</f>
        <v/>
      </c>
      <c r="V15" s="419" t="str">
        <f t="shared" ref="V15:V16" si="59">IFERROR(IF(E15="","",(INT(J15-C15)&amp;"d "&amp;TEXT(J15-C15,"h""h ""m""m """))),"")</f>
        <v/>
      </c>
      <c r="W15" s="714" t="str">
        <f t="shared" ref="W15:W74" si="60">IFERROR(IF(F15="","",T15/(BG14*$AL$8)),"")</f>
        <v/>
      </c>
      <c r="X15" s="684"/>
      <c r="Y15" s="688"/>
      <c r="Z15" s="688"/>
      <c r="AA15" s="682"/>
      <c r="AB15" s="682"/>
      <c r="AC15" s="683"/>
      <c r="AD15">
        <f>IF(B15="","",IF(OR(D15="in",D15="out"),B15,IF(T15&lt;=0,"L","W")))</f>
        <v>1</v>
      </c>
      <c r="AE15">
        <f t="shared" ref="AE15:AE74" si="61">IF(RIGHT(F15,3)="JPY",1000,IF(AI15=1,100000,IF(LEFT(F15,3)="XAU",100,1)))</f>
        <v>1</v>
      </c>
      <c r="AF15">
        <f t="shared" ref="AF15:AF74" si="62">J15-C15</f>
        <v>0</v>
      </c>
      <c r="AG15" s="156">
        <f t="shared" ref="AG15:AG74" si="63">IF(O15&lt;&gt;"",O15,IF(RIGHT(F15,3)="jpy",0.01,IF(LEN(F15)&lt;6,0.01,IF(AND(G15&gt;=10,G15&lt;1000),0.01,IF(G15&gt;=1000,0.1,0.0001)))))</f>
        <v>0.01</v>
      </c>
      <c r="AH15" t="e">
        <f t="shared" ref="AH15:AH74" si="64">MATCH(F15,curpairs,0)</f>
        <v>#N/A</v>
      </c>
      <c r="AI15">
        <f t="shared" ref="AI15:AI74" si="65">IFERROR(IF(AH15&gt;0,1,0),0)</f>
        <v>0</v>
      </c>
      <c r="AJ15">
        <f t="shared" ref="AJ15:AJ74" si="66">IF(AI15=1,$AF$9,IF(LEFT(F15,3)="XAU",$AF$11,$AF$10))</f>
        <v>1</v>
      </c>
      <c r="AM15">
        <f t="shared" ref="AM15:AM74" si="67">IFERROR(IF(M15="",AE15,M15/(IF(K15="","",P15)*E15)),0)</f>
        <v>0</v>
      </c>
      <c r="AN15" t="str">
        <f t="shared" ref="AN15:AN74" si="68">IF(C15="","",TEXT(C15,"mmm"))</f>
        <v>May</v>
      </c>
      <c r="AO15">
        <f t="shared" ref="AO15:AO74" si="69">IF(C15="","",VALUE(TEXT(C15,"yyy")))</f>
        <v>2020</v>
      </c>
      <c r="AP15">
        <f t="shared" ref="AP15:AP74" si="70">WEEKDAY(AT15,1)</f>
        <v>3</v>
      </c>
      <c r="AQ15" t="str">
        <f>IF(COUNTIF($F15:F$15,F15)=1,B15,"")</f>
        <v/>
      </c>
      <c r="AR15">
        <f>0.00001</f>
        <v>1.0000000000000001E-5</v>
      </c>
      <c r="AS15" s="14">
        <f t="shared" ref="AS15:AS74" si="71">IF(J15="","",J15+AR15)</f>
        <v>43977.24189657408</v>
      </c>
      <c r="AT15" s="626">
        <f t="shared" ref="AT15:AT74" si="72">IFERROR(SMALL(DateExit,B15),"")</f>
        <v>43977.24189657408</v>
      </c>
      <c r="AU15">
        <f t="shared" ref="AU15:AU74" si="73">IF(AT15="","",MATCH(AT15,DateExit,0))</f>
        <v>1</v>
      </c>
      <c r="AV15" s="14">
        <f t="shared" ref="AV15:AV74" si="74">DATE(YEAR(J15),MONTH(J15),DAY(1))</f>
        <v>43952</v>
      </c>
      <c r="AZ15">
        <f t="shared" ref="AZ15:AZ19" si="75">INDEX(BuyAmount,AU15)</f>
        <v>0</v>
      </c>
      <c r="BA15" s="28">
        <f t="shared" ref="BA15:BA19" si="76">INDEX(PNLwFees,AU15)-BB15</f>
        <v>50000</v>
      </c>
      <c r="BB15">
        <f t="shared" ref="BB15:BB74" si="77">INDEX(Fees,AU15)</f>
        <v>0</v>
      </c>
      <c r="BC15" s="312">
        <f>IF(AZ15&lt;=0,BA15,0)</f>
        <v>50000</v>
      </c>
      <c r="BD15">
        <f t="shared" ref="BD15:BD74" si="78">IFERROR(IF(AZ15=0,0,BA15+BB15),"")</f>
        <v>0</v>
      </c>
      <c r="BE15" t="str">
        <f t="shared" ref="BE15:BE74" si="79">IFERROR(BD15/AZ15,"")</f>
        <v/>
      </c>
      <c r="BF15">
        <f t="shared" ref="BF15:BF74" si="80">IF(BG15="","",B15)</f>
        <v>1</v>
      </c>
      <c r="BG15" s="306">
        <f>BH15</f>
        <v>50000</v>
      </c>
      <c r="BH15" s="306">
        <f>T15</f>
        <v>50000</v>
      </c>
      <c r="BI15" s="20">
        <f>IFERROR(AZ15/(BH15),"")</f>
        <v>0</v>
      </c>
      <c r="BK15">
        <f t="shared" ref="BK15:BK74" si="81">IF(BC15&lt;&gt;0,0,IF(BD15&gt;0,1,-1))</f>
        <v>0</v>
      </c>
      <c r="BL15">
        <f>IF(BK15=1,0,BK15+BL14)</f>
        <v>0</v>
      </c>
      <c r="BM15">
        <f>IFERROR(IF(AZ15="",0,IF(BK15&lt;0,BD15+BM14,0)),0)</f>
        <v>0</v>
      </c>
      <c r="BN15">
        <f>IF(BK15=-1,0,BK15+BN14)</f>
        <v>0</v>
      </c>
      <c r="BO15">
        <f>IFERROR(IF(AZ15="","",IF(BN15&gt;0,BD15+BO14,0)),0)</f>
        <v>0</v>
      </c>
      <c r="BP15">
        <f t="shared" ref="BP15:BP74" si="82">IF(BQ15=$BL$7,BO15,IF(BQ15=-$BL$6,BM15,0))</f>
        <v>0</v>
      </c>
      <c r="BQ15">
        <f t="shared" ref="BQ15:BQ74" si="83">IFERROR(BN15+BL15,"")</f>
        <v>0</v>
      </c>
      <c r="BR15">
        <f>IFERROR(MAX($BG$14:BG15),"")</f>
        <v>50000</v>
      </c>
      <c r="BS15">
        <f t="shared" ref="BS15:BS74" si="84">IFERROR((BG15-BR15)/BR15,"")</f>
        <v>0</v>
      </c>
      <c r="CF15" s="32" t="e">
        <f>IF(SETTINGS!R25="",NA(),1)</f>
        <v>#N/A</v>
      </c>
      <c r="CG15" s="32"/>
      <c r="CH15" s="32" t="e">
        <f>IF(SETTINGS!O25="",NA(),1)</f>
        <v>#N/A</v>
      </c>
    </row>
    <row r="16" spans="2:145" ht="21.75" customHeight="1">
      <c r="B16" s="158">
        <f>(B15+1)</f>
        <v>2</v>
      </c>
      <c r="C16" s="345">
        <v>43978.367222222223</v>
      </c>
      <c r="D16" s="346" t="s">
        <v>3</v>
      </c>
      <c r="E16" s="347">
        <v>5</v>
      </c>
      <c r="F16" s="348" t="s">
        <v>474</v>
      </c>
      <c r="G16" s="349">
        <v>0.66398000000000001</v>
      </c>
      <c r="H16" s="349">
        <v>0</v>
      </c>
      <c r="I16" s="349">
        <v>0</v>
      </c>
      <c r="J16" s="350">
        <v>43978.368043981478</v>
      </c>
      <c r="K16" s="349">
        <v>0.66371999999999998</v>
      </c>
      <c r="L16" s="351">
        <v>-37.65</v>
      </c>
      <c r="M16" s="352">
        <v>-130</v>
      </c>
      <c r="N16" s="353"/>
      <c r="O16" s="354"/>
      <c r="P16">
        <f t="shared" si="53"/>
        <v>-2.6000000000003798E-4</v>
      </c>
      <c r="Q16">
        <f t="shared" si="54"/>
        <v>3319.8999999995153</v>
      </c>
      <c r="R16">
        <f t="shared" si="55"/>
        <v>3318.5999999995151</v>
      </c>
      <c r="S16" s="711">
        <f t="shared" si="56"/>
        <v>-2.6000000000003798</v>
      </c>
      <c r="T16" s="712">
        <f t="shared" si="57"/>
        <v>-167.65</v>
      </c>
      <c r="U16" s="713">
        <f t="shared" si="58"/>
        <v>-5.0498508991242051E-2</v>
      </c>
      <c r="V16" s="419" t="str">
        <f t="shared" si="59"/>
        <v xml:space="preserve">0d 0h 1m </v>
      </c>
      <c r="W16" s="714">
        <f t="shared" si="60"/>
        <v>-0.33529999999999999</v>
      </c>
      <c r="X16" s="684"/>
      <c r="Y16" s="688"/>
      <c r="Z16" s="688"/>
      <c r="AA16" s="682"/>
      <c r="AB16" s="682"/>
      <c r="AC16" s="683"/>
      <c r="AD16" t="str">
        <f t="shared" ref="AD16:AD74" si="85">IF(B16="","",IF(OR(D16="in",D16="out"),B16,IF(T16&lt;=0,"L","W")))</f>
        <v>L</v>
      </c>
      <c r="AE16">
        <f t="shared" si="61"/>
        <v>100000</v>
      </c>
      <c r="AF16">
        <f t="shared" si="62"/>
        <v>8.2175925490446389E-4</v>
      </c>
      <c r="AG16" s="156">
        <f t="shared" si="63"/>
        <v>1E-4</v>
      </c>
      <c r="AH16">
        <f t="shared" si="64"/>
        <v>82</v>
      </c>
      <c r="AI16">
        <f t="shared" si="65"/>
        <v>1</v>
      </c>
      <c r="AJ16">
        <f t="shared" si="66"/>
        <v>0.01</v>
      </c>
      <c r="AM16">
        <f t="shared" si="67"/>
        <v>99999.99999998539</v>
      </c>
      <c r="AN16" t="str">
        <f t="shared" si="68"/>
        <v>May</v>
      </c>
      <c r="AO16">
        <f t="shared" si="69"/>
        <v>2020</v>
      </c>
      <c r="AP16">
        <f t="shared" si="70"/>
        <v>4</v>
      </c>
      <c r="AQ16">
        <f>IF(COUNTIF($F$15:F16,F16)=1,B16,"")</f>
        <v>2</v>
      </c>
      <c r="AR16">
        <f t="shared" ref="AR16:AR74" si="86">AR15+0.00001</f>
        <v>2.0000000000000002E-5</v>
      </c>
      <c r="AS16" s="14">
        <f t="shared" si="71"/>
        <v>43978.368063981477</v>
      </c>
      <c r="AT16" s="626">
        <f t="shared" si="72"/>
        <v>43978.368063981477</v>
      </c>
      <c r="AU16">
        <f t="shared" si="73"/>
        <v>2</v>
      </c>
      <c r="AV16" s="14">
        <f t="shared" si="74"/>
        <v>43952</v>
      </c>
      <c r="AZ16">
        <f t="shared" si="75"/>
        <v>3319.8999999995153</v>
      </c>
      <c r="BA16" s="28">
        <f t="shared" si="76"/>
        <v>-130</v>
      </c>
      <c r="BB16">
        <f t="shared" si="77"/>
        <v>-37.65</v>
      </c>
      <c r="BC16">
        <f>IF(AZ16="",BA16,0)</f>
        <v>0</v>
      </c>
      <c r="BD16">
        <f>IFERROR(IF(AZ16=0,0,BA16+BB16),"")</f>
        <v>-167.65</v>
      </c>
      <c r="BE16">
        <f t="shared" si="79"/>
        <v>-5.0498508991242051E-2</v>
      </c>
      <c r="BF16">
        <f t="shared" si="80"/>
        <v>2</v>
      </c>
      <c r="BG16">
        <f t="shared" ref="BG16:BG74" si="87">IFERROR(IF(AT16="",NA(),BG15+IF(BD16="",0,BD16)),"")</f>
        <v>49832.35</v>
      </c>
      <c r="BH16">
        <f>IF(AT16="","",BH15+BD16+BC16)</f>
        <v>49832.35</v>
      </c>
      <c r="BI16" s="20">
        <f t="shared" ref="BI16:BI19" si="88">IFERROR(AZ16/(BH16),"")</f>
        <v>6.6621381492133439E-2</v>
      </c>
      <c r="BK16">
        <f t="shared" si="81"/>
        <v>-1</v>
      </c>
      <c r="BL16">
        <f t="shared" ref="BL16:BL74" si="89">IF(BK16=1,0,BK16+BL15)</f>
        <v>-1</v>
      </c>
      <c r="BM16">
        <f t="shared" ref="BM16:BM74" si="90">IFERROR(IF(AZ16="",0,IF(BK16&lt;0,BD16+BM15,0)),0)</f>
        <v>-167.65</v>
      </c>
      <c r="BN16">
        <f t="shared" ref="BN16:BN74" si="91">IF(BK16=-1,0,BK16+BN15)</f>
        <v>0</v>
      </c>
      <c r="BO16">
        <f t="shared" ref="BO16:BO74" si="92">IFERROR(IF(AZ16="","",IF(BN16&gt;0,BD16+BO15,0)),0)</f>
        <v>0</v>
      </c>
      <c r="BP16">
        <f t="shared" si="82"/>
        <v>0</v>
      </c>
      <c r="BQ16">
        <f t="shared" si="83"/>
        <v>-1</v>
      </c>
      <c r="BR16">
        <f>IFERROR(MAX($BG$14:BG16),"")</f>
        <v>50000</v>
      </c>
      <c r="BS16">
        <f t="shared" si="84"/>
        <v>-3.3530000000000291E-3</v>
      </c>
      <c r="CF16" s="32" t="e">
        <f>IF(SETTINGS!R26="",NA(),1)</f>
        <v>#N/A</v>
      </c>
      <c r="CG16" s="32"/>
      <c r="CH16" s="32" t="e">
        <f>IF(SETTINGS!O26="",NA(),1)</f>
        <v>#N/A</v>
      </c>
    </row>
    <row r="17" spans="2:71" ht="21.95" customHeight="1">
      <c r="B17" s="158">
        <f t="shared" ref="B17:B74" si="93">(B16+1)</f>
        <v>3</v>
      </c>
      <c r="C17" s="345">
        <v>43978.498993055553</v>
      </c>
      <c r="D17" s="346" t="s">
        <v>3</v>
      </c>
      <c r="E17" s="347">
        <v>5</v>
      </c>
      <c r="F17" s="348" t="s">
        <v>769</v>
      </c>
      <c r="G17" s="349">
        <v>1705.84</v>
      </c>
      <c r="H17" s="349">
        <v>0</v>
      </c>
      <c r="I17" s="349">
        <v>0</v>
      </c>
      <c r="J17" s="350">
        <v>43978.499108796299</v>
      </c>
      <c r="K17" s="349">
        <v>1705.24</v>
      </c>
      <c r="L17" s="351">
        <v>0</v>
      </c>
      <c r="M17" s="352">
        <v>-300</v>
      </c>
      <c r="N17" s="353"/>
      <c r="O17" s="354"/>
      <c r="P17">
        <f t="shared" si="53"/>
        <v>-0.59999999999990905</v>
      </c>
      <c r="Q17">
        <f t="shared" si="54"/>
        <v>852920.00000012922</v>
      </c>
      <c r="R17">
        <f t="shared" si="55"/>
        <v>852620.00000012934</v>
      </c>
      <c r="S17" s="711">
        <f t="shared" si="56"/>
        <v>-5.9999999999990905</v>
      </c>
      <c r="T17" s="712">
        <f t="shared" si="57"/>
        <v>-300</v>
      </c>
      <c r="U17" s="713">
        <f t="shared" ref="U17:U74" si="94">IFERROR(T17/Q17,"")</f>
        <v>-3.5173287060914803E-4</v>
      </c>
      <c r="V17" s="419" t="str">
        <f t="shared" ref="V17:V74" si="95">IFERROR(IF(E17="","",(INT(J17-C17)&amp;"d "&amp;TEXT(J17-C17,"h""h ""m""m """))),"")</f>
        <v xml:space="preserve">0d 0h 0m </v>
      </c>
      <c r="W17" s="714">
        <f t="shared" si="60"/>
        <v>-0.60201856825937361</v>
      </c>
      <c r="X17" s="684" t="s">
        <v>156</v>
      </c>
      <c r="Y17" s="688" t="s">
        <v>56</v>
      </c>
      <c r="Z17" s="688" t="s">
        <v>113</v>
      </c>
      <c r="AA17" s="682"/>
      <c r="AB17" s="682"/>
      <c r="AC17" s="683"/>
      <c r="AD17" t="str">
        <f t="shared" si="85"/>
        <v>L</v>
      </c>
      <c r="AE17">
        <f t="shared" si="61"/>
        <v>100</v>
      </c>
      <c r="AF17">
        <f t="shared" si="62"/>
        <v>1.1574074596865103E-4</v>
      </c>
      <c r="AG17" s="156">
        <f t="shared" si="63"/>
        <v>0.1</v>
      </c>
      <c r="AH17" t="e">
        <f t="shared" si="64"/>
        <v>#N/A</v>
      </c>
      <c r="AI17">
        <f t="shared" si="65"/>
        <v>0</v>
      </c>
      <c r="AJ17">
        <f t="shared" si="66"/>
        <v>1</v>
      </c>
      <c r="AM17">
        <f t="shared" si="67"/>
        <v>100.00000000001516</v>
      </c>
      <c r="AN17" t="str">
        <f t="shared" si="68"/>
        <v>May</v>
      </c>
      <c r="AO17">
        <f t="shared" si="69"/>
        <v>2020</v>
      </c>
      <c r="AP17">
        <f t="shared" si="70"/>
        <v>4</v>
      </c>
      <c r="AQ17">
        <f>IF(COUNTIF($F$15:F17,F17)=1,B17,"")</f>
        <v>3</v>
      </c>
      <c r="AR17">
        <f t="shared" si="86"/>
        <v>3.0000000000000004E-5</v>
      </c>
      <c r="AS17" s="14">
        <f t="shared" si="71"/>
        <v>43978.499138796302</v>
      </c>
      <c r="AT17" s="626">
        <f t="shared" si="72"/>
        <v>43978.499138796302</v>
      </c>
      <c r="AU17">
        <f t="shared" si="73"/>
        <v>3</v>
      </c>
      <c r="AV17" s="14">
        <f t="shared" si="74"/>
        <v>43952</v>
      </c>
      <c r="AZ17">
        <f t="shared" si="75"/>
        <v>852920.00000012922</v>
      </c>
      <c r="BA17" s="28">
        <f t="shared" si="76"/>
        <v>-300</v>
      </c>
      <c r="BB17">
        <f t="shared" si="77"/>
        <v>0</v>
      </c>
      <c r="BC17">
        <f t="shared" ref="BC17" si="96">IF(AZ17="",BA17,0)</f>
        <v>0</v>
      </c>
      <c r="BD17">
        <f t="shared" si="78"/>
        <v>-300</v>
      </c>
      <c r="BE17">
        <f t="shared" si="79"/>
        <v>-3.5173287060914803E-4</v>
      </c>
      <c r="BF17">
        <f t="shared" si="80"/>
        <v>3</v>
      </c>
      <c r="BG17">
        <f t="shared" si="87"/>
        <v>49532.35</v>
      </c>
      <c r="BH17">
        <f t="shared" ref="BH17:BH74" si="97">IF(AT17="","",BH16+BD17+BC17)</f>
        <v>49532.35</v>
      </c>
      <c r="BI17" s="20">
        <f t="shared" si="88"/>
        <v>17.219453549046818</v>
      </c>
      <c r="BK17">
        <f t="shared" si="81"/>
        <v>-1</v>
      </c>
      <c r="BL17">
        <f t="shared" si="89"/>
        <v>-2</v>
      </c>
      <c r="BM17">
        <f t="shared" si="90"/>
        <v>-467.65</v>
      </c>
      <c r="BN17">
        <f t="shared" si="91"/>
        <v>0</v>
      </c>
      <c r="BO17">
        <f t="shared" si="92"/>
        <v>0</v>
      </c>
      <c r="BP17">
        <f t="shared" si="82"/>
        <v>0</v>
      </c>
      <c r="BQ17">
        <f t="shared" si="83"/>
        <v>-2</v>
      </c>
      <c r="BR17">
        <f>IFERROR(MAX($BG$14:BG17),"")</f>
        <v>50000</v>
      </c>
      <c r="BS17">
        <f t="shared" si="84"/>
        <v>-9.3530000000000297E-3</v>
      </c>
    </row>
    <row r="18" spans="2:71" ht="21.95" customHeight="1">
      <c r="B18" s="158">
        <f t="shared" si="93"/>
        <v>4</v>
      </c>
      <c r="C18" s="345">
        <v>43979.206817129627</v>
      </c>
      <c r="D18" s="346" t="s">
        <v>3</v>
      </c>
      <c r="E18" s="347">
        <v>1</v>
      </c>
      <c r="F18" s="348" t="s">
        <v>174</v>
      </c>
      <c r="G18" s="349">
        <v>1.10287</v>
      </c>
      <c r="H18" s="349">
        <v>0</v>
      </c>
      <c r="I18" s="349">
        <v>0</v>
      </c>
      <c r="J18" s="350">
        <v>43979.333055555559</v>
      </c>
      <c r="K18" s="349">
        <v>1.1008100000000001</v>
      </c>
      <c r="L18" s="351">
        <v>-7.53</v>
      </c>
      <c r="M18" s="352">
        <v>-206</v>
      </c>
      <c r="N18" s="353"/>
      <c r="O18" s="354"/>
      <c r="P18">
        <f t="shared" si="53"/>
        <v>-2.0599999999999508E-3</v>
      </c>
      <c r="Q18">
        <f t="shared" si="54"/>
        <v>1102.8700000000263</v>
      </c>
      <c r="R18">
        <f t="shared" si="55"/>
        <v>1100.8100000000263</v>
      </c>
      <c r="S18" s="711">
        <f t="shared" si="56"/>
        <v>-20.599999999999508</v>
      </c>
      <c r="T18" s="712">
        <f t="shared" si="57"/>
        <v>-213.53</v>
      </c>
      <c r="U18" s="713">
        <f t="shared" si="94"/>
        <v>-0.19361302782739118</v>
      </c>
      <c r="V18" s="419" t="str">
        <f t="shared" si="95"/>
        <v xml:space="preserve">0d 3h 1m </v>
      </c>
      <c r="W18" s="714">
        <f t="shared" si="60"/>
        <v>-0.43109200350881793</v>
      </c>
      <c r="X18" s="684" t="s">
        <v>156</v>
      </c>
      <c r="Y18" s="688" t="s">
        <v>56</v>
      </c>
      <c r="Z18" s="688" t="s">
        <v>113</v>
      </c>
      <c r="AA18" s="682"/>
      <c r="AB18" s="682"/>
      <c r="AC18" s="683"/>
      <c r="AD18" t="str">
        <f t="shared" si="85"/>
        <v>L</v>
      </c>
      <c r="AE18">
        <f t="shared" si="61"/>
        <v>100000</v>
      </c>
      <c r="AF18">
        <f t="shared" si="62"/>
        <v>0.12623842593166046</v>
      </c>
      <c r="AG18" s="156">
        <f t="shared" si="63"/>
        <v>1E-4</v>
      </c>
      <c r="AH18">
        <f t="shared" si="64"/>
        <v>109</v>
      </c>
      <c r="AI18">
        <f t="shared" si="65"/>
        <v>1</v>
      </c>
      <c r="AJ18">
        <f t="shared" si="66"/>
        <v>0.01</v>
      </c>
      <c r="AM18">
        <f t="shared" si="67"/>
        <v>100000.00000000239</v>
      </c>
      <c r="AN18" t="str">
        <f t="shared" si="68"/>
        <v>May</v>
      </c>
      <c r="AO18">
        <f t="shared" si="69"/>
        <v>2020</v>
      </c>
      <c r="AP18">
        <f t="shared" si="70"/>
        <v>5</v>
      </c>
      <c r="AQ18">
        <f>IF(COUNTIF($F$15:F18,F18)=1,B18,"")</f>
        <v>4</v>
      </c>
      <c r="AR18">
        <f t="shared" si="86"/>
        <v>4.0000000000000003E-5</v>
      </c>
      <c r="AS18" s="14">
        <f t="shared" si="71"/>
        <v>43979.333095555558</v>
      </c>
      <c r="AT18" s="35">
        <f t="shared" si="72"/>
        <v>43979.333095555558</v>
      </c>
      <c r="AU18">
        <f t="shared" si="73"/>
        <v>4</v>
      </c>
      <c r="AV18" s="14">
        <f t="shared" si="74"/>
        <v>43952</v>
      </c>
      <c r="AZ18">
        <f t="shared" si="75"/>
        <v>1102.8700000000263</v>
      </c>
      <c r="BA18" s="28">
        <f t="shared" si="76"/>
        <v>-206</v>
      </c>
      <c r="BB18">
        <f t="shared" si="77"/>
        <v>-7.53</v>
      </c>
      <c r="BC18">
        <f t="shared" ref="BC18:BC74" si="98">IF(AZ18=0,BA18,0)</f>
        <v>0</v>
      </c>
      <c r="BD18">
        <f t="shared" si="78"/>
        <v>-213.53</v>
      </c>
      <c r="BE18">
        <f t="shared" si="79"/>
        <v>-0.19361302782739118</v>
      </c>
      <c r="BF18">
        <f t="shared" si="80"/>
        <v>4</v>
      </c>
      <c r="BG18">
        <f t="shared" si="87"/>
        <v>49318.82</v>
      </c>
      <c r="BH18">
        <f t="shared" si="97"/>
        <v>49318.82</v>
      </c>
      <c r="BI18" s="20">
        <f t="shared" si="88"/>
        <v>2.2362051646816088E-2</v>
      </c>
      <c r="BK18">
        <f t="shared" si="81"/>
        <v>-1</v>
      </c>
      <c r="BL18">
        <f t="shared" si="89"/>
        <v>-3</v>
      </c>
      <c r="BM18">
        <f t="shared" si="90"/>
        <v>-681.18</v>
      </c>
      <c r="BN18">
        <f t="shared" si="91"/>
        <v>0</v>
      </c>
      <c r="BO18">
        <f t="shared" si="92"/>
        <v>0</v>
      </c>
      <c r="BP18">
        <f t="shared" si="82"/>
        <v>0</v>
      </c>
      <c r="BQ18">
        <f t="shared" si="83"/>
        <v>-3</v>
      </c>
      <c r="BR18">
        <f>IFERROR(MAX($BG$14:BG18),"")</f>
        <v>50000</v>
      </c>
      <c r="BS18">
        <f t="shared" si="84"/>
        <v>-1.3623600000000007E-2</v>
      </c>
    </row>
    <row r="19" spans="2:71" ht="21.95" customHeight="1">
      <c r="B19" s="158">
        <f t="shared" si="93"/>
        <v>5</v>
      </c>
      <c r="C19" s="345">
        <v>43979.20716435185</v>
      </c>
      <c r="D19" s="346" t="s">
        <v>3</v>
      </c>
      <c r="E19" s="347">
        <v>1</v>
      </c>
      <c r="F19" s="348" t="s">
        <v>174</v>
      </c>
      <c r="G19" s="349">
        <v>1.1027</v>
      </c>
      <c r="H19" s="349">
        <v>0</v>
      </c>
      <c r="I19" s="349">
        <v>0</v>
      </c>
      <c r="J19" s="350">
        <v>43979.333078703705</v>
      </c>
      <c r="K19" s="349">
        <v>1.1008100000000001</v>
      </c>
      <c r="L19" s="351">
        <v>-7.53</v>
      </c>
      <c r="M19" s="352">
        <v>-189</v>
      </c>
      <c r="N19" s="353"/>
      <c r="O19" s="354"/>
      <c r="P19">
        <f t="shared" si="53"/>
        <v>-1.8899999999999473E-3</v>
      </c>
      <c r="Q19">
        <f t="shared" si="54"/>
        <v>1102.700000000031</v>
      </c>
      <c r="R19">
        <f t="shared" si="55"/>
        <v>1100.8100000000309</v>
      </c>
      <c r="S19" s="711">
        <f t="shared" si="56"/>
        <v>-18.899999999999473</v>
      </c>
      <c r="T19" s="712">
        <f t="shared" si="57"/>
        <v>-196.53</v>
      </c>
      <c r="U19" s="713">
        <f t="shared" si="94"/>
        <v>-0.17822617212296588</v>
      </c>
      <c r="V19" s="419" t="str">
        <f t="shared" si="95"/>
        <v xml:space="preserve">0d 3h 1m </v>
      </c>
      <c r="W19" s="714">
        <f t="shared" si="60"/>
        <v>-0.39848885273410839</v>
      </c>
      <c r="X19" s="684" t="s">
        <v>156</v>
      </c>
      <c r="Y19" s="688" t="s">
        <v>56</v>
      </c>
      <c r="Z19" s="688" t="s">
        <v>113</v>
      </c>
      <c r="AA19" s="682"/>
      <c r="AB19" s="682"/>
      <c r="AC19" s="683"/>
      <c r="AD19" t="str">
        <f t="shared" si="85"/>
        <v>L</v>
      </c>
      <c r="AE19">
        <f t="shared" si="61"/>
        <v>100000</v>
      </c>
      <c r="AF19">
        <f t="shared" si="62"/>
        <v>0.12591435185458977</v>
      </c>
      <c r="AG19" s="156">
        <f t="shared" si="63"/>
        <v>1E-4</v>
      </c>
      <c r="AH19">
        <f t="shared" si="64"/>
        <v>109</v>
      </c>
      <c r="AI19">
        <f t="shared" si="65"/>
        <v>1</v>
      </c>
      <c r="AJ19">
        <f t="shared" si="66"/>
        <v>0.01</v>
      </c>
      <c r="AM19">
        <f t="shared" si="67"/>
        <v>100000.00000000279</v>
      </c>
      <c r="AN19" t="str">
        <f t="shared" si="68"/>
        <v>May</v>
      </c>
      <c r="AO19">
        <f t="shared" si="69"/>
        <v>2020</v>
      </c>
      <c r="AP19">
        <f t="shared" si="70"/>
        <v>5</v>
      </c>
      <c r="AQ19" t="str">
        <f>IF(COUNTIF($F$15:F19,F19)=1,B19,"")</f>
        <v/>
      </c>
      <c r="AR19">
        <f t="shared" si="86"/>
        <v>5.0000000000000002E-5</v>
      </c>
      <c r="AS19" s="14">
        <f t="shared" si="71"/>
        <v>43979.333128703707</v>
      </c>
      <c r="AT19" s="35">
        <f t="shared" si="72"/>
        <v>43979.333128703707</v>
      </c>
      <c r="AU19">
        <f t="shared" si="73"/>
        <v>5</v>
      </c>
      <c r="AV19" s="14">
        <f t="shared" si="74"/>
        <v>43952</v>
      </c>
      <c r="AZ19">
        <f t="shared" si="75"/>
        <v>1102.700000000031</v>
      </c>
      <c r="BA19" s="28">
        <f t="shared" si="76"/>
        <v>-189</v>
      </c>
      <c r="BB19">
        <f t="shared" si="77"/>
        <v>-7.53</v>
      </c>
      <c r="BC19">
        <f t="shared" si="98"/>
        <v>0</v>
      </c>
      <c r="BD19">
        <f t="shared" si="78"/>
        <v>-196.53</v>
      </c>
      <c r="BE19">
        <f t="shared" si="79"/>
        <v>-0.17822617212296588</v>
      </c>
      <c r="BF19">
        <f t="shared" si="80"/>
        <v>5</v>
      </c>
      <c r="BG19">
        <f t="shared" si="87"/>
        <v>49122.29</v>
      </c>
      <c r="BH19">
        <f t="shared" si="97"/>
        <v>49122.29</v>
      </c>
      <c r="BI19" s="20">
        <f t="shared" si="88"/>
        <v>2.2448057694379291E-2</v>
      </c>
      <c r="BK19">
        <f t="shared" si="81"/>
        <v>-1</v>
      </c>
      <c r="BL19">
        <f t="shared" si="89"/>
        <v>-4</v>
      </c>
      <c r="BM19">
        <f t="shared" si="90"/>
        <v>-877.70999999999992</v>
      </c>
      <c r="BN19">
        <f t="shared" si="91"/>
        <v>0</v>
      </c>
      <c r="BO19">
        <f t="shared" si="92"/>
        <v>0</v>
      </c>
      <c r="BP19">
        <f t="shared" si="82"/>
        <v>0</v>
      </c>
      <c r="BQ19">
        <f t="shared" si="83"/>
        <v>-4</v>
      </c>
      <c r="BR19">
        <f>IFERROR(MAX($BG$14:BG19),"")</f>
        <v>50000</v>
      </c>
      <c r="BS19">
        <f t="shared" si="84"/>
        <v>-1.7554199999999982E-2</v>
      </c>
    </row>
    <row r="20" spans="2:71" ht="21.95" customHeight="1">
      <c r="B20" s="158">
        <f t="shared" si="93"/>
        <v>6</v>
      </c>
      <c r="C20" s="345">
        <v>43979.333761574075</v>
      </c>
      <c r="D20" s="346" t="s">
        <v>3</v>
      </c>
      <c r="E20" s="347">
        <v>5</v>
      </c>
      <c r="F20" s="348" t="s">
        <v>474</v>
      </c>
      <c r="G20" s="349">
        <v>0.65983000000000003</v>
      </c>
      <c r="H20" s="349">
        <v>0</v>
      </c>
      <c r="I20" s="349">
        <v>0</v>
      </c>
      <c r="J20" s="350">
        <v>43979.334490740737</v>
      </c>
      <c r="K20" s="349">
        <v>0.65963000000000005</v>
      </c>
      <c r="L20" s="351">
        <v>-37.65</v>
      </c>
      <c r="M20" s="352">
        <v>-100</v>
      </c>
      <c r="N20" s="353"/>
      <c r="O20" s="354"/>
      <c r="P20">
        <f t="shared" si="53"/>
        <v>-1.9999999999997797E-4</v>
      </c>
      <c r="Q20">
        <f t="shared" si="54"/>
        <v>3299.1500000003634</v>
      </c>
      <c r="R20">
        <f t="shared" si="55"/>
        <v>3298.1500000003634</v>
      </c>
      <c r="S20" s="711">
        <f t="shared" si="56"/>
        <v>-1.9999999999997797</v>
      </c>
      <c r="T20" s="712">
        <f t="shared" si="57"/>
        <v>-137.65</v>
      </c>
      <c r="U20" s="713">
        <f t="shared" si="94"/>
        <v>-4.1722868011452904E-2</v>
      </c>
      <c r="V20" s="419" t="str">
        <f t="shared" si="95"/>
        <v xml:space="preserve">0d 0h 1m </v>
      </c>
      <c r="W20" s="714">
        <f t="shared" si="60"/>
        <v>-0.28021902073376465</v>
      </c>
      <c r="X20" s="684" t="s">
        <v>156</v>
      </c>
      <c r="Y20" s="688"/>
      <c r="Z20" s="688"/>
      <c r="AA20" s="682"/>
      <c r="AB20" s="682"/>
      <c r="AC20" s="683"/>
      <c r="AD20" t="str">
        <f t="shared" si="85"/>
        <v>L</v>
      </c>
      <c r="AE20">
        <f t="shared" si="61"/>
        <v>100000</v>
      </c>
      <c r="AF20">
        <f t="shared" si="62"/>
        <v>7.2916666249511763E-4</v>
      </c>
      <c r="AG20" s="156">
        <f t="shared" si="63"/>
        <v>1E-4</v>
      </c>
      <c r="AH20">
        <f t="shared" si="64"/>
        <v>82</v>
      </c>
      <c r="AI20">
        <f t="shared" si="65"/>
        <v>1</v>
      </c>
      <c r="AJ20">
        <f t="shared" si="66"/>
        <v>0.01</v>
      </c>
      <c r="AM20">
        <f t="shared" si="67"/>
        <v>100000.00000001102</v>
      </c>
      <c r="AN20" t="str">
        <f t="shared" si="68"/>
        <v>May</v>
      </c>
      <c r="AO20">
        <f t="shared" si="69"/>
        <v>2020</v>
      </c>
      <c r="AP20">
        <f t="shared" si="70"/>
        <v>5</v>
      </c>
      <c r="AQ20" t="str">
        <f>IF(COUNTIF($F$15:F20,F20)=1,B20,"")</f>
        <v/>
      </c>
      <c r="AR20">
        <f t="shared" si="86"/>
        <v>6.0000000000000002E-5</v>
      </c>
      <c r="AS20" s="14">
        <f t="shared" si="71"/>
        <v>43979.334550740736</v>
      </c>
      <c r="AT20" s="35">
        <f t="shared" si="72"/>
        <v>43979.334550740736</v>
      </c>
      <c r="AU20">
        <f t="shared" si="73"/>
        <v>6</v>
      </c>
      <c r="AV20" s="14">
        <f t="shared" si="74"/>
        <v>43952</v>
      </c>
      <c r="AZ20">
        <f t="shared" ref="AZ20:AZ74" si="99">INDEX($Q$15:$Q$9733,AU20)</f>
        <v>3299.1500000003634</v>
      </c>
      <c r="BA20" s="28">
        <f t="shared" ref="BA20:BA74" si="100">INDEX($T$15:$T$9733,AU20)-BB20</f>
        <v>-100</v>
      </c>
      <c r="BB20">
        <f t="shared" si="77"/>
        <v>-37.65</v>
      </c>
      <c r="BC20">
        <f t="shared" si="98"/>
        <v>0</v>
      </c>
      <c r="BD20">
        <f t="shared" si="78"/>
        <v>-137.65</v>
      </c>
      <c r="BE20">
        <f t="shared" si="79"/>
        <v>-4.1722868011452904E-2</v>
      </c>
      <c r="BF20">
        <f t="shared" si="80"/>
        <v>6</v>
      </c>
      <c r="BG20">
        <f t="shared" si="87"/>
        <v>48984.639999999999</v>
      </c>
      <c r="BH20">
        <f t="shared" si="97"/>
        <v>48984.639999999999</v>
      </c>
      <c r="BI20">
        <f t="shared" ref="BI20:BI74" si="101">IFERROR(AZ20/BH20,"")</f>
        <v>6.7350704220759061E-2</v>
      </c>
      <c r="BK20">
        <f t="shared" si="81"/>
        <v>-1</v>
      </c>
      <c r="BL20">
        <f t="shared" si="89"/>
        <v>-5</v>
      </c>
      <c r="BM20">
        <f t="shared" si="90"/>
        <v>-1015.3599999999999</v>
      </c>
      <c r="BN20">
        <f t="shared" si="91"/>
        <v>0</v>
      </c>
      <c r="BO20">
        <f t="shared" si="92"/>
        <v>0</v>
      </c>
      <c r="BP20">
        <f t="shared" si="82"/>
        <v>-1015.3599999999999</v>
      </c>
      <c r="BQ20">
        <f t="shared" si="83"/>
        <v>-5</v>
      </c>
      <c r="BR20">
        <f>IFERROR(MAX($BG$14:BG20),"")</f>
        <v>50000</v>
      </c>
      <c r="BS20">
        <f t="shared" si="84"/>
        <v>-2.0307200000000011E-2</v>
      </c>
    </row>
    <row r="21" spans="2:71" ht="21.95" customHeight="1">
      <c r="B21" s="158">
        <f t="shared" si="93"/>
        <v>7</v>
      </c>
      <c r="C21" s="345">
        <v>43979.336516203701</v>
      </c>
      <c r="D21" s="346" t="s">
        <v>3</v>
      </c>
      <c r="E21" s="347">
        <v>5</v>
      </c>
      <c r="F21" s="348" t="s">
        <v>474</v>
      </c>
      <c r="G21" s="349">
        <v>0.66008</v>
      </c>
      <c r="H21" s="349">
        <v>0.66039000000000003</v>
      </c>
      <c r="I21" s="349">
        <v>0</v>
      </c>
      <c r="J21" s="350">
        <v>43979.33761574074</v>
      </c>
      <c r="K21" s="349">
        <v>0.66039000000000003</v>
      </c>
      <c r="L21" s="351">
        <v>-37.65</v>
      </c>
      <c r="M21" s="352">
        <v>155</v>
      </c>
      <c r="N21" s="353"/>
      <c r="O21" s="354"/>
      <c r="P21">
        <f t="shared" si="53"/>
        <v>3.1000000000003247E-4</v>
      </c>
      <c r="Q21">
        <f t="shared" si="54"/>
        <v>3300.3999999996545</v>
      </c>
      <c r="R21">
        <f t="shared" si="55"/>
        <v>3301.9499999996542</v>
      </c>
      <c r="S21" s="711">
        <f t="shared" si="56"/>
        <v>3.1000000000003247</v>
      </c>
      <c r="T21" s="712">
        <f t="shared" si="57"/>
        <v>117.35</v>
      </c>
      <c r="U21" s="713">
        <f t="shared" si="94"/>
        <v>3.5556296206524139E-2</v>
      </c>
      <c r="V21" s="419" t="str">
        <f t="shared" si="95"/>
        <v xml:space="preserve">0d 0h 1m </v>
      </c>
      <c r="W21" s="714">
        <f t="shared" si="60"/>
        <v>0.23956489217844612</v>
      </c>
      <c r="X21" s="684"/>
      <c r="Y21" s="688"/>
      <c r="Z21" s="688"/>
      <c r="AA21" s="682"/>
      <c r="AB21" s="682"/>
      <c r="AC21" s="683"/>
      <c r="AD21" t="str">
        <f t="shared" si="85"/>
        <v>W</v>
      </c>
      <c r="AE21">
        <f t="shared" si="61"/>
        <v>100000</v>
      </c>
      <c r="AF21">
        <f t="shared" si="62"/>
        <v>1.0995370394084603E-3</v>
      </c>
      <c r="AG21" s="156">
        <f t="shared" si="63"/>
        <v>1E-4</v>
      </c>
      <c r="AH21">
        <f t="shared" si="64"/>
        <v>82</v>
      </c>
      <c r="AI21">
        <f t="shared" si="65"/>
        <v>1</v>
      </c>
      <c r="AJ21">
        <f t="shared" si="66"/>
        <v>0.01</v>
      </c>
      <c r="AM21">
        <f t="shared" si="67"/>
        <v>99999.999999989523</v>
      </c>
      <c r="AN21" t="str">
        <f t="shared" si="68"/>
        <v>May</v>
      </c>
      <c r="AO21">
        <f t="shared" si="69"/>
        <v>2020</v>
      </c>
      <c r="AP21">
        <f t="shared" si="70"/>
        <v>5</v>
      </c>
      <c r="AQ21" t="str">
        <f>IF(COUNTIF($F$15:F21,F21)=1,B21,"")</f>
        <v/>
      </c>
      <c r="AR21">
        <f t="shared" si="86"/>
        <v>7.0000000000000007E-5</v>
      </c>
      <c r="AS21" s="14">
        <f t="shared" si="71"/>
        <v>43979.337685740742</v>
      </c>
      <c r="AT21" s="35">
        <f t="shared" si="72"/>
        <v>43979.337685740742</v>
      </c>
      <c r="AU21">
        <f t="shared" si="73"/>
        <v>7</v>
      </c>
      <c r="AV21" s="14">
        <f t="shared" si="74"/>
        <v>43952</v>
      </c>
      <c r="AZ21">
        <f t="shared" si="99"/>
        <v>3300.3999999996545</v>
      </c>
      <c r="BA21" s="28">
        <f t="shared" si="100"/>
        <v>155</v>
      </c>
      <c r="BB21">
        <f t="shared" si="77"/>
        <v>-37.65</v>
      </c>
      <c r="BC21">
        <f t="shared" si="98"/>
        <v>0</v>
      </c>
      <c r="BD21">
        <f t="shared" si="78"/>
        <v>117.35</v>
      </c>
      <c r="BE21">
        <f t="shared" si="79"/>
        <v>3.5556296206524139E-2</v>
      </c>
      <c r="BF21">
        <f t="shared" si="80"/>
        <v>7</v>
      </c>
      <c r="BG21">
        <f t="shared" si="87"/>
        <v>49101.99</v>
      </c>
      <c r="BH21">
        <f t="shared" si="97"/>
        <v>49101.99</v>
      </c>
      <c r="BI21">
        <f t="shared" si="101"/>
        <v>6.7215198406411936E-2</v>
      </c>
      <c r="BK21">
        <f t="shared" si="81"/>
        <v>1</v>
      </c>
      <c r="BL21">
        <f t="shared" si="89"/>
        <v>0</v>
      </c>
      <c r="BM21">
        <f t="shared" si="90"/>
        <v>0</v>
      </c>
      <c r="BN21">
        <f t="shared" si="91"/>
        <v>1</v>
      </c>
      <c r="BO21">
        <f t="shared" si="92"/>
        <v>117.35</v>
      </c>
      <c r="BP21">
        <f t="shared" si="82"/>
        <v>0</v>
      </c>
      <c r="BQ21">
        <f t="shared" si="83"/>
        <v>1</v>
      </c>
      <c r="BR21">
        <f>IFERROR(MAX($BG$14:BG21),"")</f>
        <v>50000</v>
      </c>
      <c r="BS21">
        <f t="shared" si="84"/>
        <v>-1.7960200000000041E-2</v>
      </c>
    </row>
    <row r="22" spans="2:71" ht="21.95" customHeight="1">
      <c r="B22" s="158">
        <f t="shared" si="93"/>
        <v>8</v>
      </c>
      <c r="C22" s="345">
        <v>43979.341828703706</v>
      </c>
      <c r="D22" s="346" t="s">
        <v>3</v>
      </c>
      <c r="E22" s="347">
        <v>5</v>
      </c>
      <c r="F22" s="348" t="s">
        <v>474</v>
      </c>
      <c r="G22" s="349">
        <v>0.66076000000000001</v>
      </c>
      <c r="H22" s="349">
        <v>0</v>
      </c>
      <c r="I22" s="349">
        <v>0</v>
      </c>
      <c r="J22" s="350">
        <v>43979.378842592596</v>
      </c>
      <c r="K22" s="349">
        <v>0.66144999999999998</v>
      </c>
      <c r="L22" s="351">
        <v>-37.65</v>
      </c>
      <c r="M22" s="352">
        <v>345</v>
      </c>
      <c r="N22" s="353"/>
      <c r="O22" s="354"/>
      <c r="P22">
        <f t="shared" si="53"/>
        <v>6.8999999999996842E-4</v>
      </c>
      <c r="Q22">
        <f t="shared" si="54"/>
        <v>3303.8000000001516</v>
      </c>
      <c r="R22">
        <f t="shared" si="55"/>
        <v>3307.2500000001514</v>
      </c>
      <c r="S22" s="711">
        <f t="shared" si="56"/>
        <v>6.8999999999996842</v>
      </c>
      <c r="T22" s="712">
        <f t="shared" si="57"/>
        <v>307.35000000000002</v>
      </c>
      <c r="U22" s="713">
        <f t="shared" si="94"/>
        <v>9.3029239058050106E-2</v>
      </c>
      <c r="V22" s="419" t="str">
        <f t="shared" si="95"/>
        <v xml:space="preserve">0d 0h 53m </v>
      </c>
      <c r="W22" s="714">
        <f t="shared" si="60"/>
        <v>0.62594204430411071</v>
      </c>
      <c r="X22" s="684"/>
      <c r="Y22" s="688"/>
      <c r="Z22" s="688"/>
      <c r="AA22" s="682"/>
      <c r="AB22" s="682"/>
      <c r="AC22" s="683"/>
      <c r="AD22" t="str">
        <f t="shared" si="85"/>
        <v>W</v>
      </c>
      <c r="AE22">
        <f t="shared" si="61"/>
        <v>100000</v>
      </c>
      <c r="AF22">
        <f t="shared" si="62"/>
        <v>3.701388889021473E-2</v>
      </c>
      <c r="AG22" s="156">
        <f t="shared" si="63"/>
        <v>1E-4</v>
      </c>
      <c r="AH22">
        <f t="shared" si="64"/>
        <v>82</v>
      </c>
      <c r="AI22">
        <f t="shared" si="65"/>
        <v>1</v>
      </c>
      <c r="AJ22">
        <f t="shared" si="66"/>
        <v>0.01</v>
      </c>
      <c r="AM22">
        <f t="shared" si="67"/>
        <v>100000.00000000458</v>
      </c>
      <c r="AN22" t="str">
        <f t="shared" si="68"/>
        <v>May</v>
      </c>
      <c r="AO22">
        <f t="shared" si="69"/>
        <v>2020</v>
      </c>
      <c r="AP22">
        <f t="shared" si="70"/>
        <v>5</v>
      </c>
      <c r="AQ22" t="str">
        <f>IF(COUNTIF($F$15:F22,F22)=1,B22,"")</f>
        <v/>
      </c>
      <c r="AR22">
        <f t="shared" si="86"/>
        <v>8.0000000000000007E-5</v>
      </c>
      <c r="AS22" s="14">
        <f t="shared" si="71"/>
        <v>43979.378922592594</v>
      </c>
      <c r="AT22" s="35">
        <f t="shared" si="72"/>
        <v>43979.378922592594</v>
      </c>
      <c r="AU22">
        <f t="shared" si="73"/>
        <v>8</v>
      </c>
      <c r="AV22" s="14">
        <f t="shared" si="74"/>
        <v>43952</v>
      </c>
      <c r="AZ22">
        <f t="shared" si="99"/>
        <v>3303.8000000001516</v>
      </c>
      <c r="BA22" s="28">
        <f t="shared" si="100"/>
        <v>345</v>
      </c>
      <c r="BB22">
        <f t="shared" si="77"/>
        <v>-37.65</v>
      </c>
      <c r="BC22">
        <f t="shared" si="98"/>
        <v>0</v>
      </c>
      <c r="BD22">
        <f t="shared" si="78"/>
        <v>307.35000000000002</v>
      </c>
      <c r="BE22">
        <f t="shared" si="79"/>
        <v>9.3029239058050106E-2</v>
      </c>
      <c r="BF22">
        <f t="shared" si="80"/>
        <v>8</v>
      </c>
      <c r="BG22">
        <f t="shared" si="87"/>
        <v>49409.34</v>
      </c>
      <c r="BH22">
        <f t="shared" si="97"/>
        <v>49409.34</v>
      </c>
      <c r="BI22">
        <f t="shared" si="101"/>
        <v>6.6865900252870245E-2</v>
      </c>
      <c r="BK22">
        <f t="shared" si="81"/>
        <v>1</v>
      </c>
      <c r="BL22">
        <f t="shared" si="89"/>
        <v>0</v>
      </c>
      <c r="BM22">
        <f t="shared" si="90"/>
        <v>0</v>
      </c>
      <c r="BN22">
        <f t="shared" si="91"/>
        <v>2</v>
      </c>
      <c r="BO22">
        <f t="shared" si="92"/>
        <v>424.70000000000005</v>
      </c>
      <c r="BP22">
        <f t="shared" si="82"/>
        <v>0</v>
      </c>
      <c r="BQ22">
        <f t="shared" si="83"/>
        <v>2</v>
      </c>
      <c r="BR22">
        <f>IFERROR(MAX($BG$14:BG22),"")</f>
        <v>50000</v>
      </c>
      <c r="BS22">
        <f t="shared" si="84"/>
        <v>-1.1813200000000071E-2</v>
      </c>
    </row>
    <row r="23" spans="2:71" ht="21.95" customHeight="1">
      <c r="B23" s="158">
        <f t="shared" si="93"/>
        <v>9</v>
      </c>
      <c r="C23" s="345">
        <v>43979.472870370373</v>
      </c>
      <c r="D23" s="346" t="s">
        <v>3</v>
      </c>
      <c r="E23" s="347">
        <v>5</v>
      </c>
      <c r="F23" s="348" t="s">
        <v>474</v>
      </c>
      <c r="G23" s="349">
        <v>0.66019000000000005</v>
      </c>
      <c r="H23" s="349">
        <v>0</v>
      </c>
      <c r="I23" s="349">
        <v>0</v>
      </c>
      <c r="J23" s="350">
        <v>43979.481053240743</v>
      </c>
      <c r="K23" s="349">
        <v>0.65959000000000001</v>
      </c>
      <c r="L23" s="351">
        <v>-37.65</v>
      </c>
      <c r="M23" s="352">
        <v>-300</v>
      </c>
      <c r="N23" s="353"/>
      <c r="O23" s="354"/>
      <c r="P23">
        <f t="shared" si="53"/>
        <v>-6.0000000000004494E-4</v>
      </c>
      <c r="Q23">
        <f t="shared" si="54"/>
        <v>3300.9499999997529</v>
      </c>
      <c r="R23">
        <f t="shared" si="55"/>
        <v>3297.9499999997533</v>
      </c>
      <c r="S23" s="711">
        <f t="shared" si="56"/>
        <v>-6.0000000000004494</v>
      </c>
      <c r="T23" s="712">
        <f t="shared" si="57"/>
        <v>-337.65</v>
      </c>
      <c r="U23" s="713">
        <f t="shared" si="94"/>
        <v>-0.10228873506112642</v>
      </c>
      <c r="V23" s="419" t="str">
        <f t="shared" si="95"/>
        <v xml:space="preserve">0d 0h 11m </v>
      </c>
      <c r="W23" s="714">
        <f t="shared" si="60"/>
        <v>-0.68337281979479991</v>
      </c>
      <c r="X23" s="684"/>
      <c r="Y23" s="688" t="s">
        <v>52</v>
      </c>
      <c r="Z23" s="688" t="s">
        <v>113</v>
      </c>
      <c r="AA23" s="682"/>
      <c r="AB23" s="682"/>
      <c r="AC23" s="683"/>
      <c r="AD23" t="str">
        <f t="shared" si="85"/>
        <v>L</v>
      </c>
      <c r="AE23">
        <f t="shared" si="61"/>
        <v>100000</v>
      </c>
      <c r="AF23">
        <f t="shared" si="62"/>
        <v>8.182870369637385E-3</v>
      </c>
      <c r="AG23" s="156">
        <f t="shared" si="63"/>
        <v>1E-4</v>
      </c>
      <c r="AH23">
        <f t="shared" si="64"/>
        <v>82</v>
      </c>
      <c r="AI23">
        <f t="shared" si="65"/>
        <v>1</v>
      </c>
      <c r="AJ23">
        <f t="shared" si="66"/>
        <v>0.01</v>
      </c>
      <c r="AM23">
        <f t="shared" si="67"/>
        <v>99999.999999992506</v>
      </c>
      <c r="AN23" t="str">
        <f t="shared" si="68"/>
        <v>May</v>
      </c>
      <c r="AO23">
        <f t="shared" si="69"/>
        <v>2020</v>
      </c>
      <c r="AP23">
        <f t="shared" si="70"/>
        <v>5</v>
      </c>
      <c r="AQ23" t="str">
        <f>IF(COUNTIF($F$15:F23,F23)=1,B23,"")</f>
        <v/>
      </c>
      <c r="AR23">
        <f t="shared" si="86"/>
        <v>9.0000000000000006E-5</v>
      </c>
      <c r="AS23" s="14">
        <f t="shared" si="71"/>
        <v>43979.481143240744</v>
      </c>
      <c r="AT23" s="35">
        <f t="shared" si="72"/>
        <v>43979.481143240744</v>
      </c>
      <c r="AU23">
        <f t="shared" si="73"/>
        <v>9</v>
      </c>
      <c r="AV23" s="14">
        <f t="shared" si="74"/>
        <v>43952</v>
      </c>
      <c r="AZ23">
        <f t="shared" si="99"/>
        <v>3300.9499999997529</v>
      </c>
      <c r="BA23" s="28">
        <f t="shared" si="100"/>
        <v>-300</v>
      </c>
      <c r="BB23">
        <f t="shared" si="77"/>
        <v>-37.65</v>
      </c>
      <c r="BC23">
        <f t="shared" si="98"/>
        <v>0</v>
      </c>
      <c r="BD23">
        <f t="shared" si="78"/>
        <v>-337.65</v>
      </c>
      <c r="BE23">
        <f t="shared" si="79"/>
        <v>-0.10228873506112642</v>
      </c>
      <c r="BF23">
        <f t="shared" si="80"/>
        <v>9</v>
      </c>
      <c r="BG23">
        <f t="shared" si="87"/>
        <v>49071.689999999995</v>
      </c>
      <c r="BH23">
        <f t="shared" si="97"/>
        <v>49071.689999999995</v>
      </c>
      <c r="BI23">
        <f t="shared" si="101"/>
        <v>6.7267909460622888E-2</v>
      </c>
      <c r="BK23">
        <f t="shared" si="81"/>
        <v>-1</v>
      </c>
      <c r="BL23">
        <f t="shared" si="89"/>
        <v>-1</v>
      </c>
      <c r="BM23">
        <f t="shared" si="90"/>
        <v>-337.65</v>
      </c>
      <c r="BN23">
        <f t="shared" si="91"/>
        <v>0</v>
      </c>
      <c r="BO23">
        <f t="shared" si="92"/>
        <v>0</v>
      </c>
      <c r="BP23">
        <f t="shared" si="82"/>
        <v>0</v>
      </c>
      <c r="BQ23">
        <f t="shared" si="83"/>
        <v>-1</v>
      </c>
      <c r="BR23">
        <f>IFERROR(MAX($BG$14:BG23),"")</f>
        <v>50000</v>
      </c>
      <c r="BS23">
        <f t="shared" si="84"/>
        <v>-1.8566200000000099E-2</v>
      </c>
    </row>
    <row r="24" spans="2:71" ht="21.95" customHeight="1">
      <c r="B24" s="158">
        <f t="shared" si="93"/>
        <v>10</v>
      </c>
      <c r="C24" s="345">
        <v>43979.50408564815</v>
      </c>
      <c r="D24" s="346" t="s">
        <v>3</v>
      </c>
      <c r="E24" s="347">
        <v>5</v>
      </c>
      <c r="F24" s="348" t="s">
        <v>174</v>
      </c>
      <c r="G24" s="349">
        <v>1.0997300000000001</v>
      </c>
      <c r="H24" s="349">
        <v>0</v>
      </c>
      <c r="I24" s="349">
        <v>0</v>
      </c>
      <c r="J24" s="350">
        <v>43979.518819444442</v>
      </c>
      <c r="K24" s="349">
        <v>1.1011299999999999</v>
      </c>
      <c r="L24" s="351">
        <v>-37.65</v>
      </c>
      <c r="M24" s="352">
        <v>700</v>
      </c>
      <c r="N24" s="353"/>
      <c r="O24" s="354"/>
      <c r="P24">
        <f t="shared" si="53"/>
        <v>1.3999999999998458E-3</v>
      </c>
      <c r="Q24">
        <f t="shared" si="54"/>
        <v>5498.6500000006063</v>
      </c>
      <c r="R24">
        <f t="shared" si="55"/>
        <v>5505.6500000006054</v>
      </c>
      <c r="S24" s="711">
        <f t="shared" si="56"/>
        <v>13.999999999998458</v>
      </c>
      <c r="T24" s="712">
        <f t="shared" si="57"/>
        <v>662.35</v>
      </c>
      <c r="U24" s="713">
        <f t="shared" si="94"/>
        <v>0.12045683940602275</v>
      </c>
      <c r="V24" s="419" t="str">
        <f t="shared" si="95"/>
        <v xml:space="preserve">0d 0h 21m </v>
      </c>
      <c r="W24" s="714">
        <f t="shared" si="60"/>
        <v>1.3497599124872204</v>
      </c>
      <c r="X24" s="684" t="s">
        <v>156</v>
      </c>
      <c r="Y24" s="688" t="s">
        <v>56</v>
      </c>
      <c r="Z24" s="688" t="s">
        <v>113</v>
      </c>
      <c r="AA24" s="682"/>
      <c r="AB24" s="682"/>
      <c r="AC24" s="683"/>
      <c r="AD24" t="str">
        <f t="shared" si="85"/>
        <v>W</v>
      </c>
      <c r="AE24">
        <f t="shared" si="61"/>
        <v>100000</v>
      </c>
      <c r="AF24">
        <f t="shared" si="62"/>
        <v>1.4733796291693579E-2</v>
      </c>
      <c r="AG24" s="156">
        <f t="shared" si="63"/>
        <v>1E-4</v>
      </c>
      <c r="AH24">
        <f t="shared" si="64"/>
        <v>109</v>
      </c>
      <c r="AI24">
        <f t="shared" si="65"/>
        <v>1</v>
      </c>
      <c r="AJ24">
        <f t="shared" si="66"/>
        <v>0.01</v>
      </c>
      <c r="AM24">
        <f t="shared" si="67"/>
        <v>100000.00000001102</v>
      </c>
      <c r="AN24" t="str">
        <f t="shared" si="68"/>
        <v>May</v>
      </c>
      <c r="AO24">
        <f t="shared" si="69"/>
        <v>2020</v>
      </c>
      <c r="AP24">
        <f t="shared" si="70"/>
        <v>5</v>
      </c>
      <c r="AQ24" t="str">
        <f>IF(COUNTIF($F$15:F24,F24)=1,B24,"")</f>
        <v/>
      </c>
      <c r="AR24">
        <f t="shared" si="86"/>
        <v>1E-4</v>
      </c>
      <c r="AS24" s="14">
        <f t="shared" si="71"/>
        <v>43979.518919444439</v>
      </c>
      <c r="AT24" s="35">
        <f t="shared" si="72"/>
        <v>43979.518906296296</v>
      </c>
      <c r="AU24">
        <f t="shared" si="73"/>
        <v>11</v>
      </c>
      <c r="AV24" s="14">
        <f t="shared" si="74"/>
        <v>43952</v>
      </c>
      <c r="AZ24">
        <f t="shared" si="99"/>
        <v>5501.1500000003462</v>
      </c>
      <c r="BA24" s="28">
        <f t="shared" si="100"/>
        <v>470</v>
      </c>
      <c r="BB24">
        <f t="shared" si="77"/>
        <v>-37.65</v>
      </c>
      <c r="BC24">
        <f t="shared" si="98"/>
        <v>0</v>
      </c>
      <c r="BD24">
        <f t="shared" si="78"/>
        <v>432.35</v>
      </c>
      <c r="BE24">
        <f t="shared" si="79"/>
        <v>7.8592657898798032E-2</v>
      </c>
      <c r="BF24">
        <f t="shared" si="80"/>
        <v>10</v>
      </c>
      <c r="BG24">
        <f t="shared" si="87"/>
        <v>49504.039999999994</v>
      </c>
      <c r="BH24">
        <f t="shared" si="97"/>
        <v>49504.039999999994</v>
      </c>
      <c r="BI24">
        <f t="shared" si="101"/>
        <v>0.11112527381604304</v>
      </c>
      <c r="BK24">
        <f t="shared" si="81"/>
        <v>1</v>
      </c>
      <c r="BL24">
        <f t="shared" si="89"/>
        <v>0</v>
      </c>
      <c r="BM24">
        <f t="shared" si="90"/>
        <v>0</v>
      </c>
      <c r="BN24">
        <f t="shared" si="91"/>
        <v>1</v>
      </c>
      <c r="BO24">
        <f t="shared" si="92"/>
        <v>432.35</v>
      </c>
      <c r="BP24">
        <f t="shared" si="82"/>
        <v>0</v>
      </c>
      <c r="BQ24">
        <f t="shared" si="83"/>
        <v>1</v>
      </c>
      <c r="BR24">
        <f>IFERROR(MAX($BG$14:BG24),"")</f>
        <v>50000</v>
      </c>
      <c r="BS24">
        <f t="shared" si="84"/>
        <v>-9.9192000000001279E-3</v>
      </c>
    </row>
    <row r="25" spans="2:71" ht="21.95" customHeight="1">
      <c r="B25" s="158">
        <f t="shared" si="93"/>
        <v>11</v>
      </c>
      <c r="C25" s="345">
        <v>43979.509872685187</v>
      </c>
      <c r="D25" s="346" t="s">
        <v>3</v>
      </c>
      <c r="E25" s="347">
        <v>5</v>
      </c>
      <c r="F25" s="348" t="s">
        <v>174</v>
      </c>
      <c r="G25" s="349">
        <v>1.10023</v>
      </c>
      <c r="H25" s="349">
        <v>0</v>
      </c>
      <c r="I25" s="349">
        <v>0</v>
      </c>
      <c r="J25" s="350">
        <v>43979.518796296295</v>
      </c>
      <c r="K25" s="349">
        <v>1.10117</v>
      </c>
      <c r="L25" s="351">
        <v>-37.65</v>
      </c>
      <c r="M25" s="352">
        <v>470</v>
      </c>
      <c r="N25" s="353"/>
      <c r="O25" s="354"/>
      <c r="P25">
        <f t="shared" si="53"/>
        <v>9.3999999999994088E-4</v>
      </c>
      <c r="Q25">
        <f t="shared" si="54"/>
        <v>5501.1500000003462</v>
      </c>
      <c r="R25">
        <f t="shared" si="55"/>
        <v>5505.850000000346</v>
      </c>
      <c r="S25" s="711">
        <f t="shared" si="56"/>
        <v>9.3999999999994088</v>
      </c>
      <c r="T25" s="712">
        <f t="shared" si="57"/>
        <v>432.35</v>
      </c>
      <c r="U25" s="713">
        <f t="shared" si="94"/>
        <v>7.8592657898798032E-2</v>
      </c>
      <c r="V25" s="419" t="str">
        <f t="shared" si="95"/>
        <v xml:space="preserve">0d 0h 12m </v>
      </c>
      <c r="W25" s="714">
        <f t="shared" si="60"/>
        <v>0.87336306289345289</v>
      </c>
      <c r="X25" s="684" t="s">
        <v>156</v>
      </c>
      <c r="Y25" s="688" t="s">
        <v>50</v>
      </c>
      <c r="Z25" s="688" t="s">
        <v>113</v>
      </c>
      <c r="AA25" s="682"/>
      <c r="AB25" s="682"/>
      <c r="AC25" s="683"/>
      <c r="AD25" t="str">
        <f t="shared" si="85"/>
        <v>W</v>
      </c>
      <c r="AE25">
        <f t="shared" si="61"/>
        <v>100000</v>
      </c>
      <c r="AF25">
        <f t="shared" si="62"/>
        <v>8.923611108912155E-3</v>
      </c>
      <c r="AG25" s="156">
        <f t="shared" si="63"/>
        <v>1E-4</v>
      </c>
      <c r="AH25">
        <f t="shared" si="64"/>
        <v>109</v>
      </c>
      <c r="AI25">
        <f t="shared" si="65"/>
        <v>1</v>
      </c>
      <c r="AJ25">
        <f t="shared" si="66"/>
        <v>0.01</v>
      </c>
      <c r="AM25">
        <f t="shared" si="67"/>
        <v>100000.00000000629</v>
      </c>
      <c r="AN25" t="str">
        <f t="shared" si="68"/>
        <v>May</v>
      </c>
      <c r="AO25">
        <f t="shared" si="69"/>
        <v>2020</v>
      </c>
      <c r="AP25">
        <f t="shared" si="70"/>
        <v>5</v>
      </c>
      <c r="AQ25" t="str">
        <f>IF(COUNTIF($F$15:F25,F25)=1,B25,"")</f>
        <v/>
      </c>
      <c r="AR25">
        <f t="shared" si="86"/>
        <v>1.1E-4</v>
      </c>
      <c r="AS25" s="14">
        <f t="shared" si="71"/>
        <v>43979.518906296296</v>
      </c>
      <c r="AT25" s="35">
        <f t="shared" si="72"/>
        <v>43979.518919444439</v>
      </c>
      <c r="AU25">
        <f t="shared" si="73"/>
        <v>10</v>
      </c>
      <c r="AV25" s="14">
        <f t="shared" si="74"/>
        <v>43952</v>
      </c>
      <c r="AZ25">
        <f t="shared" si="99"/>
        <v>5498.6500000006063</v>
      </c>
      <c r="BA25" s="28">
        <f t="shared" si="100"/>
        <v>700</v>
      </c>
      <c r="BB25">
        <f t="shared" si="77"/>
        <v>-37.65</v>
      </c>
      <c r="BC25">
        <f t="shared" si="98"/>
        <v>0</v>
      </c>
      <c r="BD25">
        <f t="shared" si="78"/>
        <v>662.35</v>
      </c>
      <c r="BE25">
        <f t="shared" si="79"/>
        <v>0.12045683940602275</v>
      </c>
      <c r="BF25">
        <f t="shared" si="80"/>
        <v>11</v>
      </c>
      <c r="BG25">
        <f t="shared" si="87"/>
        <v>50166.389999999992</v>
      </c>
      <c r="BH25">
        <f t="shared" si="97"/>
        <v>50166.389999999992</v>
      </c>
      <c r="BI25">
        <f t="shared" si="101"/>
        <v>0.10960824568003812</v>
      </c>
      <c r="BK25">
        <f t="shared" si="81"/>
        <v>1</v>
      </c>
      <c r="BL25">
        <f t="shared" si="89"/>
        <v>0</v>
      </c>
      <c r="BM25">
        <f t="shared" si="90"/>
        <v>0</v>
      </c>
      <c r="BN25">
        <f t="shared" si="91"/>
        <v>2</v>
      </c>
      <c r="BO25">
        <f t="shared" si="92"/>
        <v>1094.7</v>
      </c>
      <c r="BP25">
        <f t="shared" si="82"/>
        <v>0</v>
      </c>
      <c r="BQ25">
        <f t="shared" si="83"/>
        <v>2</v>
      </c>
      <c r="BR25">
        <f>IFERROR(MAX($BG$14:BG25),"")</f>
        <v>50166.389999999992</v>
      </c>
      <c r="BS25">
        <f t="shared" si="84"/>
        <v>0</v>
      </c>
    </row>
    <row r="26" spans="2:71" ht="21.95" customHeight="1">
      <c r="B26" s="158">
        <f t="shared" si="93"/>
        <v>12</v>
      </c>
      <c r="C26" s="345">
        <v>43979.525752314818</v>
      </c>
      <c r="D26" s="346" t="s">
        <v>3</v>
      </c>
      <c r="E26" s="347">
        <v>5</v>
      </c>
      <c r="F26" s="348" t="s">
        <v>174</v>
      </c>
      <c r="G26" s="349">
        <v>1.1007499999999999</v>
      </c>
      <c r="H26" s="349">
        <v>1.1005</v>
      </c>
      <c r="I26" s="349">
        <v>0</v>
      </c>
      <c r="J26" s="350">
        <v>43979.528946759259</v>
      </c>
      <c r="K26" s="349">
        <v>1.10117</v>
      </c>
      <c r="L26" s="351">
        <v>-37.65</v>
      </c>
      <c r="M26" s="352">
        <v>210</v>
      </c>
      <c r="N26" s="353"/>
      <c r="O26" s="354"/>
      <c r="P26">
        <f t="shared" si="53"/>
        <v>4.2000000000008697E-4</v>
      </c>
      <c r="Q26">
        <f t="shared" si="54"/>
        <v>5503.7499999988595</v>
      </c>
      <c r="R26">
        <f t="shared" si="55"/>
        <v>5505.8499999988589</v>
      </c>
      <c r="S26" s="711">
        <f t="shared" si="56"/>
        <v>4.2000000000008697</v>
      </c>
      <c r="T26" s="712">
        <f t="shared" si="57"/>
        <v>172.35</v>
      </c>
      <c r="U26" s="713">
        <f t="shared" si="94"/>
        <v>3.1315012491489568E-2</v>
      </c>
      <c r="V26" s="419" t="str">
        <f t="shared" si="95"/>
        <v xml:space="preserve">0d 0h 4m </v>
      </c>
      <c r="W26" s="714">
        <f t="shared" si="60"/>
        <v>0.34355671197389331</v>
      </c>
      <c r="X26" s="684" t="s">
        <v>156</v>
      </c>
      <c r="Y26" s="688"/>
      <c r="Z26" s="688"/>
      <c r="AA26" s="682"/>
      <c r="AB26" s="682"/>
      <c r="AC26" s="683"/>
      <c r="AD26" t="str">
        <f t="shared" si="85"/>
        <v>W</v>
      </c>
      <c r="AE26">
        <f t="shared" si="61"/>
        <v>100000</v>
      </c>
      <c r="AF26">
        <f t="shared" si="62"/>
        <v>3.1944444417604245E-3</v>
      </c>
      <c r="AG26" s="156">
        <f t="shared" si="63"/>
        <v>1E-4</v>
      </c>
      <c r="AH26">
        <f t="shared" si="64"/>
        <v>109</v>
      </c>
      <c r="AI26">
        <f t="shared" si="65"/>
        <v>1</v>
      </c>
      <c r="AJ26">
        <f t="shared" si="66"/>
        <v>0.01</v>
      </c>
      <c r="AM26">
        <f t="shared" si="67"/>
        <v>99999.999999979293</v>
      </c>
      <c r="AN26" t="str">
        <f t="shared" si="68"/>
        <v>May</v>
      </c>
      <c r="AO26">
        <f t="shared" si="69"/>
        <v>2020</v>
      </c>
      <c r="AP26">
        <f t="shared" si="70"/>
        <v>5</v>
      </c>
      <c r="AQ26" t="str">
        <f>IF(COUNTIF($F$15:F26,F26)=1,B26,"")</f>
        <v/>
      </c>
      <c r="AR26">
        <f t="shared" si="86"/>
        <v>1.2E-4</v>
      </c>
      <c r="AS26" s="14">
        <f t="shared" si="71"/>
        <v>43979.529066759256</v>
      </c>
      <c r="AT26" s="35">
        <f t="shared" si="72"/>
        <v>43979.529066759256</v>
      </c>
      <c r="AU26">
        <f t="shared" si="73"/>
        <v>12</v>
      </c>
      <c r="AV26" s="14">
        <f t="shared" si="74"/>
        <v>43952</v>
      </c>
      <c r="AZ26">
        <f t="shared" si="99"/>
        <v>5503.7499999988595</v>
      </c>
      <c r="BA26" s="28">
        <f t="shared" si="100"/>
        <v>210</v>
      </c>
      <c r="BB26">
        <f t="shared" si="77"/>
        <v>-37.65</v>
      </c>
      <c r="BC26">
        <f t="shared" si="98"/>
        <v>0</v>
      </c>
      <c r="BD26">
        <f t="shared" si="78"/>
        <v>172.35</v>
      </c>
      <c r="BE26">
        <f t="shared" si="79"/>
        <v>3.1315012491489568E-2</v>
      </c>
      <c r="BF26">
        <f t="shared" si="80"/>
        <v>12</v>
      </c>
      <c r="BG26">
        <f t="shared" si="87"/>
        <v>50338.739999999991</v>
      </c>
      <c r="BH26">
        <f t="shared" si="97"/>
        <v>50338.739999999991</v>
      </c>
      <c r="BI26">
        <f t="shared" si="101"/>
        <v>0.10933428210556841</v>
      </c>
      <c r="BK26">
        <f t="shared" si="81"/>
        <v>1</v>
      </c>
      <c r="BL26">
        <f t="shared" si="89"/>
        <v>0</v>
      </c>
      <c r="BM26">
        <f t="shared" si="90"/>
        <v>0</v>
      </c>
      <c r="BN26">
        <f t="shared" si="91"/>
        <v>3</v>
      </c>
      <c r="BO26">
        <f t="shared" si="92"/>
        <v>1267.05</v>
      </c>
      <c r="BP26">
        <f t="shared" si="82"/>
        <v>0</v>
      </c>
      <c r="BQ26">
        <f t="shared" si="83"/>
        <v>3</v>
      </c>
      <c r="BR26">
        <f>IFERROR(MAX($BG$14:BG26),"")</f>
        <v>50338.739999999991</v>
      </c>
      <c r="BS26">
        <f t="shared" si="84"/>
        <v>0</v>
      </c>
    </row>
    <row r="27" spans="2:71" ht="21.95" customHeight="1">
      <c r="B27" s="158">
        <f t="shared" si="93"/>
        <v>13</v>
      </c>
      <c r="C27" s="345">
        <v>43979.529444444444</v>
      </c>
      <c r="D27" s="346" t="s">
        <v>7</v>
      </c>
      <c r="E27" s="347">
        <v>5</v>
      </c>
      <c r="F27" s="348" t="s">
        <v>174</v>
      </c>
      <c r="G27" s="349">
        <v>1.10107</v>
      </c>
      <c r="H27" s="349">
        <v>0</v>
      </c>
      <c r="I27" s="349">
        <v>0</v>
      </c>
      <c r="J27" s="350">
        <v>43979.529722222222</v>
      </c>
      <c r="K27" s="349">
        <v>1.1009</v>
      </c>
      <c r="L27" s="351">
        <v>-37.65</v>
      </c>
      <c r="M27" s="352">
        <v>85</v>
      </c>
      <c r="N27" s="353"/>
      <c r="O27" s="354"/>
      <c r="P27">
        <f t="shared" si="53"/>
        <v>1.7000000000000348E-4</v>
      </c>
      <c r="Q27">
        <f t="shared" si="54"/>
        <v>5505.3499999998876</v>
      </c>
      <c r="R27">
        <f t="shared" si="55"/>
        <v>5504.4999999998872</v>
      </c>
      <c r="S27" s="711">
        <f t="shared" si="56"/>
        <v>1.7000000000000348</v>
      </c>
      <c r="T27" s="712">
        <f t="shared" si="57"/>
        <v>47.35</v>
      </c>
      <c r="U27" s="713">
        <f t="shared" si="94"/>
        <v>8.6007247495619651E-3</v>
      </c>
      <c r="V27" s="419" t="str">
        <f t="shared" si="95"/>
        <v xml:space="preserve">0d 0h 0m </v>
      </c>
      <c r="W27" s="714">
        <f t="shared" si="60"/>
        <v>9.4062743723819883E-2</v>
      </c>
      <c r="X27" s="684"/>
      <c r="Y27" s="688"/>
      <c r="Z27" s="688"/>
      <c r="AA27" s="682"/>
      <c r="AB27" s="682"/>
      <c r="AC27" s="683"/>
      <c r="AD27" t="str">
        <f t="shared" si="85"/>
        <v>W</v>
      </c>
      <c r="AE27">
        <f t="shared" si="61"/>
        <v>100000</v>
      </c>
      <c r="AF27">
        <f t="shared" si="62"/>
        <v>2.7777777722803876E-4</v>
      </c>
      <c r="AG27" s="156">
        <f t="shared" si="63"/>
        <v>1E-4</v>
      </c>
      <c r="AH27">
        <f t="shared" si="64"/>
        <v>109</v>
      </c>
      <c r="AI27">
        <f t="shared" si="65"/>
        <v>1</v>
      </c>
      <c r="AJ27">
        <f t="shared" si="66"/>
        <v>0.01</v>
      </c>
      <c r="AM27">
        <f t="shared" si="67"/>
        <v>99999.999999997948</v>
      </c>
      <c r="AN27" t="str">
        <f t="shared" si="68"/>
        <v>May</v>
      </c>
      <c r="AO27">
        <f t="shared" si="69"/>
        <v>2020</v>
      </c>
      <c r="AP27">
        <f t="shared" si="70"/>
        <v>5</v>
      </c>
      <c r="AQ27" t="str">
        <f>IF(COUNTIF($F$15:F27,F27)=1,B27,"")</f>
        <v/>
      </c>
      <c r="AR27">
        <f t="shared" si="86"/>
        <v>1.3000000000000002E-4</v>
      </c>
      <c r="AS27" s="14">
        <f t="shared" si="71"/>
        <v>43979.529852222222</v>
      </c>
      <c r="AT27" s="35">
        <f t="shared" si="72"/>
        <v>43979.529852222222</v>
      </c>
      <c r="AU27">
        <f t="shared" si="73"/>
        <v>13</v>
      </c>
      <c r="AV27" s="14">
        <f t="shared" si="74"/>
        <v>43952</v>
      </c>
      <c r="AZ27">
        <f t="shared" si="99"/>
        <v>5505.3499999998876</v>
      </c>
      <c r="BA27" s="28">
        <f t="shared" si="100"/>
        <v>85</v>
      </c>
      <c r="BB27">
        <f t="shared" si="77"/>
        <v>-37.65</v>
      </c>
      <c r="BC27">
        <f t="shared" si="98"/>
        <v>0</v>
      </c>
      <c r="BD27">
        <f t="shared" si="78"/>
        <v>47.35</v>
      </c>
      <c r="BE27">
        <f t="shared" si="79"/>
        <v>8.6007247495619651E-3</v>
      </c>
      <c r="BF27">
        <f t="shared" si="80"/>
        <v>13</v>
      </c>
      <c r="BG27">
        <f t="shared" si="87"/>
        <v>50386.089999999989</v>
      </c>
      <c r="BH27">
        <f t="shared" si="97"/>
        <v>50386.089999999989</v>
      </c>
      <c r="BI27">
        <f t="shared" si="101"/>
        <v>0.10926329072170293</v>
      </c>
      <c r="BK27">
        <f t="shared" si="81"/>
        <v>1</v>
      </c>
      <c r="BL27">
        <f t="shared" si="89"/>
        <v>0</v>
      </c>
      <c r="BM27">
        <f t="shared" si="90"/>
        <v>0</v>
      </c>
      <c r="BN27">
        <f t="shared" si="91"/>
        <v>4</v>
      </c>
      <c r="BO27">
        <f t="shared" si="92"/>
        <v>1314.3999999999999</v>
      </c>
      <c r="BP27">
        <f t="shared" si="82"/>
        <v>0</v>
      </c>
      <c r="BQ27">
        <f t="shared" si="83"/>
        <v>4</v>
      </c>
      <c r="BR27">
        <f>IFERROR(MAX($BG$14:BG27),"")</f>
        <v>50386.089999999989</v>
      </c>
      <c r="BS27">
        <f t="shared" si="84"/>
        <v>0</v>
      </c>
    </row>
    <row r="28" spans="2:71" ht="21.95" customHeight="1">
      <c r="B28" s="158">
        <f t="shared" si="93"/>
        <v>14</v>
      </c>
      <c r="C28" s="345">
        <v>43979.53230324074</v>
      </c>
      <c r="D28" s="346" t="s">
        <v>7</v>
      </c>
      <c r="E28" s="347">
        <v>5</v>
      </c>
      <c r="F28" s="348" t="s">
        <v>474</v>
      </c>
      <c r="G28" s="349">
        <v>0.66164999999999996</v>
      </c>
      <c r="H28" s="349">
        <v>0</v>
      </c>
      <c r="I28" s="349">
        <v>0</v>
      </c>
      <c r="J28" s="350">
        <v>43979.538784722223</v>
      </c>
      <c r="K28" s="349">
        <v>0.66142000000000001</v>
      </c>
      <c r="L28" s="351">
        <v>-37.65</v>
      </c>
      <c r="M28" s="352">
        <v>115</v>
      </c>
      <c r="N28" s="353"/>
      <c r="O28" s="354"/>
      <c r="P28">
        <f t="shared" si="53"/>
        <v>2.2999999999995246E-4</v>
      </c>
      <c r="Q28">
        <f t="shared" si="54"/>
        <v>3308.2500000006835</v>
      </c>
      <c r="R28">
        <f t="shared" si="55"/>
        <v>3307.1000000006834</v>
      </c>
      <c r="S28" s="711">
        <f t="shared" si="56"/>
        <v>2.2999999999995246</v>
      </c>
      <c r="T28" s="712">
        <f t="shared" si="57"/>
        <v>77.349999999999994</v>
      </c>
      <c r="U28" s="713">
        <f t="shared" si="94"/>
        <v>2.338094158542553E-2</v>
      </c>
      <c r="V28" s="419" t="str">
        <f t="shared" si="95"/>
        <v xml:space="preserve">0d 0h 9m </v>
      </c>
      <c r="W28" s="714">
        <f t="shared" si="60"/>
        <v>0.15351459103097703</v>
      </c>
      <c r="X28" s="684"/>
      <c r="Y28" s="688"/>
      <c r="Z28" s="688"/>
      <c r="AA28" s="682"/>
      <c r="AB28" s="682"/>
      <c r="AC28" s="683"/>
      <c r="AD28" t="str">
        <f t="shared" si="85"/>
        <v>W</v>
      </c>
      <c r="AE28">
        <f t="shared" si="61"/>
        <v>100000</v>
      </c>
      <c r="AF28">
        <f t="shared" si="62"/>
        <v>6.4814814832061529E-3</v>
      </c>
      <c r="AG28" s="156">
        <f t="shared" si="63"/>
        <v>1E-4</v>
      </c>
      <c r="AH28">
        <f t="shared" si="64"/>
        <v>82</v>
      </c>
      <c r="AI28">
        <f t="shared" si="65"/>
        <v>1</v>
      </c>
      <c r="AJ28">
        <f t="shared" si="66"/>
        <v>0.01</v>
      </c>
      <c r="AM28">
        <f t="shared" si="67"/>
        <v>100000.00000002066</v>
      </c>
      <c r="AN28" t="str">
        <f t="shared" si="68"/>
        <v>May</v>
      </c>
      <c r="AO28">
        <f t="shared" si="69"/>
        <v>2020</v>
      </c>
      <c r="AP28">
        <f t="shared" si="70"/>
        <v>5</v>
      </c>
      <c r="AQ28" t="str">
        <f>IF(COUNTIF($F$15:F28,F28)=1,B28,"")</f>
        <v/>
      </c>
      <c r="AR28">
        <f t="shared" si="86"/>
        <v>1.4000000000000001E-4</v>
      </c>
      <c r="AS28" s="14">
        <f t="shared" si="71"/>
        <v>43979.538924722219</v>
      </c>
      <c r="AT28" s="35">
        <f t="shared" si="72"/>
        <v>43979.538924722219</v>
      </c>
      <c r="AU28">
        <f t="shared" si="73"/>
        <v>14</v>
      </c>
      <c r="AV28" s="14">
        <f t="shared" si="74"/>
        <v>43952</v>
      </c>
      <c r="AZ28">
        <f t="shared" si="99"/>
        <v>3308.2500000006835</v>
      </c>
      <c r="BA28" s="28">
        <f t="shared" si="100"/>
        <v>115</v>
      </c>
      <c r="BB28">
        <f t="shared" si="77"/>
        <v>-37.65</v>
      </c>
      <c r="BC28">
        <f t="shared" si="98"/>
        <v>0</v>
      </c>
      <c r="BD28">
        <f t="shared" si="78"/>
        <v>77.349999999999994</v>
      </c>
      <c r="BE28">
        <f t="shared" si="79"/>
        <v>2.338094158542553E-2</v>
      </c>
      <c r="BF28">
        <f t="shared" si="80"/>
        <v>14</v>
      </c>
      <c r="BG28">
        <f t="shared" si="87"/>
        <v>50463.439999999988</v>
      </c>
      <c r="BH28">
        <f t="shared" si="97"/>
        <v>50463.439999999988</v>
      </c>
      <c r="BI28">
        <f t="shared" si="101"/>
        <v>6.5557361923814242E-2</v>
      </c>
      <c r="BK28">
        <f t="shared" si="81"/>
        <v>1</v>
      </c>
      <c r="BL28">
        <f t="shared" si="89"/>
        <v>0</v>
      </c>
      <c r="BM28">
        <f t="shared" si="90"/>
        <v>0</v>
      </c>
      <c r="BN28">
        <f t="shared" si="91"/>
        <v>5</v>
      </c>
      <c r="BO28">
        <f t="shared" si="92"/>
        <v>1391.7499999999998</v>
      </c>
      <c r="BP28">
        <f t="shared" si="82"/>
        <v>1391.7499999999998</v>
      </c>
      <c r="BQ28">
        <f t="shared" si="83"/>
        <v>5</v>
      </c>
      <c r="BR28">
        <f>IFERROR(MAX($BG$14:BG28),"")</f>
        <v>50463.439999999988</v>
      </c>
      <c r="BS28">
        <f t="shared" si="84"/>
        <v>0</v>
      </c>
    </row>
    <row r="29" spans="2:71" ht="21.95" customHeight="1">
      <c r="B29" s="158">
        <f t="shared" si="93"/>
        <v>15</v>
      </c>
      <c r="C29" s="345">
        <v>43979.545081018521</v>
      </c>
      <c r="D29" s="346" t="s">
        <v>3</v>
      </c>
      <c r="E29" s="347">
        <v>5</v>
      </c>
      <c r="F29" s="348" t="s">
        <v>174</v>
      </c>
      <c r="G29" s="349">
        <v>1.1006800000000001</v>
      </c>
      <c r="H29" s="349">
        <v>0</v>
      </c>
      <c r="I29" s="349">
        <v>0</v>
      </c>
      <c r="J29" s="350">
        <v>43979.547835648147</v>
      </c>
      <c r="K29" s="349">
        <v>1.1005400000000001</v>
      </c>
      <c r="L29" s="351">
        <v>-37.65</v>
      </c>
      <c r="M29" s="352">
        <v>-70</v>
      </c>
      <c r="N29" s="353"/>
      <c r="O29" s="354"/>
      <c r="P29">
        <f t="shared" si="53"/>
        <v>-1.4000000000002899E-4</v>
      </c>
      <c r="Q29">
        <f t="shared" si="54"/>
        <v>5503.3999999988619</v>
      </c>
      <c r="R29">
        <f t="shared" si="55"/>
        <v>5502.6999999988611</v>
      </c>
      <c r="S29" s="711">
        <f t="shared" si="56"/>
        <v>-1.4000000000002899</v>
      </c>
      <c r="T29" s="712">
        <f t="shared" si="57"/>
        <v>-107.65</v>
      </c>
      <c r="U29" s="713">
        <f t="shared" si="94"/>
        <v>-1.9560635243671597E-2</v>
      </c>
      <c r="V29" s="419" t="str">
        <f t="shared" si="95"/>
        <v xml:space="preserve">0d 0h 3m </v>
      </c>
      <c r="W29" s="714">
        <f t="shared" si="60"/>
        <v>-0.21332275405719472</v>
      </c>
      <c r="X29" s="684"/>
      <c r="Y29" s="688" t="s">
        <v>50</v>
      </c>
      <c r="Z29" s="688"/>
      <c r="AA29" s="682"/>
      <c r="AB29" s="682"/>
      <c r="AC29" s="683"/>
      <c r="AD29" t="str">
        <f t="shared" si="85"/>
        <v>L</v>
      </c>
      <c r="AE29">
        <f t="shared" si="61"/>
        <v>100000</v>
      </c>
      <c r="AF29">
        <f t="shared" si="62"/>
        <v>2.7546296259970404E-3</v>
      </c>
      <c r="AG29" s="156">
        <f t="shared" si="63"/>
        <v>1E-4</v>
      </c>
      <c r="AH29">
        <f t="shared" si="64"/>
        <v>109</v>
      </c>
      <c r="AI29">
        <f t="shared" si="65"/>
        <v>1</v>
      </c>
      <c r="AJ29">
        <f t="shared" si="66"/>
        <v>0.01</v>
      </c>
      <c r="AM29">
        <f t="shared" si="67"/>
        <v>99999.999999979293</v>
      </c>
      <c r="AN29" t="str">
        <f t="shared" si="68"/>
        <v>May</v>
      </c>
      <c r="AO29">
        <f t="shared" si="69"/>
        <v>2020</v>
      </c>
      <c r="AP29">
        <f t="shared" si="70"/>
        <v>5</v>
      </c>
      <c r="AQ29" t="str">
        <f>IF(COUNTIF($F$15:F29,F29)=1,B29,"")</f>
        <v/>
      </c>
      <c r="AR29">
        <f t="shared" si="86"/>
        <v>1.5000000000000001E-4</v>
      </c>
      <c r="AS29" s="14">
        <f t="shared" si="71"/>
        <v>43979.547985648147</v>
      </c>
      <c r="AT29" s="35">
        <f t="shared" si="72"/>
        <v>43979.547985648147</v>
      </c>
      <c r="AU29">
        <f t="shared" si="73"/>
        <v>15</v>
      </c>
      <c r="AV29" s="14">
        <f t="shared" si="74"/>
        <v>43952</v>
      </c>
      <c r="AZ29">
        <f t="shared" si="99"/>
        <v>5503.3999999988619</v>
      </c>
      <c r="BA29" s="28">
        <f t="shared" si="100"/>
        <v>-70</v>
      </c>
      <c r="BB29">
        <f t="shared" si="77"/>
        <v>-37.65</v>
      </c>
      <c r="BC29">
        <f t="shared" si="98"/>
        <v>0</v>
      </c>
      <c r="BD29">
        <f t="shared" si="78"/>
        <v>-107.65</v>
      </c>
      <c r="BE29">
        <f t="shared" si="79"/>
        <v>-1.9560635243671597E-2</v>
      </c>
      <c r="BF29">
        <f t="shared" si="80"/>
        <v>15</v>
      </c>
      <c r="BG29">
        <f t="shared" si="87"/>
        <v>50355.789999999986</v>
      </c>
      <c r="BH29">
        <f t="shared" si="97"/>
        <v>50355.789999999986</v>
      </c>
      <c r="BI29">
        <f t="shared" si="101"/>
        <v>0.10929031199786288</v>
      </c>
      <c r="BK29">
        <f t="shared" si="81"/>
        <v>-1</v>
      </c>
      <c r="BL29">
        <f t="shared" si="89"/>
        <v>-1</v>
      </c>
      <c r="BM29">
        <f t="shared" si="90"/>
        <v>-107.65</v>
      </c>
      <c r="BN29">
        <f t="shared" si="91"/>
        <v>0</v>
      </c>
      <c r="BO29">
        <f t="shared" si="92"/>
        <v>0</v>
      </c>
      <c r="BP29">
        <f t="shared" si="82"/>
        <v>0</v>
      </c>
      <c r="BQ29">
        <f t="shared" si="83"/>
        <v>-1</v>
      </c>
      <c r="BR29">
        <f>IFERROR(MAX($BG$14:BG29),"")</f>
        <v>50463.439999999988</v>
      </c>
      <c r="BS29">
        <f t="shared" si="84"/>
        <v>-2.1332275405719762E-3</v>
      </c>
    </row>
    <row r="30" spans="2:71" ht="21.95" customHeight="1">
      <c r="B30" s="158">
        <f t="shared" si="93"/>
        <v>16</v>
      </c>
      <c r="C30" s="345">
        <v>43979.555960648147</v>
      </c>
      <c r="D30" s="346" t="s">
        <v>3</v>
      </c>
      <c r="E30" s="347">
        <v>5</v>
      </c>
      <c r="F30" s="348" t="s">
        <v>474</v>
      </c>
      <c r="G30" s="349">
        <v>0.66093000000000002</v>
      </c>
      <c r="H30" s="349">
        <v>0.66173999999999999</v>
      </c>
      <c r="I30" s="349">
        <v>0</v>
      </c>
      <c r="J30" s="350">
        <v>43979.590694444443</v>
      </c>
      <c r="K30" s="349">
        <v>0.66173999999999999</v>
      </c>
      <c r="L30" s="351">
        <v>-37.65</v>
      </c>
      <c r="M30" s="352">
        <v>405</v>
      </c>
      <c r="N30" s="353"/>
      <c r="O30" s="354"/>
      <c r="P30">
        <f t="shared" si="53"/>
        <v>8.099999999999774E-4</v>
      </c>
      <c r="Q30">
        <f t="shared" si="54"/>
        <v>3304.6500000000924</v>
      </c>
      <c r="R30">
        <f t="shared" si="55"/>
        <v>3308.7000000000926</v>
      </c>
      <c r="S30" s="711">
        <f t="shared" si="56"/>
        <v>8.099999999999774</v>
      </c>
      <c r="T30" s="712">
        <f t="shared" si="57"/>
        <v>367.35</v>
      </c>
      <c r="U30" s="713">
        <f t="shared" si="94"/>
        <v>0.11116154509554409</v>
      </c>
      <c r="V30" s="419" t="str">
        <f t="shared" si="95"/>
        <v xml:space="preserve">0d 0h 50m </v>
      </c>
      <c r="W30" s="714">
        <f t="shared" si="60"/>
        <v>0.72950896014142586</v>
      </c>
      <c r="X30" s="684" t="s">
        <v>158</v>
      </c>
      <c r="Y30" s="688"/>
      <c r="Z30" s="688"/>
      <c r="AA30" s="682"/>
      <c r="AB30" s="682"/>
      <c r="AC30" s="683"/>
      <c r="AD30" t="str">
        <f t="shared" si="85"/>
        <v>W</v>
      </c>
      <c r="AE30">
        <f t="shared" si="61"/>
        <v>100000</v>
      </c>
      <c r="AF30">
        <f t="shared" si="62"/>
        <v>3.4733796295768116E-2</v>
      </c>
      <c r="AG30" s="156">
        <f t="shared" si="63"/>
        <v>1E-4</v>
      </c>
      <c r="AH30">
        <f t="shared" si="64"/>
        <v>82</v>
      </c>
      <c r="AI30">
        <f t="shared" si="65"/>
        <v>1</v>
      </c>
      <c r="AJ30">
        <f t="shared" si="66"/>
        <v>0.01</v>
      </c>
      <c r="AM30">
        <f t="shared" si="67"/>
        <v>100000.00000000279</v>
      </c>
      <c r="AN30" t="str">
        <f t="shared" si="68"/>
        <v>May</v>
      </c>
      <c r="AO30">
        <f t="shared" si="69"/>
        <v>2020</v>
      </c>
      <c r="AP30">
        <f t="shared" si="70"/>
        <v>5</v>
      </c>
      <c r="AQ30" t="str">
        <f>IF(COUNTIF($F$15:F30,F30)=1,B30,"")</f>
        <v/>
      </c>
      <c r="AR30">
        <f t="shared" si="86"/>
        <v>1.6000000000000001E-4</v>
      </c>
      <c r="AS30" s="14">
        <f t="shared" si="71"/>
        <v>43979.590854444446</v>
      </c>
      <c r="AT30" s="35">
        <f t="shared" si="72"/>
        <v>43979.582218611111</v>
      </c>
      <c r="AU30">
        <f t="shared" si="73"/>
        <v>17</v>
      </c>
      <c r="AV30" s="14">
        <f t="shared" si="74"/>
        <v>43952</v>
      </c>
      <c r="AZ30">
        <f t="shared" si="99"/>
        <v>3308.9999999999327</v>
      </c>
      <c r="BA30" s="28">
        <f t="shared" si="100"/>
        <v>-340</v>
      </c>
      <c r="BB30">
        <f t="shared" si="77"/>
        <v>-37.65</v>
      </c>
      <c r="BC30">
        <f t="shared" si="98"/>
        <v>0</v>
      </c>
      <c r="BD30">
        <f t="shared" si="78"/>
        <v>-377.65</v>
      </c>
      <c r="BE30">
        <f t="shared" si="79"/>
        <v>-0.11412813538833716</v>
      </c>
      <c r="BF30">
        <f t="shared" si="80"/>
        <v>16</v>
      </c>
      <c r="BG30">
        <f t="shared" si="87"/>
        <v>49978.139999999985</v>
      </c>
      <c r="BH30">
        <f t="shared" si="97"/>
        <v>49978.139999999985</v>
      </c>
      <c r="BI30">
        <f t="shared" si="101"/>
        <v>6.6208946551430961E-2</v>
      </c>
      <c r="BK30">
        <f t="shared" si="81"/>
        <v>-1</v>
      </c>
      <c r="BL30">
        <f t="shared" si="89"/>
        <v>-2</v>
      </c>
      <c r="BM30">
        <f t="shared" si="90"/>
        <v>-485.29999999999995</v>
      </c>
      <c r="BN30">
        <f t="shared" si="91"/>
        <v>0</v>
      </c>
      <c r="BO30">
        <f t="shared" si="92"/>
        <v>0</v>
      </c>
      <c r="BP30">
        <f t="shared" si="82"/>
        <v>0</v>
      </c>
      <c r="BQ30">
        <f t="shared" si="83"/>
        <v>-2</v>
      </c>
      <c r="BR30">
        <f>IFERROR(MAX($BG$14:BG30),"")</f>
        <v>50463.439999999988</v>
      </c>
      <c r="BS30">
        <f t="shared" si="84"/>
        <v>-9.6168632182031793E-3</v>
      </c>
    </row>
    <row r="31" spans="2:71" ht="21.95" customHeight="1">
      <c r="B31" s="158">
        <f t="shared" si="93"/>
        <v>17</v>
      </c>
      <c r="C31" s="345">
        <v>43979.560682870368</v>
      </c>
      <c r="D31" s="346" t="s">
        <v>3</v>
      </c>
      <c r="E31" s="347">
        <v>5</v>
      </c>
      <c r="F31" s="348" t="s">
        <v>474</v>
      </c>
      <c r="G31" s="349">
        <v>0.66180000000000005</v>
      </c>
      <c r="H31" s="349">
        <v>0</v>
      </c>
      <c r="I31" s="349">
        <v>0</v>
      </c>
      <c r="J31" s="350">
        <v>43979.582048611112</v>
      </c>
      <c r="K31" s="349">
        <v>0.66112000000000004</v>
      </c>
      <c r="L31" s="351">
        <v>-37.65</v>
      </c>
      <c r="M31" s="352">
        <v>-340</v>
      </c>
      <c r="N31" s="353"/>
      <c r="O31" s="354"/>
      <c r="P31">
        <f t="shared" si="53"/>
        <v>-6.8000000000001393E-4</v>
      </c>
      <c r="Q31">
        <f t="shared" si="54"/>
        <v>3308.9999999999327</v>
      </c>
      <c r="R31">
        <f t="shared" si="55"/>
        <v>3305.5999999999326</v>
      </c>
      <c r="S31" s="711">
        <f t="shared" si="56"/>
        <v>-6.8000000000001393</v>
      </c>
      <c r="T31" s="712">
        <f t="shared" si="57"/>
        <v>-377.65</v>
      </c>
      <c r="U31" s="713">
        <f t="shared" si="94"/>
        <v>-0.11412813538833716</v>
      </c>
      <c r="V31" s="419" t="str">
        <f t="shared" si="95"/>
        <v xml:space="preserve">0d 0h 30m </v>
      </c>
      <c r="W31" s="714">
        <f t="shared" si="60"/>
        <v>-0.75563036159408914</v>
      </c>
      <c r="X31" s="684" t="s">
        <v>158</v>
      </c>
      <c r="Y31" s="688"/>
      <c r="Z31" s="688"/>
      <c r="AA31" s="682"/>
      <c r="AB31" s="682"/>
      <c r="AC31" s="683"/>
      <c r="AD31" t="str">
        <f t="shared" si="85"/>
        <v>L</v>
      </c>
      <c r="AE31">
        <f t="shared" si="61"/>
        <v>100000</v>
      </c>
      <c r="AF31">
        <f t="shared" si="62"/>
        <v>2.1365740743931383E-2</v>
      </c>
      <c r="AG31" s="156">
        <f t="shared" si="63"/>
        <v>1E-4</v>
      </c>
      <c r="AH31">
        <f t="shared" si="64"/>
        <v>82</v>
      </c>
      <c r="AI31">
        <f t="shared" si="65"/>
        <v>1</v>
      </c>
      <c r="AJ31">
        <f t="shared" si="66"/>
        <v>0.01</v>
      </c>
      <c r="AM31">
        <f t="shared" si="67"/>
        <v>99999.999999997948</v>
      </c>
      <c r="AN31" t="str">
        <f t="shared" si="68"/>
        <v>May</v>
      </c>
      <c r="AO31">
        <f t="shared" si="69"/>
        <v>2020</v>
      </c>
      <c r="AP31">
        <f t="shared" si="70"/>
        <v>5</v>
      </c>
      <c r="AQ31" t="str">
        <f>IF(COUNTIF($F$15:F31,F31)=1,B31,"")</f>
        <v/>
      </c>
      <c r="AR31">
        <f t="shared" si="86"/>
        <v>1.7000000000000001E-4</v>
      </c>
      <c r="AS31" s="14">
        <f t="shared" si="71"/>
        <v>43979.582218611111</v>
      </c>
      <c r="AT31" s="35">
        <f t="shared" si="72"/>
        <v>43979.589193055559</v>
      </c>
      <c r="AU31">
        <f t="shared" si="73"/>
        <v>20</v>
      </c>
      <c r="AV31" s="14">
        <f t="shared" si="74"/>
        <v>43952</v>
      </c>
      <c r="AZ31">
        <f t="shared" si="99"/>
        <v>3308.1500000007732</v>
      </c>
      <c r="BA31" s="28">
        <f t="shared" si="100"/>
        <v>-180</v>
      </c>
      <c r="BB31">
        <f t="shared" si="77"/>
        <v>-37.65</v>
      </c>
      <c r="BC31">
        <f t="shared" si="98"/>
        <v>0</v>
      </c>
      <c r="BD31">
        <f t="shared" si="78"/>
        <v>-217.65</v>
      </c>
      <c r="BE31">
        <f t="shared" si="79"/>
        <v>-6.5792059005773354E-2</v>
      </c>
      <c r="BF31">
        <f t="shared" si="80"/>
        <v>17</v>
      </c>
      <c r="BG31">
        <f t="shared" si="87"/>
        <v>49760.489999999983</v>
      </c>
      <c r="BH31">
        <f t="shared" si="97"/>
        <v>49760.489999999983</v>
      </c>
      <c r="BI31">
        <f t="shared" si="101"/>
        <v>6.6481459487251315E-2</v>
      </c>
      <c r="BK31">
        <f t="shared" si="81"/>
        <v>-1</v>
      </c>
      <c r="BL31">
        <f t="shared" si="89"/>
        <v>-3</v>
      </c>
      <c r="BM31">
        <f t="shared" si="90"/>
        <v>-702.94999999999993</v>
      </c>
      <c r="BN31">
        <f t="shared" si="91"/>
        <v>0</v>
      </c>
      <c r="BO31">
        <f t="shared" si="92"/>
        <v>0</v>
      </c>
      <c r="BP31">
        <f t="shared" si="82"/>
        <v>0</v>
      </c>
      <c r="BQ31">
        <f t="shared" si="83"/>
        <v>-3</v>
      </c>
      <c r="BR31">
        <f>IFERROR(MAX($BG$14:BG31),"")</f>
        <v>50463.439999999988</v>
      </c>
      <c r="BS31">
        <f t="shared" si="84"/>
        <v>-1.3929886666465951E-2</v>
      </c>
    </row>
    <row r="32" spans="2:71" ht="21.95" customHeight="1">
      <c r="B32" s="158">
        <f t="shared" si="93"/>
        <v>18</v>
      </c>
      <c r="C32" s="345">
        <v>43979.571053240739</v>
      </c>
      <c r="D32" s="346" t="s">
        <v>3</v>
      </c>
      <c r="E32" s="347">
        <v>5</v>
      </c>
      <c r="F32" s="348" t="s">
        <v>474</v>
      </c>
      <c r="G32" s="349">
        <v>0.66071000000000002</v>
      </c>
      <c r="H32" s="349">
        <v>0.66174999999999995</v>
      </c>
      <c r="I32" s="349">
        <v>0</v>
      </c>
      <c r="J32" s="350">
        <v>43979.590694444443</v>
      </c>
      <c r="K32" s="349">
        <v>0.66174999999999995</v>
      </c>
      <c r="L32" s="351">
        <v>-37.65</v>
      </c>
      <c r="M32" s="352">
        <v>520</v>
      </c>
      <c r="N32" s="353"/>
      <c r="O32" s="354"/>
      <c r="P32">
        <f t="shared" si="53"/>
        <v>1.0399999999999299E-3</v>
      </c>
      <c r="Q32">
        <f t="shared" si="54"/>
        <v>3303.5500000002226</v>
      </c>
      <c r="R32">
        <f t="shared" si="55"/>
        <v>3308.7500000002228</v>
      </c>
      <c r="S32" s="711">
        <f t="shared" si="56"/>
        <v>10.399999999999299</v>
      </c>
      <c r="T32" s="712">
        <f t="shared" si="57"/>
        <v>482.35</v>
      </c>
      <c r="U32" s="713">
        <f t="shared" si="94"/>
        <v>0.14600959573790848</v>
      </c>
      <c r="V32" s="419" t="str">
        <f t="shared" si="95"/>
        <v xml:space="preserve">0d 0h 28m </v>
      </c>
      <c r="W32" s="714">
        <f t="shared" si="60"/>
        <v>0.96934334850802339</v>
      </c>
      <c r="X32" s="684" t="s">
        <v>158</v>
      </c>
      <c r="Y32" s="688" t="s">
        <v>56</v>
      </c>
      <c r="Z32" s="688" t="s">
        <v>113</v>
      </c>
      <c r="AA32" s="682"/>
      <c r="AB32" s="682"/>
      <c r="AC32" s="683"/>
      <c r="AD32" t="str">
        <f t="shared" si="85"/>
        <v>W</v>
      </c>
      <c r="AE32">
        <f t="shared" si="61"/>
        <v>100000</v>
      </c>
      <c r="AF32">
        <f t="shared" si="62"/>
        <v>1.9641203703940846E-2</v>
      </c>
      <c r="AG32" s="156">
        <f t="shared" si="63"/>
        <v>1E-4</v>
      </c>
      <c r="AH32">
        <f t="shared" si="64"/>
        <v>82</v>
      </c>
      <c r="AI32">
        <f t="shared" si="65"/>
        <v>1</v>
      </c>
      <c r="AJ32">
        <f t="shared" si="66"/>
        <v>0.01</v>
      </c>
      <c r="AM32">
        <f t="shared" si="67"/>
        <v>100000.00000000674</v>
      </c>
      <c r="AN32" t="str">
        <f t="shared" si="68"/>
        <v>May</v>
      </c>
      <c r="AO32">
        <f t="shared" si="69"/>
        <v>2020</v>
      </c>
      <c r="AP32">
        <f t="shared" si="70"/>
        <v>5</v>
      </c>
      <c r="AQ32" t="str">
        <f>IF(COUNTIF($F$15:F32,F32)=1,B32,"")</f>
        <v/>
      </c>
      <c r="AR32">
        <f t="shared" si="86"/>
        <v>1.8000000000000001E-4</v>
      </c>
      <c r="AS32" s="14">
        <f t="shared" si="71"/>
        <v>43979.590874444446</v>
      </c>
      <c r="AT32" s="35">
        <f t="shared" si="72"/>
        <v>43979.590854444446</v>
      </c>
      <c r="AU32">
        <f t="shared" si="73"/>
        <v>16</v>
      </c>
      <c r="AV32" s="14">
        <f t="shared" si="74"/>
        <v>43952</v>
      </c>
      <c r="AZ32">
        <f t="shared" si="99"/>
        <v>3304.6500000000924</v>
      </c>
      <c r="BA32" s="28">
        <f t="shared" si="100"/>
        <v>405</v>
      </c>
      <c r="BB32">
        <f t="shared" si="77"/>
        <v>-37.65</v>
      </c>
      <c r="BC32">
        <f t="shared" si="98"/>
        <v>0</v>
      </c>
      <c r="BD32">
        <f t="shared" si="78"/>
        <v>367.35</v>
      </c>
      <c r="BE32">
        <f t="shared" si="79"/>
        <v>0.11116154509554409</v>
      </c>
      <c r="BF32">
        <f t="shared" si="80"/>
        <v>18</v>
      </c>
      <c r="BG32">
        <f t="shared" si="87"/>
        <v>50127.839999999982</v>
      </c>
      <c r="BH32">
        <f t="shared" si="97"/>
        <v>50127.839999999982</v>
      </c>
      <c r="BI32">
        <f t="shared" si="101"/>
        <v>6.5924444380609529E-2</v>
      </c>
      <c r="BK32">
        <f t="shared" si="81"/>
        <v>1</v>
      </c>
      <c r="BL32">
        <f t="shared" si="89"/>
        <v>0</v>
      </c>
      <c r="BM32">
        <f t="shared" si="90"/>
        <v>0</v>
      </c>
      <c r="BN32">
        <f t="shared" si="91"/>
        <v>1</v>
      </c>
      <c r="BO32">
        <f t="shared" si="92"/>
        <v>367.35</v>
      </c>
      <c r="BP32">
        <f t="shared" si="82"/>
        <v>0</v>
      </c>
      <c r="BQ32">
        <f t="shared" si="83"/>
        <v>1</v>
      </c>
      <c r="BR32">
        <f>IFERROR(MAX($BG$14:BG32),"")</f>
        <v>50463.439999999988</v>
      </c>
      <c r="BS32">
        <f t="shared" si="84"/>
        <v>-6.6503591511003985E-3</v>
      </c>
    </row>
    <row r="33" spans="2:71" ht="21.95" customHeight="1">
      <c r="B33" s="158">
        <f t="shared" si="93"/>
        <v>19</v>
      </c>
      <c r="C33" s="345">
        <v>43979.584722222222</v>
      </c>
      <c r="D33" s="346" t="s">
        <v>3</v>
      </c>
      <c r="E33" s="347">
        <v>5</v>
      </c>
      <c r="F33" s="348" t="s">
        <v>474</v>
      </c>
      <c r="G33" s="349">
        <v>0.66122999999999998</v>
      </c>
      <c r="H33" s="349">
        <v>0.66173999999999999</v>
      </c>
      <c r="I33" s="349">
        <v>0</v>
      </c>
      <c r="J33" s="350">
        <v>43979.590694444443</v>
      </c>
      <c r="K33" s="349">
        <v>0.66173999999999999</v>
      </c>
      <c r="L33" s="351">
        <v>-37.65</v>
      </c>
      <c r="M33" s="352">
        <v>255</v>
      </c>
      <c r="N33" s="353"/>
      <c r="O33" s="354"/>
      <c r="P33">
        <f t="shared" si="53"/>
        <v>5.1000000000001044E-4</v>
      </c>
      <c r="Q33">
        <f t="shared" si="54"/>
        <v>3306.1499999999319</v>
      </c>
      <c r="R33">
        <f t="shared" si="55"/>
        <v>3308.6999999999321</v>
      </c>
      <c r="S33" s="711">
        <f t="shared" si="56"/>
        <v>5.1000000000001044</v>
      </c>
      <c r="T33" s="712">
        <f t="shared" si="57"/>
        <v>217.35</v>
      </c>
      <c r="U33" s="713">
        <f t="shared" si="94"/>
        <v>6.5741118824011152E-2</v>
      </c>
      <c r="V33" s="419" t="str">
        <f t="shared" si="95"/>
        <v xml:space="preserve">0d 0h 8m </v>
      </c>
      <c r="W33" s="714">
        <f t="shared" si="60"/>
        <v>0.43359139352503534</v>
      </c>
      <c r="X33" s="684" t="s">
        <v>158</v>
      </c>
      <c r="Y33" s="688"/>
      <c r="Z33" s="688"/>
      <c r="AA33" s="682"/>
      <c r="AB33" s="682"/>
      <c r="AC33" s="683"/>
      <c r="AD33" t="str">
        <f t="shared" si="85"/>
        <v>W</v>
      </c>
      <c r="AE33">
        <f t="shared" si="61"/>
        <v>100000</v>
      </c>
      <c r="AF33">
        <f t="shared" si="62"/>
        <v>5.9722222213167697E-3</v>
      </c>
      <c r="AG33" s="156">
        <f t="shared" si="63"/>
        <v>1E-4</v>
      </c>
      <c r="AH33">
        <f t="shared" si="64"/>
        <v>82</v>
      </c>
      <c r="AI33">
        <f t="shared" si="65"/>
        <v>1</v>
      </c>
      <c r="AJ33">
        <f t="shared" si="66"/>
        <v>0.01</v>
      </c>
      <c r="AM33">
        <f t="shared" si="67"/>
        <v>99999.999999997948</v>
      </c>
      <c r="AN33" t="str">
        <f t="shared" si="68"/>
        <v>May</v>
      </c>
      <c r="AO33">
        <f t="shared" si="69"/>
        <v>2020</v>
      </c>
      <c r="AP33">
        <f t="shared" si="70"/>
        <v>5</v>
      </c>
      <c r="AQ33" t="str">
        <f>IF(COUNTIF($F$15:F33,F33)=1,B33,"")</f>
        <v/>
      </c>
      <c r="AR33">
        <f t="shared" si="86"/>
        <v>1.9000000000000001E-4</v>
      </c>
      <c r="AS33" s="14">
        <f t="shared" si="71"/>
        <v>43979.590884444442</v>
      </c>
      <c r="AT33" s="35">
        <f t="shared" si="72"/>
        <v>43979.590874444446</v>
      </c>
      <c r="AU33">
        <f t="shared" si="73"/>
        <v>18</v>
      </c>
      <c r="AV33" s="14">
        <f t="shared" si="74"/>
        <v>43952</v>
      </c>
      <c r="AZ33">
        <f t="shared" si="99"/>
        <v>3303.5500000002226</v>
      </c>
      <c r="BA33" s="28">
        <f t="shared" si="100"/>
        <v>520</v>
      </c>
      <c r="BB33">
        <f t="shared" si="77"/>
        <v>-37.65</v>
      </c>
      <c r="BC33">
        <f t="shared" si="98"/>
        <v>0</v>
      </c>
      <c r="BD33">
        <f t="shared" si="78"/>
        <v>482.35</v>
      </c>
      <c r="BE33">
        <f t="shared" si="79"/>
        <v>0.14600959573790848</v>
      </c>
      <c r="BF33">
        <f t="shared" si="80"/>
        <v>19</v>
      </c>
      <c r="BG33">
        <f t="shared" si="87"/>
        <v>50610.189999999981</v>
      </c>
      <c r="BH33">
        <f t="shared" si="97"/>
        <v>50610.189999999981</v>
      </c>
      <c r="BI33">
        <f t="shared" si="101"/>
        <v>6.5274404225714705E-2</v>
      </c>
      <c r="BK33">
        <f t="shared" si="81"/>
        <v>1</v>
      </c>
      <c r="BL33">
        <f t="shared" si="89"/>
        <v>0</v>
      </c>
      <c r="BM33">
        <f t="shared" si="90"/>
        <v>0</v>
      </c>
      <c r="BN33">
        <f t="shared" si="91"/>
        <v>2</v>
      </c>
      <c r="BO33">
        <f t="shared" si="92"/>
        <v>849.7</v>
      </c>
      <c r="BP33">
        <f t="shared" si="82"/>
        <v>0</v>
      </c>
      <c r="BQ33">
        <f t="shared" si="83"/>
        <v>2</v>
      </c>
      <c r="BR33">
        <f>IFERROR(MAX($BG$14:BG33),"")</f>
        <v>50610.189999999981</v>
      </c>
      <c r="BS33">
        <f t="shared" si="84"/>
        <v>0</v>
      </c>
    </row>
    <row r="34" spans="2:71" ht="21.95" customHeight="1">
      <c r="B34" s="158">
        <f t="shared" si="93"/>
        <v>20</v>
      </c>
      <c r="C34" s="345">
        <v>43979.587384259263</v>
      </c>
      <c r="D34" s="346" t="s">
        <v>7</v>
      </c>
      <c r="E34" s="347">
        <v>5</v>
      </c>
      <c r="F34" s="348" t="s">
        <v>474</v>
      </c>
      <c r="G34" s="349">
        <v>0.66163000000000005</v>
      </c>
      <c r="H34" s="349">
        <v>0</v>
      </c>
      <c r="I34" s="349">
        <v>0</v>
      </c>
      <c r="J34" s="350">
        <v>43979.588993055557</v>
      </c>
      <c r="K34" s="349">
        <v>0.66198999999999997</v>
      </c>
      <c r="L34" s="351">
        <v>-37.65</v>
      </c>
      <c r="M34" s="352">
        <v>-180</v>
      </c>
      <c r="N34" s="353"/>
      <c r="O34" s="354"/>
      <c r="P34">
        <f t="shared" si="53"/>
        <v>-3.5999999999991594E-4</v>
      </c>
      <c r="Q34">
        <f t="shared" si="54"/>
        <v>3308.1500000007732</v>
      </c>
      <c r="R34">
        <f t="shared" si="55"/>
        <v>3309.9500000007729</v>
      </c>
      <c r="S34" s="711">
        <f t="shared" si="56"/>
        <v>-3.5999999999991594</v>
      </c>
      <c r="T34" s="712">
        <f t="shared" si="57"/>
        <v>-217.65</v>
      </c>
      <c r="U34" s="713">
        <f t="shared" si="94"/>
        <v>-6.5792059005773354E-2</v>
      </c>
      <c r="V34" s="419" t="str">
        <f t="shared" si="95"/>
        <v xml:space="preserve">0d 0h 2m </v>
      </c>
      <c r="W34" s="714">
        <f t="shared" si="60"/>
        <v>-0.43005173464079088</v>
      </c>
      <c r="X34" s="684" t="s">
        <v>158</v>
      </c>
      <c r="Y34" s="688"/>
      <c r="Z34" s="688"/>
      <c r="AA34" s="682"/>
      <c r="AB34" s="682"/>
      <c r="AC34" s="683"/>
      <c r="AD34" t="str">
        <f t="shared" si="85"/>
        <v>L</v>
      </c>
      <c r="AE34">
        <f t="shared" si="61"/>
        <v>100000</v>
      </c>
      <c r="AF34">
        <f t="shared" si="62"/>
        <v>1.6087962940218858E-3</v>
      </c>
      <c r="AG34" s="156">
        <f t="shared" si="63"/>
        <v>1E-4</v>
      </c>
      <c r="AH34">
        <f t="shared" si="64"/>
        <v>82</v>
      </c>
      <c r="AI34">
        <f t="shared" si="65"/>
        <v>1</v>
      </c>
      <c r="AJ34">
        <f t="shared" si="66"/>
        <v>0.01</v>
      </c>
      <c r="AM34">
        <f t="shared" si="67"/>
        <v>100000.00000002336</v>
      </c>
      <c r="AN34" t="str">
        <f t="shared" si="68"/>
        <v>May</v>
      </c>
      <c r="AO34">
        <f t="shared" si="69"/>
        <v>2020</v>
      </c>
      <c r="AP34">
        <f t="shared" si="70"/>
        <v>5</v>
      </c>
      <c r="AQ34" t="str">
        <f>IF(COUNTIF($F$15:F34,F34)=1,B34,"")</f>
        <v/>
      </c>
      <c r="AR34">
        <f t="shared" si="86"/>
        <v>2.0000000000000001E-4</v>
      </c>
      <c r="AS34" s="14">
        <f t="shared" si="71"/>
        <v>43979.589193055559</v>
      </c>
      <c r="AT34" s="35">
        <f t="shared" si="72"/>
        <v>43979.590884444442</v>
      </c>
      <c r="AU34">
        <f t="shared" si="73"/>
        <v>19</v>
      </c>
      <c r="AV34" s="14">
        <f t="shared" si="74"/>
        <v>43952</v>
      </c>
      <c r="AZ34">
        <f t="shared" si="99"/>
        <v>3306.1499999999319</v>
      </c>
      <c r="BA34" s="28">
        <f t="shared" si="100"/>
        <v>255</v>
      </c>
      <c r="BB34">
        <f t="shared" si="77"/>
        <v>-37.65</v>
      </c>
      <c r="BC34">
        <f t="shared" si="98"/>
        <v>0</v>
      </c>
      <c r="BD34">
        <f t="shared" si="78"/>
        <v>217.35</v>
      </c>
      <c r="BE34">
        <f t="shared" si="79"/>
        <v>6.5741118824011152E-2</v>
      </c>
      <c r="BF34">
        <f t="shared" si="80"/>
        <v>20</v>
      </c>
      <c r="BG34">
        <f t="shared" si="87"/>
        <v>50827.539999999979</v>
      </c>
      <c r="BH34">
        <f t="shared" si="97"/>
        <v>50827.539999999979</v>
      </c>
      <c r="BI34">
        <f t="shared" si="101"/>
        <v>6.5046429553740612E-2</v>
      </c>
      <c r="BK34">
        <f t="shared" si="81"/>
        <v>1</v>
      </c>
      <c r="BL34">
        <f t="shared" si="89"/>
        <v>0</v>
      </c>
      <c r="BM34">
        <f t="shared" si="90"/>
        <v>0</v>
      </c>
      <c r="BN34">
        <f t="shared" si="91"/>
        <v>3</v>
      </c>
      <c r="BO34">
        <f t="shared" si="92"/>
        <v>1067.05</v>
      </c>
      <c r="BP34">
        <f t="shared" si="82"/>
        <v>0</v>
      </c>
      <c r="BQ34">
        <f t="shared" si="83"/>
        <v>3</v>
      </c>
      <c r="BR34">
        <f>IFERROR(MAX($BG$14:BG34),"")</f>
        <v>50827.539999999979</v>
      </c>
      <c r="BS34">
        <f t="shared" si="84"/>
        <v>0</v>
      </c>
    </row>
    <row r="35" spans="2:71" ht="21.95" customHeight="1">
      <c r="B35" s="158">
        <f t="shared" si="93"/>
        <v>21</v>
      </c>
      <c r="C35" s="345">
        <v>43979.595462962963</v>
      </c>
      <c r="D35" s="346" t="s">
        <v>3</v>
      </c>
      <c r="E35" s="347">
        <v>10</v>
      </c>
      <c r="F35" s="348" t="s">
        <v>174</v>
      </c>
      <c r="G35" s="349">
        <v>1.1007499999999999</v>
      </c>
      <c r="H35" s="349">
        <v>0</v>
      </c>
      <c r="I35" s="349">
        <v>0</v>
      </c>
      <c r="J35" s="350">
        <v>43979.600381944445</v>
      </c>
      <c r="K35" s="349">
        <v>1.1003000000000001</v>
      </c>
      <c r="L35" s="351">
        <v>-75.3</v>
      </c>
      <c r="M35" s="352">
        <v>-450</v>
      </c>
      <c r="N35" s="353"/>
      <c r="O35" s="354"/>
      <c r="P35">
        <f t="shared" si="53"/>
        <v>-4.4999999999983942E-4</v>
      </c>
      <c r="Q35">
        <f t="shared" si="54"/>
        <v>11007.500000003925</v>
      </c>
      <c r="R35">
        <f t="shared" si="55"/>
        <v>11003.000000003925</v>
      </c>
      <c r="S35" s="711">
        <f t="shared" si="56"/>
        <v>-4.4999999999983942</v>
      </c>
      <c r="T35" s="712">
        <f t="shared" si="57"/>
        <v>-525.29999999999995</v>
      </c>
      <c r="U35" s="713">
        <f t="shared" si="94"/>
        <v>-4.77220077219907E-2</v>
      </c>
      <c r="V35" s="419" t="str">
        <f t="shared" si="95"/>
        <v xml:space="preserve">0d 0h 7m </v>
      </c>
      <c r="W35" s="714">
        <f t="shared" si="60"/>
        <v>-1.0334948337062941</v>
      </c>
      <c r="X35" s="684" t="s">
        <v>158</v>
      </c>
      <c r="Y35" s="688" t="s">
        <v>52</v>
      </c>
      <c r="Z35" s="688" t="s">
        <v>47</v>
      </c>
      <c r="AA35" s="682"/>
      <c r="AB35" s="682"/>
      <c r="AC35" s="683"/>
      <c r="AD35" t="str">
        <f t="shared" si="85"/>
        <v>L</v>
      </c>
      <c r="AE35">
        <f t="shared" si="61"/>
        <v>100000</v>
      </c>
      <c r="AF35">
        <f t="shared" si="62"/>
        <v>4.9189814817509614E-3</v>
      </c>
      <c r="AG35" s="156">
        <f t="shared" si="63"/>
        <v>1E-4</v>
      </c>
      <c r="AH35">
        <f t="shared" si="64"/>
        <v>109</v>
      </c>
      <c r="AI35">
        <f t="shared" si="65"/>
        <v>1</v>
      </c>
      <c r="AJ35">
        <f t="shared" si="66"/>
        <v>0.01</v>
      </c>
      <c r="AM35">
        <f t="shared" si="67"/>
        <v>100000.00000003568</v>
      </c>
      <c r="AN35" t="str">
        <f t="shared" si="68"/>
        <v>May</v>
      </c>
      <c r="AO35">
        <f t="shared" si="69"/>
        <v>2020</v>
      </c>
      <c r="AP35">
        <f t="shared" si="70"/>
        <v>5</v>
      </c>
      <c r="AQ35" t="str">
        <f>IF(COUNTIF($F$15:F35,F35)=1,B35,"")</f>
        <v/>
      </c>
      <c r="AR35">
        <f t="shared" si="86"/>
        <v>2.1000000000000001E-4</v>
      </c>
      <c r="AS35" s="14">
        <f t="shared" si="71"/>
        <v>43979.600591944443</v>
      </c>
      <c r="AT35" s="35">
        <f t="shared" si="72"/>
        <v>43979.600591944443</v>
      </c>
      <c r="AU35">
        <f t="shared" si="73"/>
        <v>21</v>
      </c>
      <c r="AV35" s="14">
        <f t="shared" si="74"/>
        <v>43952</v>
      </c>
      <c r="AZ35">
        <f t="shared" si="99"/>
        <v>11007.500000003925</v>
      </c>
      <c r="BA35" s="28">
        <f t="shared" si="100"/>
        <v>-449.99999999999994</v>
      </c>
      <c r="BB35">
        <f t="shared" si="77"/>
        <v>-75.3</v>
      </c>
      <c r="BC35">
        <f t="shared" si="98"/>
        <v>0</v>
      </c>
      <c r="BD35">
        <f t="shared" si="78"/>
        <v>-525.29999999999995</v>
      </c>
      <c r="BE35">
        <f t="shared" si="79"/>
        <v>-4.77220077219907E-2</v>
      </c>
      <c r="BF35">
        <f t="shared" si="80"/>
        <v>21</v>
      </c>
      <c r="BG35">
        <f t="shared" si="87"/>
        <v>50302.239999999976</v>
      </c>
      <c r="BH35">
        <f t="shared" si="97"/>
        <v>50302.239999999976</v>
      </c>
      <c r="BI35">
        <f t="shared" si="101"/>
        <v>0.21882723314118677</v>
      </c>
      <c r="BK35">
        <f t="shared" si="81"/>
        <v>-1</v>
      </c>
      <c r="BL35">
        <f t="shared" si="89"/>
        <v>-1</v>
      </c>
      <c r="BM35">
        <f t="shared" si="90"/>
        <v>-525.29999999999995</v>
      </c>
      <c r="BN35">
        <f t="shared" si="91"/>
        <v>0</v>
      </c>
      <c r="BO35">
        <f t="shared" si="92"/>
        <v>0</v>
      </c>
      <c r="BP35">
        <f t="shared" si="82"/>
        <v>0</v>
      </c>
      <c r="BQ35">
        <f t="shared" si="83"/>
        <v>-1</v>
      </c>
      <c r="BR35">
        <f>IFERROR(MAX($BG$14:BG35),"")</f>
        <v>50827.539999999979</v>
      </c>
      <c r="BS35">
        <f t="shared" si="84"/>
        <v>-1.0334948337063001E-2</v>
      </c>
    </row>
    <row r="36" spans="2:71" ht="21.95" customHeight="1">
      <c r="B36" s="158">
        <f t="shared" si="93"/>
        <v>22</v>
      </c>
      <c r="C36" s="345">
        <v>43979.61859953704</v>
      </c>
      <c r="D36" s="346" t="s">
        <v>3</v>
      </c>
      <c r="E36" s="347">
        <v>10</v>
      </c>
      <c r="F36" s="348" t="s">
        <v>174</v>
      </c>
      <c r="G36" s="349">
        <v>1.10144</v>
      </c>
      <c r="H36" s="349">
        <v>0</v>
      </c>
      <c r="I36" s="349">
        <v>0</v>
      </c>
      <c r="J36" s="350">
        <v>43979.6249537037</v>
      </c>
      <c r="K36" s="349">
        <v>1.1006800000000001</v>
      </c>
      <c r="L36" s="351">
        <v>-75.3</v>
      </c>
      <c r="M36" s="352">
        <v>-760</v>
      </c>
      <c r="N36" s="353"/>
      <c r="O36" s="354"/>
      <c r="P36">
        <f t="shared" si="53"/>
        <v>-7.5999999999987189E-4</v>
      </c>
      <c r="Q36">
        <f t="shared" si="54"/>
        <v>11014.400000001855</v>
      </c>
      <c r="R36">
        <f t="shared" si="55"/>
        <v>11006.800000001856</v>
      </c>
      <c r="S36" s="711">
        <f t="shared" si="56"/>
        <v>-7.5999999999987189</v>
      </c>
      <c r="T36" s="712">
        <f t="shared" si="57"/>
        <v>-835.3</v>
      </c>
      <c r="U36" s="713">
        <f t="shared" si="94"/>
        <v>-7.583708599650088E-2</v>
      </c>
      <c r="V36" s="419" t="str">
        <f t="shared" si="95"/>
        <v xml:space="preserve">0d 0h 9m </v>
      </c>
      <c r="W36" s="714">
        <f t="shared" si="60"/>
        <v>-1.6605622334114749</v>
      </c>
      <c r="X36" s="684" t="s">
        <v>158</v>
      </c>
      <c r="Y36" s="688" t="s">
        <v>52</v>
      </c>
      <c r="Z36" s="688" t="s">
        <v>47</v>
      </c>
      <c r="AA36" s="682"/>
      <c r="AB36" s="682"/>
      <c r="AC36" s="683"/>
      <c r="AD36" t="str">
        <f t="shared" si="85"/>
        <v>L</v>
      </c>
      <c r="AE36">
        <f t="shared" si="61"/>
        <v>100000</v>
      </c>
      <c r="AF36">
        <f t="shared" si="62"/>
        <v>6.3541666604578495E-3</v>
      </c>
      <c r="AG36" s="156">
        <f t="shared" si="63"/>
        <v>1E-4</v>
      </c>
      <c r="AH36">
        <f t="shared" si="64"/>
        <v>109</v>
      </c>
      <c r="AI36">
        <f t="shared" si="65"/>
        <v>1</v>
      </c>
      <c r="AJ36">
        <f t="shared" si="66"/>
        <v>0.01</v>
      </c>
      <c r="AM36">
        <f t="shared" si="67"/>
        <v>100000.00000001685</v>
      </c>
      <c r="AN36" t="str">
        <f t="shared" si="68"/>
        <v>May</v>
      </c>
      <c r="AO36">
        <f t="shared" si="69"/>
        <v>2020</v>
      </c>
      <c r="AP36">
        <f t="shared" si="70"/>
        <v>5</v>
      </c>
      <c r="AQ36" t="str">
        <f>IF(COUNTIF($F$15:F36,F36)=1,B36,"")</f>
        <v/>
      </c>
      <c r="AR36">
        <f t="shared" si="86"/>
        <v>2.2000000000000001E-4</v>
      </c>
      <c r="AS36" s="14">
        <f t="shared" si="71"/>
        <v>43979.625173703702</v>
      </c>
      <c r="AT36" s="35">
        <f t="shared" si="72"/>
        <v>43979.625173703702</v>
      </c>
      <c r="AU36">
        <f t="shared" si="73"/>
        <v>22</v>
      </c>
      <c r="AV36" s="14">
        <f t="shared" si="74"/>
        <v>43952</v>
      </c>
      <c r="AZ36">
        <f t="shared" si="99"/>
        <v>11014.400000001855</v>
      </c>
      <c r="BA36" s="28">
        <f t="shared" si="100"/>
        <v>-760</v>
      </c>
      <c r="BB36">
        <f t="shared" si="77"/>
        <v>-75.3</v>
      </c>
      <c r="BC36">
        <f t="shared" si="98"/>
        <v>0</v>
      </c>
      <c r="BD36">
        <f t="shared" si="78"/>
        <v>-835.3</v>
      </c>
      <c r="BE36">
        <f t="shared" si="79"/>
        <v>-7.583708599650088E-2</v>
      </c>
      <c r="BF36">
        <f t="shared" si="80"/>
        <v>22</v>
      </c>
      <c r="BG36">
        <f t="shared" si="87"/>
        <v>49466.939999999973</v>
      </c>
      <c r="BH36">
        <f t="shared" si="97"/>
        <v>49466.939999999973</v>
      </c>
      <c r="BI36">
        <f t="shared" si="101"/>
        <v>0.22266184243460099</v>
      </c>
      <c r="BK36">
        <f t="shared" si="81"/>
        <v>-1</v>
      </c>
      <c r="BL36">
        <f t="shared" si="89"/>
        <v>-2</v>
      </c>
      <c r="BM36">
        <f t="shared" si="90"/>
        <v>-1360.6</v>
      </c>
      <c r="BN36">
        <f t="shared" si="91"/>
        <v>0</v>
      </c>
      <c r="BO36">
        <f t="shared" si="92"/>
        <v>0</v>
      </c>
      <c r="BP36">
        <f t="shared" si="82"/>
        <v>0</v>
      </c>
      <c r="BQ36">
        <f t="shared" si="83"/>
        <v>-2</v>
      </c>
      <c r="BR36">
        <f>IFERROR(MAX($BG$14:BG36),"")</f>
        <v>50827.539999999979</v>
      </c>
      <c r="BS36">
        <f t="shared" si="84"/>
        <v>-2.6768952422249952E-2</v>
      </c>
    </row>
    <row r="37" spans="2:71" ht="21.95" customHeight="1">
      <c r="B37" s="158">
        <f t="shared" si="93"/>
        <v>23</v>
      </c>
      <c r="C37" s="345">
        <v>43979.625717592593</v>
      </c>
      <c r="D37" s="346" t="s">
        <v>3</v>
      </c>
      <c r="E37" s="347">
        <v>10</v>
      </c>
      <c r="F37" s="348" t="s">
        <v>174</v>
      </c>
      <c r="G37" s="349">
        <v>1.10087</v>
      </c>
      <c r="H37" s="349">
        <v>1.1022099999999999</v>
      </c>
      <c r="I37" s="349">
        <v>0</v>
      </c>
      <c r="J37" s="350">
        <v>43979.666087962964</v>
      </c>
      <c r="K37" s="349">
        <v>1.1022099999999999</v>
      </c>
      <c r="L37" s="351">
        <v>-75.3</v>
      </c>
      <c r="M37" s="352">
        <v>1340</v>
      </c>
      <c r="N37" s="353"/>
      <c r="O37" s="354"/>
      <c r="P37">
        <f t="shared" si="53"/>
        <v>1.3399999999998968E-3</v>
      </c>
      <c r="Q37">
        <f t="shared" si="54"/>
        <v>11008.700000000848</v>
      </c>
      <c r="R37">
        <f t="shared" si="55"/>
        <v>11022.100000000848</v>
      </c>
      <c r="S37" s="711">
        <f t="shared" si="56"/>
        <v>13.399999999998968</v>
      </c>
      <c r="T37" s="712">
        <f t="shared" si="57"/>
        <v>1264.7</v>
      </c>
      <c r="U37" s="713">
        <f t="shared" si="94"/>
        <v>0.11488186616039156</v>
      </c>
      <c r="V37" s="419" t="str">
        <f t="shared" si="95"/>
        <v xml:space="preserve">0d 0h 58m </v>
      </c>
      <c r="W37" s="714">
        <f t="shared" si="60"/>
        <v>2.5566570319490163</v>
      </c>
      <c r="X37" s="684" t="s">
        <v>157</v>
      </c>
      <c r="Y37" s="688" t="s">
        <v>53</v>
      </c>
      <c r="Z37" s="688"/>
      <c r="AA37" s="682"/>
      <c r="AB37" s="682"/>
      <c r="AC37" s="683"/>
      <c r="AD37" t="str">
        <f t="shared" si="85"/>
        <v>W</v>
      </c>
      <c r="AE37">
        <f t="shared" si="61"/>
        <v>100000</v>
      </c>
      <c r="AF37">
        <f t="shared" si="62"/>
        <v>4.03703703705105E-2</v>
      </c>
      <c r="AG37" s="156">
        <f t="shared" si="63"/>
        <v>1E-4</v>
      </c>
      <c r="AH37">
        <f t="shared" si="64"/>
        <v>109</v>
      </c>
      <c r="AI37">
        <f t="shared" si="65"/>
        <v>1</v>
      </c>
      <c r="AJ37">
        <f t="shared" si="66"/>
        <v>0.01</v>
      </c>
      <c r="AM37">
        <f t="shared" si="67"/>
        <v>100000.0000000077</v>
      </c>
      <c r="AN37" t="str">
        <f t="shared" si="68"/>
        <v>May</v>
      </c>
      <c r="AO37">
        <f t="shared" si="69"/>
        <v>2020</v>
      </c>
      <c r="AP37">
        <f t="shared" si="70"/>
        <v>5</v>
      </c>
      <c r="AQ37" t="str">
        <f>IF(COUNTIF($F$15:F37,F37)=1,B37,"")</f>
        <v/>
      </c>
      <c r="AR37">
        <f t="shared" si="86"/>
        <v>2.3000000000000001E-4</v>
      </c>
      <c r="AS37" s="14">
        <f t="shared" si="71"/>
        <v>43979.666317962961</v>
      </c>
      <c r="AT37" s="35">
        <f t="shared" si="72"/>
        <v>43979.66446453704</v>
      </c>
      <c r="AU37">
        <f t="shared" si="73"/>
        <v>24</v>
      </c>
      <c r="AV37" s="14">
        <f t="shared" si="74"/>
        <v>43952</v>
      </c>
      <c r="AZ37">
        <f t="shared" si="99"/>
        <v>3318.2000000002236</v>
      </c>
      <c r="BA37" s="28">
        <f t="shared" si="100"/>
        <v>-260</v>
      </c>
      <c r="BB37">
        <f t="shared" si="77"/>
        <v>-37.65</v>
      </c>
      <c r="BC37">
        <f t="shared" si="98"/>
        <v>0</v>
      </c>
      <c r="BD37">
        <f t="shared" si="78"/>
        <v>-297.64999999999998</v>
      </c>
      <c r="BE37">
        <f t="shared" si="79"/>
        <v>-8.9702248206853089E-2</v>
      </c>
      <c r="BF37">
        <f t="shared" si="80"/>
        <v>23</v>
      </c>
      <c r="BG37">
        <f t="shared" si="87"/>
        <v>49169.289999999972</v>
      </c>
      <c r="BH37">
        <f t="shared" si="97"/>
        <v>49169.289999999972</v>
      </c>
      <c r="BI37">
        <f t="shared" si="101"/>
        <v>6.7485212822886512E-2</v>
      </c>
      <c r="BK37">
        <f t="shared" si="81"/>
        <v>-1</v>
      </c>
      <c r="BL37">
        <f t="shared" si="89"/>
        <v>-3</v>
      </c>
      <c r="BM37">
        <f t="shared" si="90"/>
        <v>-1658.25</v>
      </c>
      <c r="BN37">
        <f t="shared" si="91"/>
        <v>0</v>
      </c>
      <c r="BO37">
        <f t="shared" si="92"/>
        <v>0</v>
      </c>
      <c r="BP37">
        <f t="shared" si="82"/>
        <v>0</v>
      </c>
      <c r="BQ37">
        <f t="shared" si="83"/>
        <v>-3</v>
      </c>
      <c r="BR37">
        <f>IFERROR(MAX($BG$14:BG37),"")</f>
        <v>50827.539999999979</v>
      </c>
      <c r="BS37">
        <f t="shared" si="84"/>
        <v>-3.2625029659118031E-2</v>
      </c>
    </row>
    <row r="38" spans="2:71" ht="21.95" customHeight="1">
      <c r="B38" s="158">
        <f t="shared" si="93"/>
        <v>24</v>
      </c>
      <c r="C38" s="345">
        <v>43979.660995370374</v>
      </c>
      <c r="D38" s="346" t="s">
        <v>3</v>
      </c>
      <c r="E38" s="347">
        <v>5</v>
      </c>
      <c r="F38" s="348" t="s">
        <v>474</v>
      </c>
      <c r="G38" s="349">
        <v>0.66364000000000001</v>
      </c>
      <c r="H38" s="349">
        <v>0</v>
      </c>
      <c r="I38" s="349">
        <v>0</v>
      </c>
      <c r="J38" s="350">
        <v>43979.664224537039</v>
      </c>
      <c r="K38" s="349">
        <v>0.66312000000000004</v>
      </c>
      <c r="L38" s="351">
        <v>-37.65</v>
      </c>
      <c r="M38" s="352">
        <v>-260</v>
      </c>
      <c r="N38" s="353"/>
      <c r="O38" s="354"/>
      <c r="P38">
        <f t="shared" si="53"/>
        <v>-5.1999999999996493E-4</v>
      </c>
      <c r="Q38">
        <f t="shared" si="54"/>
        <v>3318.2000000002236</v>
      </c>
      <c r="R38">
        <f t="shared" si="55"/>
        <v>3315.6000000002236</v>
      </c>
      <c r="S38" s="711">
        <f t="shared" si="56"/>
        <v>-5.1999999999996493</v>
      </c>
      <c r="T38" s="712">
        <f t="shared" si="57"/>
        <v>-297.64999999999998</v>
      </c>
      <c r="U38" s="713">
        <f t="shared" si="94"/>
        <v>-8.9702248206853089E-2</v>
      </c>
      <c r="V38" s="419" t="str">
        <f t="shared" si="95"/>
        <v xml:space="preserve">0d 0h 4m </v>
      </c>
      <c r="W38" s="714">
        <f t="shared" si="60"/>
        <v>-0.6053575310930871</v>
      </c>
      <c r="X38" s="684" t="s">
        <v>158</v>
      </c>
      <c r="Y38" s="688"/>
      <c r="Z38" s="688"/>
      <c r="AA38" s="682"/>
      <c r="AB38" s="682"/>
      <c r="AC38" s="683"/>
      <c r="AD38" t="str">
        <f t="shared" si="85"/>
        <v>L</v>
      </c>
      <c r="AE38">
        <f t="shared" si="61"/>
        <v>100000</v>
      </c>
      <c r="AF38">
        <f t="shared" si="62"/>
        <v>3.2291666648234241E-3</v>
      </c>
      <c r="AG38" s="156">
        <f t="shared" si="63"/>
        <v>1E-4</v>
      </c>
      <c r="AH38">
        <f t="shared" si="64"/>
        <v>82</v>
      </c>
      <c r="AI38">
        <f t="shared" si="65"/>
        <v>1</v>
      </c>
      <c r="AJ38">
        <f t="shared" si="66"/>
        <v>0.01</v>
      </c>
      <c r="AM38">
        <f t="shared" si="67"/>
        <v>100000.00000000674</v>
      </c>
      <c r="AN38" t="str">
        <f t="shared" si="68"/>
        <v>May</v>
      </c>
      <c r="AO38">
        <f t="shared" si="69"/>
        <v>2020</v>
      </c>
      <c r="AP38">
        <f t="shared" si="70"/>
        <v>5</v>
      </c>
      <c r="AQ38" t="str">
        <f>IF(COUNTIF($F$15:F38,F38)=1,B38,"")</f>
        <v/>
      </c>
      <c r="AR38">
        <f t="shared" si="86"/>
        <v>2.4000000000000001E-4</v>
      </c>
      <c r="AS38" s="14">
        <f t="shared" si="71"/>
        <v>43979.66446453704</v>
      </c>
      <c r="AT38" s="35">
        <f t="shared" si="72"/>
        <v>43979.666317962961</v>
      </c>
      <c r="AU38">
        <f t="shared" si="73"/>
        <v>23</v>
      </c>
      <c r="AV38" s="14">
        <f t="shared" si="74"/>
        <v>43952</v>
      </c>
      <c r="AZ38">
        <f t="shared" si="99"/>
        <v>11008.700000000848</v>
      </c>
      <c r="BA38" s="28">
        <f t="shared" si="100"/>
        <v>1340</v>
      </c>
      <c r="BB38">
        <f t="shared" si="77"/>
        <v>-75.3</v>
      </c>
      <c r="BC38">
        <f t="shared" si="98"/>
        <v>0</v>
      </c>
      <c r="BD38">
        <f t="shared" si="78"/>
        <v>1264.7</v>
      </c>
      <c r="BE38">
        <f t="shared" si="79"/>
        <v>0.11488186616039156</v>
      </c>
      <c r="BF38">
        <f t="shared" si="80"/>
        <v>24</v>
      </c>
      <c r="BG38">
        <f t="shared" si="87"/>
        <v>50433.989999999969</v>
      </c>
      <c r="BH38">
        <f t="shared" si="97"/>
        <v>50433.989999999969</v>
      </c>
      <c r="BI38">
        <f t="shared" si="101"/>
        <v>0.21827937864921762</v>
      </c>
      <c r="BK38">
        <f t="shared" si="81"/>
        <v>1</v>
      </c>
      <c r="BL38">
        <f t="shared" si="89"/>
        <v>0</v>
      </c>
      <c r="BM38">
        <f t="shared" si="90"/>
        <v>0</v>
      </c>
      <c r="BN38">
        <f t="shared" si="91"/>
        <v>1</v>
      </c>
      <c r="BO38">
        <f t="shared" si="92"/>
        <v>1264.7</v>
      </c>
      <c r="BP38">
        <f t="shared" si="82"/>
        <v>0</v>
      </c>
      <c r="BQ38">
        <f t="shared" si="83"/>
        <v>1</v>
      </c>
      <c r="BR38">
        <f>IFERROR(MAX($BG$14:BG38),"")</f>
        <v>50827.539999999979</v>
      </c>
      <c r="BS38">
        <f t="shared" si="84"/>
        <v>-7.7428496441104633E-3</v>
      </c>
    </row>
    <row r="39" spans="2:71" ht="21.95" customHeight="1">
      <c r="B39" s="158">
        <f t="shared" si="93"/>
        <v>25</v>
      </c>
      <c r="C39" s="345">
        <v>43979.664918981478</v>
      </c>
      <c r="D39" s="346" t="s">
        <v>3</v>
      </c>
      <c r="E39" s="347">
        <v>5</v>
      </c>
      <c r="F39" s="348" t="s">
        <v>474</v>
      </c>
      <c r="G39" s="349">
        <v>0.66357999999999995</v>
      </c>
      <c r="H39" s="349">
        <v>0</v>
      </c>
      <c r="I39" s="349">
        <v>0</v>
      </c>
      <c r="J39" s="350">
        <v>43979.66678240741</v>
      </c>
      <c r="K39" s="349">
        <v>0.66334000000000004</v>
      </c>
      <c r="L39" s="351">
        <v>-37.65</v>
      </c>
      <c r="M39" s="352">
        <v>-120</v>
      </c>
      <c r="N39" s="353"/>
      <c r="O39" s="354"/>
      <c r="P39">
        <f t="shared" si="53"/>
        <v>-2.3999999999990695E-4</v>
      </c>
      <c r="Q39">
        <f t="shared" si="54"/>
        <v>3317.9000000012857</v>
      </c>
      <c r="R39">
        <f t="shared" si="55"/>
        <v>3316.7000000012858</v>
      </c>
      <c r="S39" s="711">
        <f t="shared" si="56"/>
        <v>-2.3999999999990695</v>
      </c>
      <c r="T39" s="712">
        <f t="shared" si="57"/>
        <v>-157.65</v>
      </c>
      <c r="U39" s="713">
        <f t="shared" si="94"/>
        <v>-4.7514994424165562E-2</v>
      </c>
      <c r="V39" s="419" t="str">
        <f t="shared" si="95"/>
        <v xml:space="preserve">0d 0h 2m </v>
      </c>
      <c r="W39" s="714">
        <f t="shared" si="60"/>
        <v>-0.31258680901511082</v>
      </c>
      <c r="X39" s="684" t="s">
        <v>158</v>
      </c>
      <c r="Y39" s="688"/>
      <c r="Z39" s="688"/>
      <c r="AA39" s="682"/>
      <c r="AB39" s="682"/>
      <c r="AC39" s="683"/>
      <c r="AD39" t="str">
        <f t="shared" si="85"/>
        <v>L</v>
      </c>
      <c r="AE39">
        <f t="shared" si="61"/>
        <v>100000</v>
      </c>
      <c r="AF39">
        <f t="shared" si="62"/>
        <v>1.8634259322425351E-3</v>
      </c>
      <c r="AG39" s="156">
        <f t="shared" si="63"/>
        <v>1E-4</v>
      </c>
      <c r="AH39">
        <f t="shared" si="64"/>
        <v>82</v>
      </c>
      <c r="AI39">
        <f t="shared" si="65"/>
        <v>1</v>
      </c>
      <c r="AJ39">
        <f t="shared" si="66"/>
        <v>0.01</v>
      </c>
      <c r="AM39">
        <f t="shared" si="67"/>
        <v>100000.00000003877</v>
      </c>
      <c r="AN39" t="str">
        <f t="shared" si="68"/>
        <v>May</v>
      </c>
      <c r="AO39">
        <f t="shared" si="69"/>
        <v>2020</v>
      </c>
      <c r="AP39">
        <f t="shared" si="70"/>
        <v>5</v>
      </c>
      <c r="AQ39" t="str">
        <f>IF(COUNTIF($F$15:F39,F39)=1,B39,"")</f>
        <v/>
      </c>
      <c r="AR39">
        <f t="shared" si="86"/>
        <v>2.5000000000000001E-4</v>
      </c>
      <c r="AS39" s="14">
        <f t="shared" si="71"/>
        <v>43979.667032407408</v>
      </c>
      <c r="AT39" s="35">
        <f t="shared" si="72"/>
        <v>43979.667032407408</v>
      </c>
      <c r="AU39">
        <f t="shared" si="73"/>
        <v>25</v>
      </c>
      <c r="AV39" s="14">
        <f t="shared" si="74"/>
        <v>43952</v>
      </c>
      <c r="AZ39">
        <f t="shared" si="99"/>
        <v>3317.9000000012857</v>
      </c>
      <c r="BA39" s="28">
        <f t="shared" si="100"/>
        <v>-120</v>
      </c>
      <c r="BB39">
        <f t="shared" si="77"/>
        <v>-37.65</v>
      </c>
      <c r="BC39">
        <f t="shared" si="98"/>
        <v>0</v>
      </c>
      <c r="BD39">
        <f t="shared" si="78"/>
        <v>-157.65</v>
      </c>
      <c r="BE39">
        <f t="shared" si="79"/>
        <v>-4.7514994424165562E-2</v>
      </c>
      <c r="BF39">
        <f t="shared" si="80"/>
        <v>25</v>
      </c>
      <c r="BG39">
        <f t="shared" si="87"/>
        <v>50276.339999999967</v>
      </c>
      <c r="BH39">
        <f t="shared" si="97"/>
        <v>50276.339999999967</v>
      </c>
      <c r="BI39">
        <f t="shared" si="101"/>
        <v>6.5993268404209368E-2</v>
      </c>
      <c r="BK39">
        <f t="shared" si="81"/>
        <v>-1</v>
      </c>
      <c r="BL39">
        <f t="shared" si="89"/>
        <v>-1</v>
      </c>
      <c r="BM39">
        <f t="shared" si="90"/>
        <v>-157.65</v>
      </c>
      <c r="BN39">
        <f t="shared" si="91"/>
        <v>0</v>
      </c>
      <c r="BO39">
        <f t="shared" si="92"/>
        <v>0</v>
      </c>
      <c r="BP39">
        <f t="shared" si="82"/>
        <v>0</v>
      </c>
      <c r="BQ39">
        <f t="shared" si="83"/>
        <v>-1</v>
      </c>
      <c r="BR39">
        <f>IFERROR(MAX($BG$14:BG39),"")</f>
        <v>50827.539999999979</v>
      </c>
      <c r="BS39">
        <f t="shared" si="84"/>
        <v>-1.0844514607632237E-2</v>
      </c>
    </row>
    <row r="40" spans="2:71" ht="21.95" customHeight="1">
      <c r="B40" s="158">
        <f t="shared" si="93"/>
        <v>26</v>
      </c>
      <c r="C40" s="345">
        <v>43979.666666666664</v>
      </c>
      <c r="D40" s="346" t="s">
        <v>3</v>
      </c>
      <c r="E40" s="347">
        <v>5</v>
      </c>
      <c r="F40" s="348" t="s">
        <v>376</v>
      </c>
      <c r="G40" s="349">
        <v>1.2277100000000001</v>
      </c>
      <c r="H40" s="349">
        <v>1.22831</v>
      </c>
      <c r="I40" s="349">
        <v>0</v>
      </c>
      <c r="J40" s="350">
        <v>43979.668761574074</v>
      </c>
      <c r="K40" s="349">
        <v>1.22831</v>
      </c>
      <c r="L40" s="351">
        <v>-37.65</v>
      </c>
      <c r="M40" s="352">
        <v>300</v>
      </c>
      <c r="N40" s="353"/>
      <c r="O40" s="354"/>
      <c r="P40">
        <f t="shared" si="53"/>
        <v>5.9999999999993392E-4</v>
      </c>
      <c r="Q40">
        <f t="shared" si="54"/>
        <v>6138.5500000006768</v>
      </c>
      <c r="R40">
        <f t="shared" si="55"/>
        <v>6141.5500000006778</v>
      </c>
      <c r="S40" s="711">
        <f t="shared" si="56"/>
        <v>5.9999999999993392</v>
      </c>
      <c r="T40" s="712">
        <f t="shared" si="57"/>
        <v>262.35000000000002</v>
      </c>
      <c r="U40" s="713">
        <f t="shared" si="94"/>
        <v>4.2738105904484139E-2</v>
      </c>
      <c r="V40" s="419" t="str">
        <f t="shared" si="95"/>
        <v xml:space="preserve">0d 0h 3m </v>
      </c>
      <c r="W40" s="714">
        <f t="shared" si="60"/>
        <v>0.52181602718097653</v>
      </c>
      <c r="X40" s="684" t="s">
        <v>158</v>
      </c>
      <c r="Y40" s="688"/>
      <c r="Z40" s="688"/>
      <c r="AA40" s="682"/>
      <c r="AB40" s="682"/>
      <c r="AC40" s="683"/>
      <c r="AD40" t="str">
        <f t="shared" si="85"/>
        <v>W</v>
      </c>
      <c r="AE40">
        <f t="shared" si="61"/>
        <v>100000</v>
      </c>
      <c r="AF40">
        <f t="shared" si="62"/>
        <v>2.0949074096279219E-3</v>
      </c>
      <c r="AG40" s="156">
        <f t="shared" si="63"/>
        <v>1E-4</v>
      </c>
      <c r="AH40">
        <f t="shared" si="64"/>
        <v>127</v>
      </c>
      <c r="AI40">
        <f t="shared" si="65"/>
        <v>1</v>
      </c>
      <c r="AJ40">
        <f t="shared" si="66"/>
        <v>0.01</v>
      </c>
      <c r="AM40">
        <f t="shared" si="67"/>
        <v>100000.00000001102</v>
      </c>
      <c r="AN40" t="str">
        <f t="shared" si="68"/>
        <v>May</v>
      </c>
      <c r="AO40">
        <f t="shared" si="69"/>
        <v>2020</v>
      </c>
      <c r="AP40">
        <f t="shared" si="70"/>
        <v>5</v>
      </c>
      <c r="AQ40">
        <f>IF(COUNTIF($F$15:F40,F40)=1,B40,"")</f>
        <v>26</v>
      </c>
      <c r="AR40">
        <f t="shared" si="86"/>
        <v>2.6000000000000003E-4</v>
      </c>
      <c r="AS40" s="14">
        <f t="shared" si="71"/>
        <v>43979.669021574075</v>
      </c>
      <c r="AT40" s="35">
        <f t="shared" si="72"/>
        <v>43979.668624907405</v>
      </c>
      <c r="AU40">
        <f t="shared" si="73"/>
        <v>28</v>
      </c>
      <c r="AV40" s="14">
        <f t="shared" si="74"/>
        <v>43952</v>
      </c>
      <c r="AZ40">
        <f t="shared" si="99"/>
        <v>5000.2031999998117</v>
      </c>
      <c r="BA40" s="28">
        <f t="shared" si="100"/>
        <v>-55.68</v>
      </c>
      <c r="BB40">
        <f t="shared" si="77"/>
        <v>-37.65</v>
      </c>
      <c r="BC40">
        <f t="shared" si="98"/>
        <v>0</v>
      </c>
      <c r="BD40">
        <f t="shared" si="78"/>
        <v>-93.33</v>
      </c>
      <c r="BE40">
        <f t="shared" si="79"/>
        <v>-1.8665241444588393E-2</v>
      </c>
      <c r="BF40">
        <f t="shared" si="80"/>
        <v>26</v>
      </c>
      <c r="BG40">
        <f t="shared" si="87"/>
        <v>50183.009999999966</v>
      </c>
      <c r="BH40">
        <f t="shared" si="97"/>
        <v>50183.009999999966</v>
      </c>
      <c r="BI40">
        <f t="shared" si="101"/>
        <v>9.963936399988392E-2</v>
      </c>
      <c r="BK40">
        <f t="shared" si="81"/>
        <v>-1</v>
      </c>
      <c r="BL40">
        <f t="shared" si="89"/>
        <v>-2</v>
      </c>
      <c r="BM40">
        <f t="shared" si="90"/>
        <v>-250.98000000000002</v>
      </c>
      <c r="BN40">
        <f t="shared" si="91"/>
        <v>0</v>
      </c>
      <c r="BO40">
        <f t="shared" si="92"/>
        <v>0</v>
      </c>
      <c r="BP40">
        <f t="shared" si="82"/>
        <v>0</v>
      </c>
      <c r="BQ40">
        <f t="shared" si="83"/>
        <v>-2</v>
      </c>
      <c r="BR40">
        <f>IFERROR(MAX($BG$14:BG40),"")</f>
        <v>50827.539999999979</v>
      </c>
      <c r="BS40">
        <f t="shared" si="84"/>
        <v>-1.2680723875285203E-2</v>
      </c>
    </row>
    <row r="41" spans="2:71" ht="21.95" customHeight="1">
      <c r="B41" s="158">
        <f t="shared" si="93"/>
        <v>27</v>
      </c>
      <c r="C41" s="345">
        <v>43979.667928240742</v>
      </c>
      <c r="D41" s="346" t="s">
        <v>3</v>
      </c>
      <c r="E41" s="347">
        <v>5</v>
      </c>
      <c r="F41" s="348" t="s">
        <v>474</v>
      </c>
      <c r="G41" s="349">
        <v>0.66371999999999998</v>
      </c>
      <c r="H41" s="349">
        <v>0.66425999999999996</v>
      </c>
      <c r="I41" s="349">
        <v>0</v>
      </c>
      <c r="J41" s="350">
        <v>43979.670381944445</v>
      </c>
      <c r="K41" s="349">
        <v>0.66425999999999996</v>
      </c>
      <c r="L41" s="351">
        <v>-37.65</v>
      </c>
      <c r="M41" s="352">
        <v>270</v>
      </c>
      <c r="N41" s="353"/>
      <c r="O41" s="354"/>
      <c r="P41">
        <f t="shared" si="53"/>
        <v>5.3999999999998494E-4</v>
      </c>
      <c r="Q41">
        <f t="shared" si="54"/>
        <v>3318.6000000000927</v>
      </c>
      <c r="R41">
        <f t="shared" si="55"/>
        <v>3321.3000000000925</v>
      </c>
      <c r="S41" s="711">
        <f t="shared" si="56"/>
        <v>5.3999999999998494</v>
      </c>
      <c r="T41" s="712">
        <f t="shared" si="57"/>
        <v>232.35</v>
      </c>
      <c r="U41" s="713">
        <f t="shared" si="94"/>
        <v>7.0014463930571175E-2</v>
      </c>
      <c r="V41" s="419" t="str">
        <f t="shared" si="95"/>
        <v xml:space="preserve">0d 0h 3m </v>
      </c>
      <c r="W41" s="714">
        <f t="shared" si="60"/>
        <v>0.46300530797176204</v>
      </c>
      <c r="X41" s="684" t="s">
        <v>158</v>
      </c>
      <c r="Y41" s="688"/>
      <c r="Z41" s="688"/>
      <c r="AA41" s="682"/>
      <c r="AB41" s="682"/>
      <c r="AC41" s="683"/>
      <c r="AD41" t="str">
        <f t="shared" si="85"/>
        <v>W</v>
      </c>
      <c r="AE41">
        <f t="shared" si="61"/>
        <v>100000</v>
      </c>
      <c r="AF41">
        <f t="shared" si="62"/>
        <v>2.4537037024856545E-3</v>
      </c>
      <c r="AG41" s="156">
        <f t="shared" si="63"/>
        <v>1E-4</v>
      </c>
      <c r="AH41">
        <f t="shared" si="64"/>
        <v>82</v>
      </c>
      <c r="AI41">
        <f t="shared" si="65"/>
        <v>1</v>
      </c>
      <c r="AJ41">
        <f t="shared" si="66"/>
        <v>0.01</v>
      </c>
      <c r="AM41">
        <f t="shared" si="67"/>
        <v>100000.00000000279</v>
      </c>
      <c r="AN41" t="str">
        <f t="shared" si="68"/>
        <v>May</v>
      </c>
      <c r="AO41">
        <f t="shared" si="69"/>
        <v>2020</v>
      </c>
      <c r="AP41">
        <f t="shared" si="70"/>
        <v>5</v>
      </c>
      <c r="AQ41" t="str">
        <f>IF(COUNTIF($F$15:F41,F41)=1,B41,"")</f>
        <v/>
      </c>
      <c r="AR41">
        <f t="shared" si="86"/>
        <v>2.7000000000000006E-4</v>
      </c>
      <c r="AS41" s="14">
        <f t="shared" si="71"/>
        <v>43979.670651944441</v>
      </c>
      <c r="AT41" s="35">
        <f t="shared" si="72"/>
        <v>43979.669021574075</v>
      </c>
      <c r="AU41">
        <f t="shared" si="73"/>
        <v>26</v>
      </c>
      <c r="AV41" s="14">
        <f t="shared" si="74"/>
        <v>43952</v>
      </c>
      <c r="AZ41">
        <f t="shared" si="99"/>
        <v>6138.5500000006768</v>
      </c>
      <c r="BA41" s="28">
        <f t="shared" si="100"/>
        <v>300</v>
      </c>
      <c r="BB41">
        <f t="shared" si="77"/>
        <v>-37.65</v>
      </c>
      <c r="BC41">
        <f t="shared" si="98"/>
        <v>0</v>
      </c>
      <c r="BD41">
        <f t="shared" si="78"/>
        <v>262.35000000000002</v>
      </c>
      <c r="BE41">
        <f t="shared" si="79"/>
        <v>4.2738105904484139E-2</v>
      </c>
      <c r="BF41">
        <f t="shared" si="80"/>
        <v>27</v>
      </c>
      <c r="BG41">
        <f t="shared" si="87"/>
        <v>50445.359999999964</v>
      </c>
      <c r="BH41">
        <f t="shared" si="97"/>
        <v>50445.359999999964</v>
      </c>
      <c r="BI41">
        <f t="shared" si="101"/>
        <v>0.12168710858641273</v>
      </c>
      <c r="BK41">
        <f t="shared" si="81"/>
        <v>1</v>
      </c>
      <c r="BL41">
        <f t="shared" si="89"/>
        <v>0</v>
      </c>
      <c r="BM41">
        <f t="shared" si="90"/>
        <v>0</v>
      </c>
      <c r="BN41">
        <f t="shared" si="91"/>
        <v>1</v>
      </c>
      <c r="BO41">
        <f t="shared" si="92"/>
        <v>262.35000000000002</v>
      </c>
      <c r="BP41">
        <f t="shared" si="82"/>
        <v>0</v>
      </c>
      <c r="BQ41">
        <f t="shared" si="83"/>
        <v>1</v>
      </c>
      <c r="BR41">
        <f>IFERROR(MAX($BG$14:BG41),"")</f>
        <v>50827.539999999979</v>
      </c>
      <c r="BS41">
        <f t="shared" si="84"/>
        <v>-7.5191520187680733E-3</v>
      </c>
    </row>
    <row r="42" spans="2:71" ht="21.95" customHeight="1">
      <c r="B42" s="158">
        <f t="shared" si="93"/>
        <v>28</v>
      </c>
      <c r="C42" s="345">
        <v>43979.667997685188</v>
      </c>
      <c r="D42" s="346" t="s">
        <v>3</v>
      </c>
      <c r="E42" s="347">
        <v>5</v>
      </c>
      <c r="F42" s="348" t="s">
        <v>375</v>
      </c>
      <c r="G42" s="349">
        <v>107.76300000000001</v>
      </c>
      <c r="H42" s="349">
        <v>107.751</v>
      </c>
      <c r="I42" s="349">
        <v>0</v>
      </c>
      <c r="J42" s="350">
        <v>43979.668344907404</v>
      </c>
      <c r="K42" s="349">
        <v>107.751</v>
      </c>
      <c r="L42" s="351">
        <v>-37.65</v>
      </c>
      <c r="M42" s="352">
        <v>-55.68</v>
      </c>
      <c r="N42" s="353"/>
      <c r="O42" s="354"/>
      <c r="P42">
        <f t="shared" si="53"/>
        <v>-1.2000000000000455E-2</v>
      </c>
      <c r="Q42">
        <f t="shared" si="54"/>
        <v>5000.2031999998117</v>
      </c>
      <c r="R42">
        <f t="shared" si="55"/>
        <v>4999.6463999998114</v>
      </c>
      <c r="S42" s="711">
        <f t="shared" si="56"/>
        <v>-1.2000000000000455</v>
      </c>
      <c r="T42" s="712">
        <f t="shared" si="57"/>
        <v>-93.33</v>
      </c>
      <c r="U42" s="713">
        <f t="shared" si="94"/>
        <v>-1.8665241444588393E-2</v>
      </c>
      <c r="V42" s="419" t="str">
        <f t="shared" si="95"/>
        <v xml:space="preserve">0d 0h 0m </v>
      </c>
      <c r="W42" s="714">
        <f t="shared" si="60"/>
        <v>-0.18501206057405489</v>
      </c>
      <c r="X42" s="684" t="s">
        <v>158</v>
      </c>
      <c r="Y42" s="688"/>
      <c r="Z42" s="688"/>
      <c r="AA42" s="682"/>
      <c r="AB42" s="682"/>
      <c r="AC42" s="683"/>
      <c r="AD42" t="str">
        <f t="shared" si="85"/>
        <v>L</v>
      </c>
      <c r="AE42">
        <f t="shared" si="61"/>
        <v>1000</v>
      </c>
      <c r="AF42">
        <f t="shared" si="62"/>
        <v>3.4722221607808024E-4</v>
      </c>
      <c r="AG42" s="156">
        <f t="shared" si="63"/>
        <v>0.01</v>
      </c>
      <c r="AH42">
        <f t="shared" si="64"/>
        <v>147</v>
      </c>
      <c r="AI42">
        <f t="shared" si="65"/>
        <v>1</v>
      </c>
      <c r="AJ42">
        <f t="shared" si="66"/>
        <v>0.01</v>
      </c>
      <c r="AM42">
        <f t="shared" si="67"/>
        <v>927.99999999996487</v>
      </c>
      <c r="AN42" t="str">
        <f t="shared" si="68"/>
        <v>May</v>
      </c>
      <c r="AO42">
        <f t="shared" si="69"/>
        <v>2020</v>
      </c>
      <c r="AP42">
        <f t="shared" si="70"/>
        <v>5</v>
      </c>
      <c r="AQ42">
        <f>IF(COUNTIF($F$15:F42,F42)=1,B42,"")</f>
        <v>28</v>
      </c>
      <c r="AR42">
        <f t="shared" si="86"/>
        <v>2.8000000000000008E-4</v>
      </c>
      <c r="AS42" s="14">
        <f t="shared" si="71"/>
        <v>43979.668624907405</v>
      </c>
      <c r="AT42" s="35">
        <f t="shared" si="72"/>
        <v>43979.670651944441</v>
      </c>
      <c r="AU42">
        <f t="shared" si="73"/>
        <v>27</v>
      </c>
      <c r="AV42" s="14">
        <f t="shared" si="74"/>
        <v>43952</v>
      </c>
      <c r="AZ42">
        <f t="shared" si="99"/>
        <v>3318.6000000000927</v>
      </c>
      <c r="BA42" s="28">
        <f t="shared" si="100"/>
        <v>270</v>
      </c>
      <c r="BB42">
        <f t="shared" si="77"/>
        <v>-37.65</v>
      </c>
      <c r="BC42">
        <f t="shared" si="98"/>
        <v>0</v>
      </c>
      <c r="BD42">
        <f t="shared" si="78"/>
        <v>232.35</v>
      </c>
      <c r="BE42">
        <f t="shared" si="79"/>
        <v>7.0014463930571175E-2</v>
      </c>
      <c r="BF42">
        <f t="shared" si="80"/>
        <v>28</v>
      </c>
      <c r="BG42">
        <f t="shared" si="87"/>
        <v>50677.709999999963</v>
      </c>
      <c r="BH42">
        <f t="shared" si="97"/>
        <v>50677.709999999963</v>
      </c>
      <c r="BI42">
        <f t="shared" si="101"/>
        <v>6.5484411193798914E-2</v>
      </c>
      <c r="BK42">
        <f t="shared" si="81"/>
        <v>1</v>
      </c>
      <c r="BL42">
        <f t="shared" si="89"/>
        <v>0</v>
      </c>
      <c r="BM42">
        <f t="shared" si="90"/>
        <v>0</v>
      </c>
      <c r="BN42">
        <f t="shared" si="91"/>
        <v>2</v>
      </c>
      <c r="BO42">
        <f t="shared" si="92"/>
        <v>494.70000000000005</v>
      </c>
      <c r="BP42">
        <f t="shared" si="82"/>
        <v>0</v>
      </c>
      <c r="BQ42">
        <f t="shared" si="83"/>
        <v>2</v>
      </c>
      <c r="BR42">
        <f>IFERROR(MAX($BG$14:BG42),"")</f>
        <v>50827.539999999979</v>
      </c>
      <c r="BS42">
        <f t="shared" si="84"/>
        <v>-2.9478113636822942E-3</v>
      </c>
    </row>
    <row r="43" spans="2:71" ht="21.95" customHeight="1">
      <c r="B43" s="158">
        <f t="shared" si="93"/>
        <v>29</v>
      </c>
      <c r="C43" s="345">
        <v>43979.674930555557</v>
      </c>
      <c r="D43" s="346" t="s">
        <v>3</v>
      </c>
      <c r="E43" s="347">
        <v>10</v>
      </c>
      <c r="F43" s="348" t="s">
        <v>174</v>
      </c>
      <c r="G43" s="349">
        <v>1.10293</v>
      </c>
      <c r="H43" s="349">
        <v>1.1034999999999999</v>
      </c>
      <c r="I43" s="349">
        <v>0</v>
      </c>
      <c r="J43" s="350">
        <v>43979.678240740737</v>
      </c>
      <c r="K43" s="349">
        <v>1.1036600000000001</v>
      </c>
      <c r="L43" s="351">
        <v>-75.3</v>
      </c>
      <c r="M43" s="352">
        <v>730</v>
      </c>
      <c r="N43" s="353"/>
      <c r="O43" s="354"/>
      <c r="P43">
        <f t="shared" si="53"/>
        <v>7.3000000000011944E-4</v>
      </c>
      <c r="Q43">
        <f t="shared" si="54"/>
        <v>11029.299999998197</v>
      </c>
      <c r="R43">
        <f t="shared" si="55"/>
        <v>11036.599999998196</v>
      </c>
      <c r="S43" s="711">
        <f t="shared" si="56"/>
        <v>7.3000000000011944</v>
      </c>
      <c r="T43" s="712">
        <f t="shared" si="57"/>
        <v>654.70000000000005</v>
      </c>
      <c r="U43" s="713">
        <f t="shared" si="94"/>
        <v>5.9360068182033952E-2</v>
      </c>
      <c r="V43" s="419" t="str">
        <f t="shared" si="95"/>
        <v xml:space="preserve">0d 0h 4m </v>
      </c>
      <c r="W43" s="714">
        <f t="shared" si="60"/>
        <v>1.2918894717223817</v>
      </c>
      <c r="X43" s="684"/>
      <c r="Y43" s="688" t="s">
        <v>56</v>
      </c>
      <c r="Z43" s="688" t="s">
        <v>113</v>
      </c>
      <c r="AA43" s="682"/>
      <c r="AB43" s="682"/>
      <c r="AC43" s="683"/>
      <c r="AD43" t="str">
        <f t="shared" si="85"/>
        <v>W</v>
      </c>
      <c r="AE43">
        <f t="shared" si="61"/>
        <v>100000</v>
      </c>
      <c r="AF43">
        <f t="shared" si="62"/>
        <v>3.3101851804531179E-3</v>
      </c>
      <c r="AG43" s="156">
        <f t="shared" si="63"/>
        <v>1E-4</v>
      </c>
      <c r="AH43">
        <f t="shared" si="64"/>
        <v>109</v>
      </c>
      <c r="AI43">
        <f t="shared" si="65"/>
        <v>1</v>
      </c>
      <c r="AJ43">
        <f t="shared" si="66"/>
        <v>0.01</v>
      </c>
      <c r="AM43">
        <f t="shared" si="67"/>
        <v>99999.999999983644</v>
      </c>
      <c r="AN43" t="str">
        <f t="shared" si="68"/>
        <v>May</v>
      </c>
      <c r="AO43">
        <f t="shared" si="69"/>
        <v>2020</v>
      </c>
      <c r="AP43">
        <f t="shared" si="70"/>
        <v>5</v>
      </c>
      <c r="AQ43" t="str">
        <f>IF(COUNTIF($F$15:F43,F43)=1,B43,"")</f>
        <v/>
      </c>
      <c r="AR43">
        <f t="shared" si="86"/>
        <v>2.9000000000000011E-4</v>
      </c>
      <c r="AS43" s="14">
        <f t="shared" si="71"/>
        <v>43979.678530740741</v>
      </c>
      <c r="AT43" s="35">
        <f t="shared" si="72"/>
        <v>43979.678530740741</v>
      </c>
      <c r="AU43">
        <f t="shared" si="73"/>
        <v>29</v>
      </c>
      <c r="AV43" s="14">
        <f t="shared" si="74"/>
        <v>43952</v>
      </c>
      <c r="AZ43">
        <f t="shared" si="99"/>
        <v>11029.299999998197</v>
      </c>
      <c r="BA43" s="28">
        <f t="shared" si="100"/>
        <v>730</v>
      </c>
      <c r="BB43">
        <f t="shared" si="77"/>
        <v>-75.3</v>
      </c>
      <c r="BC43">
        <f t="shared" si="98"/>
        <v>0</v>
      </c>
      <c r="BD43">
        <f t="shared" si="78"/>
        <v>654.70000000000005</v>
      </c>
      <c r="BE43">
        <f t="shared" si="79"/>
        <v>5.9360068182033952E-2</v>
      </c>
      <c r="BF43">
        <f t="shared" si="80"/>
        <v>29</v>
      </c>
      <c r="BG43">
        <f t="shared" si="87"/>
        <v>51332.40999999996</v>
      </c>
      <c r="BH43">
        <f t="shared" si="97"/>
        <v>51332.40999999996</v>
      </c>
      <c r="BI43">
        <f t="shared" si="101"/>
        <v>0.21486035820251193</v>
      </c>
      <c r="BK43">
        <f t="shared" si="81"/>
        <v>1</v>
      </c>
      <c r="BL43">
        <f t="shared" si="89"/>
        <v>0</v>
      </c>
      <c r="BM43">
        <f t="shared" si="90"/>
        <v>0</v>
      </c>
      <c r="BN43">
        <f t="shared" si="91"/>
        <v>3</v>
      </c>
      <c r="BO43">
        <f t="shared" si="92"/>
        <v>1149.4000000000001</v>
      </c>
      <c r="BP43">
        <f t="shared" si="82"/>
        <v>0</v>
      </c>
      <c r="BQ43">
        <f t="shared" si="83"/>
        <v>3</v>
      </c>
      <c r="BR43">
        <f>IFERROR(MAX($BG$14:BG43),"")</f>
        <v>51332.40999999996</v>
      </c>
      <c r="BS43">
        <f t="shared" si="84"/>
        <v>0</v>
      </c>
    </row>
    <row r="44" spans="2:71" ht="21.95" customHeight="1">
      <c r="B44" s="158">
        <f t="shared" si="93"/>
        <v>30</v>
      </c>
      <c r="C44" s="345">
        <v>43979.695324074077</v>
      </c>
      <c r="D44" s="346" t="s">
        <v>3</v>
      </c>
      <c r="E44" s="347">
        <v>50</v>
      </c>
      <c r="F44" s="348" t="s">
        <v>376</v>
      </c>
      <c r="G44" s="349">
        <v>1.2282200000000001</v>
      </c>
      <c r="H44" s="349">
        <v>1.22858</v>
      </c>
      <c r="I44" s="349">
        <v>0</v>
      </c>
      <c r="J44" s="350">
        <v>43979.696504629632</v>
      </c>
      <c r="K44" s="349">
        <v>1.22858</v>
      </c>
      <c r="L44" s="351">
        <v>-376.5</v>
      </c>
      <c r="M44" s="352">
        <v>1800</v>
      </c>
      <c r="N44" s="353"/>
      <c r="O44" s="354"/>
      <c r="P44">
        <f t="shared" si="53"/>
        <v>3.5999999999991594E-4</v>
      </c>
      <c r="Q44">
        <f t="shared" si="54"/>
        <v>61411.000000014341</v>
      </c>
      <c r="R44">
        <f t="shared" si="55"/>
        <v>61429.000000014355</v>
      </c>
      <c r="S44" s="711">
        <f t="shared" si="56"/>
        <v>3.5999999999991594</v>
      </c>
      <c r="T44" s="712">
        <f t="shared" si="57"/>
        <v>1423.5</v>
      </c>
      <c r="U44" s="713">
        <f t="shared" si="94"/>
        <v>2.3179886339575444E-2</v>
      </c>
      <c r="V44" s="419" t="str">
        <f t="shared" si="95"/>
        <v xml:space="preserve">0d 0h 1m </v>
      </c>
      <c r="W44" s="714">
        <f t="shared" si="60"/>
        <v>2.7731018278705424</v>
      </c>
      <c r="X44" s="684" t="s">
        <v>157</v>
      </c>
      <c r="Y44" s="688" t="s">
        <v>56</v>
      </c>
      <c r="Z44" s="688" t="s">
        <v>113</v>
      </c>
      <c r="AA44" s="682"/>
      <c r="AB44" s="682"/>
      <c r="AC44" s="683"/>
      <c r="AD44" t="str">
        <f t="shared" si="85"/>
        <v>W</v>
      </c>
      <c r="AE44">
        <f t="shared" si="61"/>
        <v>100000</v>
      </c>
      <c r="AF44">
        <f t="shared" si="62"/>
        <v>1.1805555550381541E-3</v>
      </c>
      <c r="AG44" s="156">
        <f t="shared" si="63"/>
        <v>1E-4</v>
      </c>
      <c r="AH44">
        <f t="shared" si="64"/>
        <v>127</v>
      </c>
      <c r="AI44">
        <f t="shared" si="65"/>
        <v>1</v>
      </c>
      <c r="AJ44">
        <f t="shared" si="66"/>
        <v>0.01</v>
      </c>
      <c r="AM44">
        <f t="shared" si="67"/>
        <v>100000.00000002336</v>
      </c>
      <c r="AN44" t="str">
        <f t="shared" si="68"/>
        <v>May</v>
      </c>
      <c r="AO44">
        <f t="shared" si="69"/>
        <v>2020</v>
      </c>
      <c r="AP44">
        <f t="shared" si="70"/>
        <v>5</v>
      </c>
      <c r="AQ44" t="str">
        <f>IF(COUNTIF($F$15:F44,F44)=1,B44,"")</f>
        <v/>
      </c>
      <c r="AR44">
        <f t="shared" si="86"/>
        <v>3.0000000000000014E-4</v>
      </c>
      <c r="AS44" s="14">
        <f t="shared" si="71"/>
        <v>43979.696804629632</v>
      </c>
      <c r="AT44" s="35">
        <f t="shared" si="72"/>
        <v>43979.696804629632</v>
      </c>
      <c r="AU44">
        <f t="shared" si="73"/>
        <v>30</v>
      </c>
      <c r="AV44" s="14">
        <f t="shared" si="74"/>
        <v>43952</v>
      </c>
      <c r="AZ44">
        <f t="shared" si="99"/>
        <v>61411.000000014341</v>
      </c>
      <c r="BA44" s="28">
        <f t="shared" si="100"/>
        <v>1800</v>
      </c>
      <c r="BB44">
        <f t="shared" si="77"/>
        <v>-376.5</v>
      </c>
      <c r="BC44">
        <f t="shared" si="98"/>
        <v>0</v>
      </c>
      <c r="BD44">
        <f t="shared" si="78"/>
        <v>1423.5</v>
      </c>
      <c r="BE44">
        <f t="shared" si="79"/>
        <v>2.3179886339575444E-2</v>
      </c>
      <c r="BF44">
        <f t="shared" si="80"/>
        <v>30</v>
      </c>
      <c r="BG44">
        <f t="shared" si="87"/>
        <v>52755.90999999996</v>
      </c>
      <c r="BH44">
        <f t="shared" si="97"/>
        <v>52755.90999999996</v>
      </c>
      <c r="BI44">
        <f t="shared" si="101"/>
        <v>1.1640591546997179</v>
      </c>
      <c r="BK44">
        <f t="shared" si="81"/>
        <v>1</v>
      </c>
      <c r="BL44">
        <f t="shared" si="89"/>
        <v>0</v>
      </c>
      <c r="BM44">
        <f t="shared" si="90"/>
        <v>0</v>
      </c>
      <c r="BN44">
        <f t="shared" si="91"/>
        <v>4</v>
      </c>
      <c r="BO44">
        <f t="shared" si="92"/>
        <v>2572.9</v>
      </c>
      <c r="BP44">
        <f t="shared" si="82"/>
        <v>0</v>
      </c>
      <c r="BQ44">
        <f t="shared" si="83"/>
        <v>4</v>
      </c>
      <c r="BR44">
        <f>IFERROR(MAX($BG$14:BG44),"")</f>
        <v>52755.90999999996</v>
      </c>
      <c r="BS44">
        <f t="shared" si="84"/>
        <v>0</v>
      </c>
    </row>
    <row r="45" spans="2:71" ht="21.95" customHeight="1">
      <c r="B45" s="158">
        <f t="shared" si="93"/>
        <v>31</v>
      </c>
      <c r="C45" s="345">
        <v>43979.713599537034</v>
      </c>
      <c r="D45" s="346" t="s">
        <v>3</v>
      </c>
      <c r="E45" s="347">
        <v>20</v>
      </c>
      <c r="F45" s="348" t="s">
        <v>174</v>
      </c>
      <c r="G45" s="349">
        <v>1.10429</v>
      </c>
      <c r="H45" s="349">
        <v>1.10419</v>
      </c>
      <c r="I45" s="349">
        <v>0</v>
      </c>
      <c r="J45" s="350">
        <v>43979.714039351849</v>
      </c>
      <c r="K45" s="349">
        <v>1.10419</v>
      </c>
      <c r="L45" s="351">
        <v>-150.6</v>
      </c>
      <c r="M45" s="352">
        <v>-200</v>
      </c>
      <c r="N45" s="353"/>
      <c r="O45" s="354"/>
      <c r="P45">
        <f t="shared" si="53"/>
        <v>-9.9999999999988987E-5</v>
      </c>
      <c r="Q45">
        <f t="shared" si="54"/>
        <v>22085.800000002429</v>
      </c>
      <c r="R45">
        <f t="shared" si="55"/>
        <v>22083.800000002429</v>
      </c>
      <c r="S45" s="711">
        <f t="shared" si="56"/>
        <v>-0.99999999999988987</v>
      </c>
      <c r="T45" s="712">
        <f t="shared" si="57"/>
        <v>-350.6</v>
      </c>
      <c r="U45" s="713">
        <f t="shared" si="94"/>
        <v>-1.5874453268614287E-2</v>
      </c>
      <c r="V45" s="419" t="str">
        <f t="shared" si="95"/>
        <v xml:space="preserve">0d 0h 0m </v>
      </c>
      <c r="W45" s="714">
        <f t="shared" si="60"/>
        <v>-0.66457009271567924</v>
      </c>
      <c r="X45" s="684"/>
      <c r="Y45" s="688"/>
      <c r="Z45" s="688"/>
      <c r="AA45" s="682"/>
      <c r="AB45" s="682"/>
      <c r="AC45" s="683"/>
      <c r="AD45" t="str">
        <f t="shared" si="85"/>
        <v>L</v>
      </c>
      <c r="AE45">
        <f t="shared" si="61"/>
        <v>100000</v>
      </c>
      <c r="AF45">
        <f t="shared" si="62"/>
        <v>4.398148157633841E-4</v>
      </c>
      <c r="AG45" s="156">
        <f t="shared" si="63"/>
        <v>1E-4</v>
      </c>
      <c r="AH45">
        <f t="shared" si="64"/>
        <v>109</v>
      </c>
      <c r="AI45">
        <f t="shared" si="65"/>
        <v>1</v>
      </c>
      <c r="AJ45">
        <f t="shared" si="66"/>
        <v>0.01</v>
      </c>
      <c r="AM45">
        <f t="shared" si="67"/>
        <v>100000.00000001102</v>
      </c>
      <c r="AN45" t="str">
        <f t="shared" si="68"/>
        <v>May</v>
      </c>
      <c r="AO45">
        <f t="shared" si="69"/>
        <v>2020</v>
      </c>
      <c r="AP45">
        <f t="shared" si="70"/>
        <v>5</v>
      </c>
      <c r="AQ45" t="str">
        <f>IF(COUNTIF($F$15:F45,F45)=1,B45,"")</f>
        <v/>
      </c>
      <c r="AR45">
        <f t="shared" si="86"/>
        <v>3.1000000000000016E-4</v>
      </c>
      <c r="AS45" s="14">
        <f t="shared" si="71"/>
        <v>43979.714349351852</v>
      </c>
      <c r="AT45" s="35">
        <f t="shared" si="72"/>
        <v>43979.714349351852</v>
      </c>
      <c r="AU45">
        <f t="shared" si="73"/>
        <v>31</v>
      </c>
      <c r="AV45" s="14">
        <f t="shared" si="74"/>
        <v>43952</v>
      </c>
      <c r="AZ45">
        <f t="shared" si="99"/>
        <v>22085.800000002429</v>
      </c>
      <c r="BA45" s="28">
        <f t="shared" si="100"/>
        <v>-200.00000000000003</v>
      </c>
      <c r="BB45">
        <f t="shared" si="77"/>
        <v>-150.6</v>
      </c>
      <c r="BC45">
        <f t="shared" si="98"/>
        <v>0</v>
      </c>
      <c r="BD45">
        <f t="shared" si="78"/>
        <v>-350.6</v>
      </c>
      <c r="BE45">
        <f t="shared" si="79"/>
        <v>-1.5874453268614287E-2</v>
      </c>
      <c r="BF45">
        <f t="shared" si="80"/>
        <v>31</v>
      </c>
      <c r="BG45">
        <f t="shared" si="87"/>
        <v>52405.309999999961</v>
      </c>
      <c r="BH45">
        <f t="shared" si="97"/>
        <v>52405.309999999961</v>
      </c>
      <c r="BI45">
        <f t="shared" si="101"/>
        <v>0.42144202562683908</v>
      </c>
      <c r="BK45">
        <f t="shared" si="81"/>
        <v>-1</v>
      </c>
      <c r="BL45">
        <f t="shared" si="89"/>
        <v>-1</v>
      </c>
      <c r="BM45">
        <f t="shared" si="90"/>
        <v>-350.6</v>
      </c>
      <c r="BN45">
        <f t="shared" si="91"/>
        <v>0</v>
      </c>
      <c r="BO45">
        <f t="shared" si="92"/>
        <v>0</v>
      </c>
      <c r="BP45">
        <f t="shared" si="82"/>
        <v>0</v>
      </c>
      <c r="BQ45">
        <f t="shared" si="83"/>
        <v>-1</v>
      </c>
      <c r="BR45">
        <f>IFERROR(MAX($BG$14:BG45),"")</f>
        <v>52755.90999999996</v>
      </c>
      <c r="BS45">
        <f t="shared" si="84"/>
        <v>-6.6457009271567646E-3</v>
      </c>
    </row>
    <row r="46" spans="2:71" ht="21.95" customHeight="1">
      <c r="B46" s="158">
        <f t="shared" si="93"/>
        <v>32</v>
      </c>
      <c r="C46" s="345">
        <v>43980.177118055559</v>
      </c>
      <c r="D46" s="346" t="s">
        <v>3</v>
      </c>
      <c r="E46" s="347">
        <v>1</v>
      </c>
      <c r="F46" s="348" t="s">
        <v>174</v>
      </c>
      <c r="G46" s="349">
        <v>1.10761</v>
      </c>
      <c r="H46" s="349">
        <v>1.1088199999999999</v>
      </c>
      <c r="I46" s="349">
        <v>0</v>
      </c>
      <c r="J46" s="350">
        <v>43980.251817129632</v>
      </c>
      <c r="K46" s="349">
        <v>1.1088199999999999</v>
      </c>
      <c r="L46" s="351">
        <v>-7.53</v>
      </c>
      <c r="M46" s="352">
        <v>121</v>
      </c>
      <c r="N46" s="353"/>
      <c r="O46" s="354"/>
      <c r="P46">
        <f t="shared" si="53"/>
        <v>1.2099999999999334E-3</v>
      </c>
      <c r="Q46">
        <f t="shared" si="54"/>
        <v>1107.6100000000611</v>
      </c>
      <c r="R46">
        <f t="shared" si="55"/>
        <v>1108.8200000000611</v>
      </c>
      <c r="S46" s="711">
        <f t="shared" si="56"/>
        <v>12.099999999999334</v>
      </c>
      <c r="T46" s="712">
        <f t="shared" si="57"/>
        <v>113.47</v>
      </c>
      <c r="U46" s="713">
        <f t="shared" si="94"/>
        <v>0.10244580673702272</v>
      </c>
      <c r="V46" s="419" t="str">
        <f t="shared" si="95"/>
        <v xml:space="preserve">0d 1h 47m </v>
      </c>
      <c r="W46" s="714">
        <f t="shared" si="60"/>
        <v>0.21652385989129744</v>
      </c>
      <c r="X46" s="684"/>
      <c r="Y46" s="688"/>
      <c r="Z46" s="688"/>
      <c r="AA46" s="682"/>
      <c r="AB46" s="682"/>
      <c r="AC46" s="683"/>
      <c r="AD46" t="str">
        <f t="shared" si="85"/>
        <v>W</v>
      </c>
      <c r="AE46">
        <f t="shared" si="61"/>
        <v>100000</v>
      </c>
      <c r="AF46">
        <f t="shared" si="62"/>
        <v>7.4699074073578231E-2</v>
      </c>
      <c r="AG46" s="156">
        <f t="shared" si="63"/>
        <v>1E-4</v>
      </c>
      <c r="AH46">
        <f t="shared" si="64"/>
        <v>109</v>
      </c>
      <c r="AI46">
        <f t="shared" si="65"/>
        <v>1</v>
      </c>
      <c r="AJ46">
        <f t="shared" si="66"/>
        <v>0.01</v>
      </c>
      <c r="AM46">
        <f t="shared" si="67"/>
        <v>100000.00000000552</v>
      </c>
      <c r="AN46" t="str">
        <f t="shared" si="68"/>
        <v>May</v>
      </c>
      <c r="AO46">
        <f t="shared" si="69"/>
        <v>2020</v>
      </c>
      <c r="AP46">
        <f t="shared" si="70"/>
        <v>6</v>
      </c>
      <c r="AQ46" t="str">
        <f>IF(COUNTIF($F$15:F46,F46)=1,B46,"")</f>
        <v/>
      </c>
      <c r="AR46">
        <f t="shared" si="86"/>
        <v>3.2000000000000019E-4</v>
      </c>
      <c r="AS46" s="14">
        <f t="shared" si="71"/>
        <v>43980.252137129632</v>
      </c>
      <c r="AT46" s="35">
        <f t="shared" si="72"/>
        <v>43980.252137129632</v>
      </c>
      <c r="AU46">
        <f t="shared" si="73"/>
        <v>32</v>
      </c>
      <c r="AV46" s="14">
        <f t="shared" si="74"/>
        <v>43952</v>
      </c>
      <c r="AZ46">
        <f t="shared" si="99"/>
        <v>1107.6100000000611</v>
      </c>
      <c r="BA46" s="28">
        <f t="shared" si="100"/>
        <v>121</v>
      </c>
      <c r="BB46">
        <f t="shared" si="77"/>
        <v>-7.53</v>
      </c>
      <c r="BC46">
        <f t="shared" si="98"/>
        <v>0</v>
      </c>
      <c r="BD46">
        <f t="shared" si="78"/>
        <v>113.47</v>
      </c>
      <c r="BE46">
        <f t="shared" si="79"/>
        <v>0.10244580673702272</v>
      </c>
      <c r="BF46">
        <f t="shared" si="80"/>
        <v>32</v>
      </c>
      <c r="BG46">
        <f t="shared" si="87"/>
        <v>52518.779999999962</v>
      </c>
      <c r="BH46">
        <f t="shared" si="97"/>
        <v>52518.779999999962</v>
      </c>
      <c r="BI46">
        <f t="shared" si="101"/>
        <v>2.1089789214449799E-2</v>
      </c>
      <c r="BK46">
        <f t="shared" si="81"/>
        <v>1</v>
      </c>
      <c r="BL46">
        <f t="shared" si="89"/>
        <v>0</v>
      </c>
      <c r="BM46">
        <f t="shared" si="90"/>
        <v>0</v>
      </c>
      <c r="BN46">
        <f t="shared" si="91"/>
        <v>1</v>
      </c>
      <c r="BO46">
        <f t="shared" si="92"/>
        <v>113.47</v>
      </c>
      <c r="BP46">
        <f t="shared" si="82"/>
        <v>0</v>
      </c>
      <c r="BQ46">
        <f t="shared" si="83"/>
        <v>1</v>
      </c>
      <c r="BR46">
        <f>IFERROR(MAX($BG$14:BG46),"")</f>
        <v>52755.90999999996</v>
      </c>
      <c r="BS46">
        <f t="shared" si="84"/>
        <v>-4.4948518564080792E-3</v>
      </c>
    </row>
    <row r="47" spans="2:71" ht="21.95" customHeight="1">
      <c r="B47" s="158">
        <f t="shared" si="93"/>
        <v>33</v>
      </c>
      <c r="C47" s="345">
        <v>43980.251284722224</v>
      </c>
      <c r="D47" s="346" t="s">
        <v>3</v>
      </c>
      <c r="E47" s="347">
        <v>5</v>
      </c>
      <c r="F47" s="348" t="s">
        <v>376</v>
      </c>
      <c r="G47" s="349">
        <v>1.2329699999999999</v>
      </c>
      <c r="H47" s="349">
        <v>0</v>
      </c>
      <c r="I47" s="349">
        <v>0</v>
      </c>
      <c r="J47" s="350">
        <v>43980.259745370371</v>
      </c>
      <c r="K47" s="349">
        <v>1.2323599999999999</v>
      </c>
      <c r="L47" s="351">
        <v>-37.65</v>
      </c>
      <c r="M47" s="352">
        <v>-305</v>
      </c>
      <c r="N47" s="353"/>
      <c r="O47" s="354"/>
      <c r="P47">
        <f t="shared" si="53"/>
        <v>-6.0999999999999943E-4</v>
      </c>
      <c r="Q47">
        <f t="shared" si="54"/>
        <v>6164.8500000000049</v>
      </c>
      <c r="R47">
        <f t="shared" si="55"/>
        <v>6161.8000000000047</v>
      </c>
      <c r="S47" s="711">
        <f t="shared" si="56"/>
        <v>-6.0999999999999943</v>
      </c>
      <c r="T47" s="712">
        <f t="shared" si="57"/>
        <v>-342.65</v>
      </c>
      <c r="U47" s="713">
        <f t="shared" si="94"/>
        <v>-5.5581238797375393E-2</v>
      </c>
      <c r="V47" s="419" t="str">
        <f t="shared" si="95"/>
        <v xml:space="preserve">0d 0h 12m </v>
      </c>
      <c r="W47" s="714">
        <f t="shared" si="60"/>
        <v>-0.65243328196123418</v>
      </c>
      <c r="X47" s="684"/>
      <c r="Y47" s="688"/>
      <c r="Z47" s="688"/>
      <c r="AA47" s="682"/>
      <c r="AB47" s="682"/>
      <c r="AC47" s="683"/>
      <c r="AD47" t="str">
        <f t="shared" si="85"/>
        <v>L</v>
      </c>
      <c r="AE47">
        <f t="shared" si="61"/>
        <v>100000</v>
      </c>
      <c r="AF47">
        <f t="shared" si="62"/>
        <v>8.4606481468654238E-3</v>
      </c>
      <c r="AG47" s="156">
        <f t="shared" si="63"/>
        <v>1E-4</v>
      </c>
      <c r="AH47">
        <f t="shared" si="64"/>
        <v>127</v>
      </c>
      <c r="AI47">
        <f t="shared" si="65"/>
        <v>1</v>
      </c>
      <c r="AJ47">
        <f t="shared" si="66"/>
        <v>0.01</v>
      </c>
      <c r="AM47">
        <f t="shared" si="67"/>
        <v>100000.00000000009</v>
      </c>
      <c r="AN47" t="str">
        <f t="shared" si="68"/>
        <v>May</v>
      </c>
      <c r="AO47">
        <f t="shared" si="69"/>
        <v>2020</v>
      </c>
      <c r="AP47">
        <f t="shared" si="70"/>
        <v>6</v>
      </c>
      <c r="AQ47" t="str">
        <f>IF(COUNTIF($F$15:F47,F47)=1,B47,"")</f>
        <v/>
      </c>
      <c r="AR47">
        <f t="shared" si="86"/>
        <v>3.3000000000000022E-4</v>
      </c>
      <c r="AS47" s="14">
        <f t="shared" si="71"/>
        <v>43980.260075370374</v>
      </c>
      <c r="AT47" s="35">
        <f t="shared" si="72"/>
        <v>43980.260075370374</v>
      </c>
      <c r="AU47">
        <f t="shared" si="73"/>
        <v>33</v>
      </c>
      <c r="AV47" s="14">
        <f t="shared" si="74"/>
        <v>43952</v>
      </c>
      <c r="AZ47">
        <f t="shared" si="99"/>
        <v>6164.8500000000049</v>
      </c>
      <c r="BA47" s="28">
        <f t="shared" si="100"/>
        <v>-305</v>
      </c>
      <c r="BB47">
        <f t="shared" si="77"/>
        <v>-37.65</v>
      </c>
      <c r="BC47">
        <f t="shared" si="98"/>
        <v>0</v>
      </c>
      <c r="BD47">
        <f t="shared" si="78"/>
        <v>-342.65</v>
      </c>
      <c r="BE47">
        <f t="shared" si="79"/>
        <v>-5.5581238797375393E-2</v>
      </c>
      <c r="BF47">
        <f t="shared" si="80"/>
        <v>33</v>
      </c>
      <c r="BG47">
        <f t="shared" si="87"/>
        <v>52176.129999999961</v>
      </c>
      <c r="BH47">
        <f t="shared" si="97"/>
        <v>52176.129999999961</v>
      </c>
      <c r="BI47">
        <f t="shared" si="101"/>
        <v>0.1181546044139343</v>
      </c>
      <c r="BK47">
        <f t="shared" si="81"/>
        <v>-1</v>
      </c>
      <c r="BL47">
        <f t="shared" si="89"/>
        <v>-1</v>
      </c>
      <c r="BM47">
        <f t="shared" si="90"/>
        <v>-342.65</v>
      </c>
      <c r="BN47">
        <f t="shared" si="91"/>
        <v>0</v>
      </c>
      <c r="BO47">
        <f t="shared" si="92"/>
        <v>0</v>
      </c>
      <c r="BP47">
        <f t="shared" si="82"/>
        <v>0</v>
      </c>
      <c r="BQ47">
        <f t="shared" si="83"/>
        <v>-1</v>
      </c>
      <c r="BR47">
        <f>IFERROR(MAX($BG$14:BG47),"")</f>
        <v>52755.90999999996</v>
      </c>
      <c r="BS47">
        <f t="shared" si="84"/>
        <v>-1.098985876653439E-2</v>
      </c>
    </row>
    <row r="48" spans="2:71" ht="21.95" customHeight="1">
      <c r="B48" s="158">
        <f t="shared" si="93"/>
        <v>34</v>
      </c>
      <c r="C48" s="345">
        <v>43980.338495370372</v>
      </c>
      <c r="D48" s="346" t="s">
        <v>3</v>
      </c>
      <c r="E48" s="347">
        <v>5</v>
      </c>
      <c r="F48" s="348" t="s">
        <v>375</v>
      </c>
      <c r="G48" s="349">
        <v>107.148</v>
      </c>
      <c r="H48" s="349">
        <v>107.21</v>
      </c>
      <c r="I48" s="349">
        <v>107.255</v>
      </c>
      <c r="J48" s="350">
        <v>43980.345208333332</v>
      </c>
      <c r="K48" s="349">
        <v>107.21</v>
      </c>
      <c r="L48" s="351">
        <v>-37.65</v>
      </c>
      <c r="M48" s="352">
        <v>289.14999999999998</v>
      </c>
      <c r="N48" s="353"/>
      <c r="O48" s="354"/>
      <c r="P48">
        <f t="shared" si="53"/>
        <v>6.1999999999997613E-2</v>
      </c>
      <c r="Q48">
        <f t="shared" si="54"/>
        <v>4997.0716451614826</v>
      </c>
      <c r="R48">
        <f t="shared" si="55"/>
        <v>4999.9631451614823</v>
      </c>
      <c r="S48" s="711">
        <f t="shared" si="56"/>
        <v>6.1999999999997613</v>
      </c>
      <c r="T48" s="712">
        <f t="shared" si="57"/>
        <v>251.49999999999997</v>
      </c>
      <c r="U48" s="713">
        <f t="shared" si="94"/>
        <v>5.0329476513213497E-2</v>
      </c>
      <c r="V48" s="419" t="str">
        <f t="shared" si="95"/>
        <v xml:space="preserve">0d 0h 9m </v>
      </c>
      <c r="W48" s="714">
        <f t="shared" si="60"/>
        <v>0.48202118478315686</v>
      </c>
      <c r="X48" s="684"/>
      <c r="Y48" s="688"/>
      <c r="Z48" s="688"/>
      <c r="AA48" s="682"/>
      <c r="AB48" s="682"/>
      <c r="AC48" s="683"/>
      <c r="AD48" t="str">
        <f t="shared" si="85"/>
        <v>W</v>
      </c>
      <c r="AE48">
        <f t="shared" si="61"/>
        <v>1000</v>
      </c>
      <c r="AF48">
        <f t="shared" si="62"/>
        <v>6.7129629605915397E-3</v>
      </c>
      <c r="AG48" s="156">
        <f t="shared" si="63"/>
        <v>0.01</v>
      </c>
      <c r="AH48">
        <f t="shared" si="64"/>
        <v>147</v>
      </c>
      <c r="AI48">
        <f t="shared" si="65"/>
        <v>1</v>
      </c>
      <c r="AJ48">
        <f t="shared" si="66"/>
        <v>0.01</v>
      </c>
      <c r="AM48">
        <f t="shared" si="67"/>
        <v>932.74193548390679</v>
      </c>
      <c r="AN48" t="str">
        <f t="shared" si="68"/>
        <v>May</v>
      </c>
      <c r="AO48">
        <f t="shared" si="69"/>
        <v>2020</v>
      </c>
      <c r="AP48">
        <f t="shared" si="70"/>
        <v>6</v>
      </c>
      <c r="AQ48" t="str">
        <f>IF(COUNTIF($F$15:F48,F48)=1,B48,"")</f>
        <v/>
      </c>
      <c r="AR48">
        <f t="shared" si="86"/>
        <v>3.4000000000000024E-4</v>
      </c>
      <c r="AS48" s="14">
        <f t="shared" si="71"/>
        <v>43980.345548333331</v>
      </c>
      <c r="AT48" s="35">
        <f t="shared" si="72"/>
        <v>43980.345548333331</v>
      </c>
      <c r="AU48">
        <f t="shared" si="73"/>
        <v>34</v>
      </c>
      <c r="AV48" s="14">
        <f t="shared" si="74"/>
        <v>43952</v>
      </c>
      <c r="AZ48">
        <f t="shared" si="99"/>
        <v>4997.0716451614826</v>
      </c>
      <c r="BA48" s="28">
        <f t="shared" si="100"/>
        <v>289.14999999999998</v>
      </c>
      <c r="BB48">
        <f t="shared" si="77"/>
        <v>-37.65</v>
      </c>
      <c r="BC48">
        <f t="shared" si="98"/>
        <v>0</v>
      </c>
      <c r="BD48">
        <f t="shared" si="78"/>
        <v>251.49999999999997</v>
      </c>
      <c r="BE48">
        <f t="shared" si="79"/>
        <v>5.0329476513213497E-2</v>
      </c>
      <c r="BF48">
        <f t="shared" si="80"/>
        <v>34</v>
      </c>
      <c r="BG48">
        <f t="shared" si="87"/>
        <v>52427.629999999961</v>
      </c>
      <c r="BH48">
        <f t="shared" si="97"/>
        <v>52427.629999999961</v>
      </c>
      <c r="BI48">
        <f t="shared" si="101"/>
        <v>9.53137047232821E-2</v>
      </c>
      <c r="BK48">
        <f t="shared" si="81"/>
        <v>1</v>
      </c>
      <c r="BL48">
        <f t="shared" si="89"/>
        <v>0</v>
      </c>
      <c r="BM48">
        <f t="shared" si="90"/>
        <v>0</v>
      </c>
      <c r="BN48">
        <f t="shared" si="91"/>
        <v>1</v>
      </c>
      <c r="BO48">
        <f t="shared" si="92"/>
        <v>251.49999999999997</v>
      </c>
      <c r="BP48">
        <f t="shared" si="82"/>
        <v>0</v>
      </c>
      <c r="BQ48">
        <f t="shared" si="83"/>
        <v>1</v>
      </c>
      <c r="BR48">
        <f>IFERROR(MAX($BG$14:BG48),"")</f>
        <v>52755.90999999996</v>
      </c>
      <c r="BS48">
        <f t="shared" si="84"/>
        <v>-6.2226203661352652E-3</v>
      </c>
    </row>
    <row r="49" spans="2:71" ht="21.95" customHeight="1">
      <c r="B49" s="158">
        <f t="shared" si="93"/>
        <v>35</v>
      </c>
      <c r="C49" s="345">
        <v>43980.354317129626</v>
      </c>
      <c r="D49" s="346" t="s">
        <v>3</v>
      </c>
      <c r="E49" s="347">
        <v>5</v>
      </c>
      <c r="F49" s="348" t="s">
        <v>474</v>
      </c>
      <c r="G49" s="349">
        <v>0.66495000000000004</v>
      </c>
      <c r="H49" s="349">
        <v>0.66583000000000003</v>
      </c>
      <c r="I49" s="349">
        <v>0</v>
      </c>
      <c r="J49" s="350">
        <v>43980.37090277778</v>
      </c>
      <c r="K49" s="349">
        <v>0.66583000000000003</v>
      </c>
      <c r="L49" s="351">
        <v>-37.65</v>
      </c>
      <c r="M49" s="352">
        <v>440</v>
      </c>
      <c r="N49" s="353"/>
      <c r="O49" s="354"/>
      <c r="P49">
        <f t="shared" si="53"/>
        <v>8.799999999999919E-4</v>
      </c>
      <c r="Q49">
        <f t="shared" si="54"/>
        <v>3324.7500000000309</v>
      </c>
      <c r="R49">
        <f t="shared" si="55"/>
        <v>3329.150000000031</v>
      </c>
      <c r="S49" s="711">
        <f t="shared" si="56"/>
        <v>8.799999999999919</v>
      </c>
      <c r="T49" s="712">
        <f t="shared" si="57"/>
        <v>402.35</v>
      </c>
      <c r="U49" s="713">
        <f t="shared" si="94"/>
        <v>0.12101661779081022</v>
      </c>
      <c r="V49" s="419" t="str">
        <f t="shared" si="95"/>
        <v xml:space="preserve">0d 0h 23m </v>
      </c>
      <c r="W49" s="714">
        <f t="shared" si="60"/>
        <v>0.76743884856134126</v>
      </c>
      <c r="X49" s="684"/>
      <c r="Y49" s="688" t="s">
        <v>56</v>
      </c>
      <c r="Z49" s="688" t="s">
        <v>113</v>
      </c>
      <c r="AA49" s="682"/>
      <c r="AB49" s="682"/>
      <c r="AC49" s="683"/>
      <c r="AD49" t="str">
        <f t="shared" si="85"/>
        <v>W</v>
      </c>
      <c r="AE49">
        <f t="shared" si="61"/>
        <v>100000</v>
      </c>
      <c r="AF49">
        <f t="shared" si="62"/>
        <v>1.658564815443242E-2</v>
      </c>
      <c r="AG49" s="156">
        <f t="shared" si="63"/>
        <v>1E-4</v>
      </c>
      <c r="AH49">
        <f t="shared" si="64"/>
        <v>82</v>
      </c>
      <c r="AI49">
        <f t="shared" si="65"/>
        <v>1</v>
      </c>
      <c r="AJ49">
        <f t="shared" si="66"/>
        <v>0.01</v>
      </c>
      <c r="AM49">
        <f t="shared" si="67"/>
        <v>100000.00000000092</v>
      </c>
      <c r="AN49" t="str">
        <f t="shared" si="68"/>
        <v>May</v>
      </c>
      <c r="AO49">
        <f t="shared" si="69"/>
        <v>2020</v>
      </c>
      <c r="AP49">
        <f t="shared" si="70"/>
        <v>6</v>
      </c>
      <c r="AQ49" t="str">
        <f>IF(COUNTIF($F$15:F49,F49)=1,B49,"")</f>
        <v/>
      </c>
      <c r="AR49">
        <f t="shared" si="86"/>
        <v>3.5000000000000027E-4</v>
      </c>
      <c r="AS49" s="14">
        <f t="shared" si="71"/>
        <v>43980.371252777783</v>
      </c>
      <c r="AT49" s="35">
        <f t="shared" si="72"/>
        <v>43980.371252777783</v>
      </c>
      <c r="AU49">
        <f t="shared" si="73"/>
        <v>35</v>
      </c>
      <c r="AV49" s="14">
        <f t="shared" si="74"/>
        <v>43952</v>
      </c>
      <c r="AZ49">
        <f t="shared" si="99"/>
        <v>3324.7500000000309</v>
      </c>
      <c r="BA49" s="28">
        <f t="shared" si="100"/>
        <v>440</v>
      </c>
      <c r="BB49">
        <f t="shared" si="77"/>
        <v>-37.65</v>
      </c>
      <c r="BC49">
        <f t="shared" si="98"/>
        <v>0</v>
      </c>
      <c r="BD49">
        <f t="shared" si="78"/>
        <v>402.35</v>
      </c>
      <c r="BE49">
        <f t="shared" si="79"/>
        <v>0.12101661779081022</v>
      </c>
      <c r="BF49">
        <f t="shared" si="80"/>
        <v>35</v>
      </c>
      <c r="BG49">
        <f t="shared" si="87"/>
        <v>52829.97999999996</v>
      </c>
      <c r="BH49">
        <f t="shared" si="97"/>
        <v>52829.97999999996</v>
      </c>
      <c r="BI49">
        <f t="shared" si="101"/>
        <v>6.2933016442558443E-2</v>
      </c>
      <c r="BK49">
        <f t="shared" si="81"/>
        <v>1</v>
      </c>
      <c r="BL49">
        <f t="shared" si="89"/>
        <v>0</v>
      </c>
      <c r="BM49">
        <f t="shared" si="90"/>
        <v>0</v>
      </c>
      <c r="BN49">
        <f t="shared" si="91"/>
        <v>2</v>
      </c>
      <c r="BO49">
        <f t="shared" si="92"/>
        <v>653.85</v>
      </c>
      <c r="BP49">
        <f t="shared" si="82"/>
        <v>0</v>
      </c>
      <c r="BQ49">
        <f t="shared" si="83"/>
        <v>2</v>
      </c>
      <c r="BR49">
        <f>IFERROR(MAX($BG$14:BG49),"")</f>
        <v>52829.97999999996</v>
      </c>
      <c r="BS49">
        <f t="shared" si="84"/>
        <v>0</v>
      </c>
    </row>
    <row r="50" spans="2:71" ht="21.95" customHeight="1">
      <c r="B50" s="158">
        <f t="shared" si="93"/>
        <v>36</v>
      </c>
      <c r="C50" s="345">
        <v>43980.576597222222</v>
      </c>
      <c r="D50" s="346" t="s">
        <v>3</v>
      </c>
      <c r="E50" s="347">
        <v>50</v>
      </c>
      <c r="F50" s="348" t="s">
        <v>475</v>
      </c>
      <c r="G50" s="349">
        <v>1.3744099999999999</v>
      </c>
      <c r="H50" s="349">
        <v>1.3747799999999999</v>
      </c>
      <c r="I50" s="349">
        <v>0</v>
      </c>
      <c r="J50" s="350">
        <v>43980.577743055554</v>
      </c>
      <c r="K50" s="349">
        <v>1.3747799999999999</v>
      </c>
      <c r="L50" s="351">
        <v>-376.5</v>
      </c>
      <c r="M50" s="352">
        <v>1345.67</v>
      </c>
      <c r="N50" s="353"/>
      <c r="O50" s="354"/>
      <c r="P50">
        <f t="shared" si="53"/>
        <v>3.6999999999998145E-4</v>
      </c>
      <c r="Q50">
        <f t="shared" si="54"/>
        <v>49986.548775678188</v>
      </c>
      <c r="R50">
        <f t="shared" si="55"/>
        <v>50000.005475678183</v>
      </c>
      <c r="S50" s="711">
        <f t="shared" si="56"/>
        <v>3.6999999999998145</v>
      </c>
      <c r="T50" s="712">
        <f t="shared" si="57"/>
        <v>969.17000000000007</v>
      </c>
      <c r="U50" s="713">
        <f t="shared" si="94"/>
        <v>1.9388616012465464E-2</v>
      </c>
      <c r="V50" s="419" t="str">
        <f t="shared" si="95"/>
        <v xml:space="preserve">0d 0h 1m </v>
      </c>
      <c r="W50" s="714">
        <f t="shared" si="60"/>
        <v>1.8345076034478924</v>
      </c>
      <c r="X50" s="684"/>
      <c r="Y50" s="688" t="s">
        <v>56</v>
      </c>
      <c r="Z50" s="688" t="s">
        <v>113</v>
      </c>
      <c r="AA50" s="682"/>
      <c r="AB50" s="682"/>
      <c r="AC50" s="683"/>
      <c r="AD50" t="str">
        <f t="shared" si="85"/>
        <v>W</v>
      </c>
      <c r="AE50">
        <f t="shared" si="61"/>
        <v>100000</v>
      </c>
      <c r="AF50">
        <f t="shared" si="62"/>
        <v>1.1458333319751546E-3</v>
      </c>
      <c r="AG50" s="156">
        <f t="shared" si="63"/>
        <v>1E-4</v>
      </c>
      <c r="AH50">
        <f t="shared" si="64"/>
        <v>140</v>
      </c>
      <c r="AI50">
        <f t="shared" si="65"/>
        <v>1</v>
      </c>
      <c r="AJ50">
        <f t="shared" si="66"/>
        <v>0.01</v>
      </c>
      <c r="AM50">
        <f t="shared" si="67"/>
        <v>72738.918918922573</v>
      </c>
      <c r="AN50" t="str">
        <f t="shared" si="68"/>
        <v>May</v>
      </c>
      <c r="AO50">
        <f t="shared" si="69"/>
        <v>2020</v>
      </c>
      <c r="AP50">
        <f t="shared" si="70"/>
        <v>6</v>
      </c>
      <c r="AQ50">
        <f>IF(COUNTIF($F$15:F50,F50)=1,B50,"")</f>
        <v>36</v>
      </c>
      <c r="AR50">
        <f t="shared" si="86"/>
        <v>3.6000000000000029E-4</v>
      </c>
      <c r="AS50" s="14">
        <f t="shared" si="71"/>
        <v>43980.578103055552</v>
      </c>
      <c r="AT50" s="35">
        <f t="shared" si="72"/>
        <v>43980.578103055552</v>
      </c>
      <c r="AU50">
        <f t="shared" si="73"/>
        <v>36</v>
      </c>
      <c r="AV50" s="14">
        <f t="shared" si="74"/>
        <v>43952</v>
      </c>
      <c r="AZ50">
        <f t="shared" si="99"/>
        <v>49986.548775678188</v>
      </c>
      <c r="BA50" s="28">
        <f t="shared" si="100"/>
        <v>1345.67</v>
      </c>
      <c r="BB50">
        <f t="shared" si="77"/>
        <v>-376.5</v>
      </c>
      <c r="BC50">
        <f t="shared" si="98"/>
        <v>0</v>
      </c>
      <c r="BD50">
        <f t="shared" si="78"/>
        <v>969.17000000000007</v>
      </c>
      <c r="BE50">
        <f t="shared" si="79"/>
        <v>1.9388616012465464E-2</v>
      </c>
      <c r="BF50">
        <f t="shared" si="80"/>
        <v>36</v>
      </c>
      <c r="BG50">
        <f t="shared" si="87"/>
        <v>53799.149999999958</v>
      </c>
      <c r="BH50">
        <f t="shared" si="97"/>
        <v>53799.149999999958</v>
      </c>
      <c r="BI50">
        <f t="shared" si="101"/>
        <v>0.92913268658850978</v>
      </c>
      <c r="BK50">
        <f t="shared" si="81"/>
        <v>1</v>
      </c>
      <c r="BL50">
        <f t="shared" si="89"/>
        <v>0</v>
      </c>
      <c r="BM50">
        <f t="shared" si="90"/>
        <v>0</v>
      </c>
      <c r="BN50">
        <f t="shared" si="91"/>
        <v>3</v>
      </c>
      <c r="BO50">
        <f t="shared" si="92"/>
        <v>1623.02</v>
      </c>
      <c r="BP50">
        <f t="shared" si="82"/>
        <v>0</v>
      </c>
      <c r="BQ50">
        <f t="shared" si="83"/>
        <v>3</v>
      </c>
      <c r="BR50">
        <f>IFERROR(MAX($BG$14:BG50),"")</f>
        <v>53799.149999999958</v>
      </c>
      <c r="BS50">
        <f t="shared" si="84"/>
        <v>0</v>
      </c>
    </row>
    <row r="51" spans="2:71" ht="21.95" customHeight="1">
      <c r="B51" s="158">
        <f t="shared" si="93"/>
        <v>37</v>
      </c>
      <c r="C51" s="345">
        <v>43980.578842592593</v>
      </c>
      <c r="D51" s="346" t="s">
        <v>3</v>
      </c>
      <c r="E51" s="347">
        <v>50</v>
      </c>
      <c r="F51" s="348" t="s">
        <v>475</v>
      </c>
      <c r="G51" s="349">
        <v>1.3747499999999999</v>
      </c>
      <c r="H51" s="349">
        <v>1.37462</v>
      </c>
      <c r="I51" s="349">
        <v>0</v>
      </c>
      <c r="J51" s="350">
        <v>43980.579733796294</v>
      </c>
      <c r="K51" s="349">
        <v>1.3746799999999999</v>
      </c>
      <c r="L51" s="351">
        <v>-376.5</v>
      </c>
      <c r="M51" s="352">
        <v>-254.6</v>
      </c>
      <c r="N51" s="353"/>
      <c r="O51" s="354"/>
      <c r="P51">
        <f t="shared" si="53"/>
        <v>-7.0000000000014495E-5</v>
      </c>
      <c r="Q51">
        <f t="shared" si="54"/>
        <v>50001.621428561069</v>
      </c>
      <c r="R51">
        <f t="shared" si="55"/>
        <v>49999.075428561075</v>
      </c>
      <c r="S51" s="711">
        <f t="shared" si="56"/>
        <v>-0.70000000000014495</v>
      </c>
      <c r="T51" s="712">
        <f t="shared" si="57"/>
        <v>-631.1</v>
      </c>
      <c r="U51" s="713">
        <f t="shared" si="94"/>
        <v>-1.2621590699847062E-2</v>
      </c>
      <c r="V51" s="419" t="str">
        <f t="shared" si="95"/>
        <v xml:space="preserve">0d 0h 1m </v>
      </c>
      <c r="W51" s="714">
        <f t="shared" si="60"/>
        <v>-1.173066860721778</v>
      </c>
      <c r="X51" s="684"/>
      <c r="Y51" s="688"/>
      <c r="Z51" s="688"/>
      <c r="AA51" s="682"/>
      <c r="AB51" s="682"/>
      <c r="AC51" s="683"/>
      <c r="AD51" t="str">
        <f t="shared" si="85"/>
        <v>L</v>
      </c>
      <c r="AE51">
        <f t="shared" si="61"/>
        <v>100000</v>
      </c>
      <c r="AF51">
        <f t="shared" si="62"/>
        <v>8.9120370103046298E-4</v>
      </c>
      <c r="AG51" s="156">
        <f t="shared" si="63"/>
        <v>1E-4</v>
      </c>
      <c r="AH51">
        <f t="shared" si="64"/>
        <v>140</v>
      </c>
      <c r="AI51">
        <f t="shared" si="65"/>
        <v>1</v>
      </c>
      <c r="AJ51">
        <f t="shared" si="66"/>
        <v>0.01</v>
      </c>
      <c r="AM51">
        <f t="shared" si="67"/>
        <v>72742.857142842084</v>
      </c>
      <c r="AN51" t="str">
        <f t="shared" si="68"/>
        <v>May</v>
      </c>
      <c r="AO51">
        <f t="shared" si="69"/>
        <v>2020</v>
      </c>
      <c r="AP51">
        <f t="shared" si="70"/>
        <v>6</v>
      </c>
      <c r="AQ51" t="str">
        <f>IF(COUNTIF($F$15:F51,F51)=1,B51,"")</f>
        <v/>
      </c>
      <c r="AR51">
        <f t="shared" si="86"/>
        <v>3.7000000000000032E-4</v>
      </c>
      <c r="AS51" s="14">
        <f t="shared" si="71"/>
        <v>43980.580103796296</v>
      </c>
      <c r="AT51" s="35">
        <f t="shared" si="72"/>
        <v>43980.580103796296</v>
      </c>
      <c r="AU51">
        <f t="shared" si="73"/>
        <v>37</v>
      </c>
      <c r="AV51" s="14">
        <f t="shared" si="74"/>
        <v>43952</v>
      </c>
      <c r="AZ51">
        <f t="shared" si="99"/>
        <v>50001.621428561069</v>
      </c>
      <c r="BA51" s="28">
        <f t="shared" si="100"/>
        <v>-254.60000000000002</v>
      </c>
      <c r="BB51">
        <f t="shared" si="77"/>
        <v>-376.5</v>
      </c>
      <c r="BC51">
        <f t="shared" si="98"/>
        <v>0</v>
      </c>
      <c r="BD51">
        <f t="shared" si="78"/>
        <v>-631.1</v>
      </c>
      <c r="BE51">
        <f t="shared" si="79"/>
        <v>-1.2621590699847062E-2</v>
      </c>
      <c r="BF51">
        <f t="shared" si="80"/>
        <v>37</v>
      </c>
      <c r="BG51">
        <f t="shared" si="87"/>
        <v>53168.049999999959</v>
      </c>
      <c r="BH51">
        <f t="shared" si="97"/>
        <v>53168.049999999959</v>
      </c>
      <c r="BI51">
        <f t="shared" si="101"/>
        <v>0.94044489930627717</v>
      </c>
      <c r="BK51">
        <f t="shared" si="81"/>
        <v>-1</v>
      </c>
      <c r="BL51">
        <f t="shared" si="89"/>
        <v>-1</v>
      </c>
      <c r="BM51">
        <f t="shared" si="90"/>
        <v>-631.1</v>
      </c>
      <c r="BN51">
        <f t="shared" si="91"/>
        <v>0</v>
      </c>
      <c r="BO51">
        <f t="shared" si="92"/>
        <v>0</v>
      </c>
      <c r="BP51">
        <f t="shared" si="82"/>
        <v>0</v>
      </c>
      <c r="BQ51">
        <f t="shared" si="83"/>
        <v>-1</v>
      </c>
      <c r="BR51">
        <f>IFERROR(MAX($BG$14:BG51),"")</f>
        <v>53799.149999999958</v>
      </c>
      <c r="BS51">
        <f t="shared" si="84"/>
        <v>-1.1730668607217755E-2</v>
      </c>
    </row>
    <row r="52" spans="2:71" ht="21.95" customHeight="1">
      <c r="B52" s="158">
        <f t="shared" si="93"/>
        <v>38</v>
      </c>
      <c r="C52" s="345">
        <v>43980.591134259259</v>
      </c>
      <c r="D52" s="346" t="s">
        <v>3</v>
      </c>
      <c r="E52" s="347">
        <v>40</v>
      </c>
      <c r="F52" s="348" t="s">
        <v>475</v>
      </c>
      <c r="G52" s="349">
        <v>1.3744799999999999</v>
      </c>
      <c r="H52" s="349">
        <v>1.3743399999999999</v>
      </c>
      <c r="I52" s="349">
        <v>0</v>
      </c>
      <c r="J52" s="350">
        <v>43980.591921296298</v>
      </c>
      <c r="K52" s="349">
        <v>1.3743399999999999</v>
      </c>
      <c r="L52" s="351">
        <v>-301.2</v>
      </c>
      <c r="M52" s="352">
        <v>-407.47</v>
      </c>
      <c r="N52" s="353"/>
      <c r="O52" s="354"/>
      <c r="P52">
        <f t="shared" si="53"/>
        <v>-1.4000000000002899E-4</v>
      </c>
      <c r="Q52">
        <f t="shared" si="54"/>
        <v>40004.240399991715</v>
      </c>
      <c r="R52">
        <f t="shared" si="55"/>
        <v>40000.165699991718</v>
      </c>
      <c r="S52" s="711">
        <f t="shared" si="56"/>
        <v>-1.4000000000002899</v>
      </c>
      <c r="T52" s="712">
        <f t="shared" si="57"/>
        <v>-708.67000000000007</v>
      </c>
      <c r="U52" s="713">
        <f t="shared" si="94"/>
        <v>-1.7714872046418029E-2</v>
      </c>
      <c r="V52" s="419" t="str">
        <f t="shared" si="95"/>
        <v xml:space="preserve">0d 0h 1m </v>
      </c>
      <c r="W52" s="714">
        <f t="shared" si="60"/>
        <v>-1.332886949963372</v>
      </c>
      <c r="X52" s="684"/>
      <c r="Y52" s="688"/>
      <c r="Z52" s="688"/>
      <c r="AA52" s="682"/>
      <c r="AB52" s="682"/>
      <c r="AC52" s="683"/>
      <c r="AD52" t="str">
        <f t="shared" si="85"/>
        <v>L</v>
      </c>
      <c r="AE52">
        <f t="shared" si="61"/>
        <v>100000</v>
      </c>
      <c r="AF52">
        <f t="shared" si="62"/>
        <v>7.8703703911742195E-4</v>
      </c>
      <c r="AG52" s="156">
        <f t="shared" si="63"/>
        <v>1E-4</v>
      </c>
      <c r="AH52">
        <f t="shared" si="64"/>
        <v>140</v>
      </c>
      <c r="AI52">
        <f t="shared" si="65"/>
        <v>1</v>
      </c>
      <c r="AJ52">
        <f t="shared" si="66"/>
        <v>0.01</v>
      </c>
      <c r="AM52">
        <f t="shared" si="67"/>
        <v>72762.499999984939</v>
      </c>
      <c r="AN52" t="str">
        <f t="shared" si="68"/>
        <v>May</v>
      </c>
      <c r="AO52">
        <f t="shared" si="69"/>
        <v>2020</v>
      </c>
      <c r="AP52">
        <f t="shared" si="70"/>
        <v>6</v>
      </c>
      <c r="AQ52" t="str">
        <f>IF(COUNTIF($F$15:F52,F52)=1,B52,"")</f>
        <v/>
      </c>
      <c r="AR52">
        <f t="shared" si="86"/>
        <v>3.8000000000000035E-4</v>
      </c>
      <c r="AS52" s="14">
        <f t="shared" si="71"/>
        <v>43980.592301296296</v>
      </c>
      <c r="AT52" s="35">
        <f t="shared" si="72"/>
        <v>43980.592301296296</v>
      </c>
      <c r="AU52">
        <f t="shared" si="73"/>
        <v>38</v>
      </c>
      <c r="AV52" s="14">
        <f t="shared" si="74"/>
        <v>43952</v>
      </c>
      <c r="AZ52">
        <f t="shared" si="99"/>
        <v>40004.240399991715</v>
      </c>
      <c r="BA52" s="28">
        <f t="shared" si="100"/>
        <v>-407.47000000000008</v>
      </c>
      <c r="BB52">
        <f t="shared" si="77"/>
        <v>-301.2</v>
      </c>
      <c r="BC52">
        <f t="shared" si="98"/>
        <v>0</v>
      </c>
      <c r="BD52">
        <f t="shared" si="78"/>
        <v>-708.67000000000007</v>
      </c>
      <c r="BE52">
        <f t="shared" si="79"/>
        <v>-1.7714872046418029E-2</v>
      </c>
      <c r="BF52">
        <f t="shared" si="80"/>
        <v>38</v>
      </c>
      <c r="BG52">
        <f t="shared" si="87"/>
        <v>52459.379999999961</v>
      </c>
      <c r="BH52">
        <f t="shared" si="97"/>
        <v>52459.379999999961</v>
      </c>
      <c r="BI52">
        <f t="shared" si="101"/>
        <v>0.76257554702308228</v>
      </c>
      <c r="BK52">
        <f t="shared" si="81"/>
        <v>-1</v>
      </c>
      <c r="BL52">
        <f t="shared" si="89"/>
        <v>-2</v>
      </c>
      <c r="BM52">
        <f t="shared" si="90"/>
        <v>-1339.77</v>
      </c>
      <c r="BN52">
        <f t="shared" si="91"/>
        <v>0</v>
      </c>
      <c r="BO52">
        <f t="shared" si="92"/>
        <v>0</v>
      </c>
      <c r="BP52">
        <f t="shared" si="82"/>
        <v>0</v>
      </c>
      <c r="BQ52">
        <f t="shared" si="83"/>
        <v>-2</v>
      </c>
      <c r="BR52">
        <f>IFERROR(MAX($BG$14:BG52),"")</f>
        <v>53799.149999999958</v>
      </c>
      <c r="BS52">
        <f t="shared" si="84"/>
        <v>-2.4903181555842386E-2</v>
      </c>
    </row>
    <row r="53" spans="2:71" ht="21.95" customHeight="1">
      <c r="B53" s="158">
        <f t="shared" si="93"/>
        <v>39</v>
      </c>
      <c r="C53" s="345">
        <v>43980.594201388885</v>
      </c>
      <c r="D53" s="346" t="s">
        <v>3</v>
      </c>
      <c r="E53" s="347">
        <v>30</v>
      </c>
      <c r="F53" s="348" t="s">
        <v>174</v>
      </c>
      <c r="G53" s="349">
        <v>1.11338</v>
      </c>
      <c r="H53" s="349">
        <v>1.1133200000000001</v>
      </c>
      <c r="I53" s="349">
        <v>0</v>
      </c>
      <c r="J53" s="350">
        <v>43980.595960648148</v>
      </c>
      <c r="K53" s="349">
        <v>1.1133200000000001</v>
      </c>
      <c r="L53" s="351">
        <v>-225.9</v>
      </c>
      <c r="M53" s="352">
        <v>-180</v>
      </c>
      <c r="N53" s="353"/>
      <c r="O53" s="354"/>
      <c r="P53">
        <f t="shared" si="53"/>
        <v>-5.9999999999948983E-5</v>
      </c>
      <c r="Q53">
        <f t="shared" si="54"/>
        <v>33401.4000000284</v>
      </c>
      <c r="R53">
        <f t="shared" si="55"/>
        <v>33399.600000028397</v>
      </c>
      <c r="S53" s="711">
        <f t="shared" si="56"/>
        <v>-0.59999999999948983</v>
      </c>
      <c r="T53" s="712">
        <f t="shared" si="57"/>
        <v>-405.9</v>
      </c>
      <c r="U53" s="713">
        <f t="shared" si="94"/>
        <v>-1.2152185237734193E-2</v>
      </c>
      <c r="V53" s="419" t="str">
        <f t="shared" si="95"/>
        <v xml:space="preserve">0d 0h 2m </v>
      </c>
      <c r="W53" s="714">
        <f t="shared" si="60"/>
        <v>-0.77374151200414543</v>
      </c>
      <c r="X53" s="684"/>
      <c r="Y53" s="688"/>
      <c r="Z53" s="688"/>
      <c r="AA53" s="682"/>
      <c r="AB53" s="682"/>
      <c r="AC53" s="683"/>
      <c r="AD53" t="str">
        <f t="shared" si="85"/>
        <v>L</v>
      </c>
      <c r="AE53">
        <f t="shared" si="61"/>
        <v>100000</v>
      </c>
      <c r="AF53">
        <f t="shared" si="62"/>
        <v>1.7592592630535364E-3</v>
      </c>
      <c r="AG53" s="156">
        <f t="shared" si="63"/>
        <v>1E-4</v>
      </c>
      <c r="AH53">
        <f t="shared" si="64"/>
        <v>109</v>
      </c>
      <c r="AI53">
        <f t="shared" si="65"/>
        <v>1</v>
      </c>
      <c r="AJ53">
        <f t="shared" si="66"/>
        <v>0.01</v>
      </c>
      <c r="AM53">
        <f t="shared" si="67"/>
        <v>100000.00000008503</v>
      </c>
      <c r="AN53" t="str">
        <f t="shared" si="68"/>
        <v>May</v>
      </c>
      <c r="AO53">
        <f t="shared" si="69"/>
        <v>2020</v>
      </c>
      <c r="AP53">
        <f t="shared" si="70"/>
        <v>6</v>
      </c>
      <c r="AQ53" t="str">
        <f>IF(COUNTIF($F$15:F53,F53)=1,B53,"")</f>
        <v/>
      </c>
      <c r="AR53">
        <f t="shared" si="86"/>
        <v>3.9000000000000037E-4</v>
      </c>
      <c r="AS53" s="14">
        <f t="shared" si="71"/>
        <v>43980.596350648149</v>
      </c>
      <c r="AT53" s="35">
        <f t="shared" si="72"/>
        <v>43980.596350648149</v>
      </c>
      <c r="AU53">
        <f t="shared" si="73"/>
        <v>39</v>
      </c>
      <c r="AV53" s="14">
        <f t="shared" si="74"/>
        <v>43952</v>
      </c>
      <c r="AZ53">
        <f t="shared" si="99"/>
        <v>33401.4000000284</v>
      </c>
      <c r="BA53" s="28">
        <f t="shared" si="100"/>
        <v>-179.99999999999997</v>
      </c>
      <c r="BB53">
        <f t="shared" si="77"/>
        <v>-225.9</v>
      </c>
      <c r="BC53">
        <f t="shared" si="98"/>
        <v>0</v>
      </c>
      <c r="BD53">
        <f t="shared" si="78"/>
        <v>-405.9</v>
      </c>
      <c r="BE53">
        <f t="shared" si="79"/>
        <v>-1.2152185237734193E-2</v>
      </c>
      <c r="BF53">
        <f t="shared" si="80"/>
        <v>39</v>
      </c>
      <c r="BG53">
        <f t="shared" si="87"/>
        <v>52053.47999999996</v>
      </c>
      <c r="BH53">
        <f t="shared" si="97"/>
        <v>52053.47999999996</v>
      </c>
      <c r="BI53">
        <f t="shared" si="101"/>
        <v>0.641674677658985</v>
      </c>
      <c r="BK53">
        <f t="shared" si="81"/>
        <v>-1</v>
      </c>
      <c r="BL53">
        <f t="shared" si="89"/>
        <v>-3</v>
      </c>
      <c r="BM53">
        <f t="shared" si="90"/>
        <v>-1745.67</v>
      </c>
      <c r="BN53">
        <f t="shared" si="91"/>
        <v>0</v>
      </c>
      <c r="BO53">
        <f t="shared" si="92"/>
        <v>0</v>
      </c>
      <c r="BP53">
        <f t="shared" si="82"/>
        <v>0</v>
      </c>
      <c r="BQ53">
        <f t="shared" si="83"/>
        <v>-3</v>
      </c>
      <c r="BR53">
        <f>IFERROR(MAX($BG$14:BG53),"")</f>
        <v>53799.149999999958</v>
      </c>
      <c r="BS53">
        <f t="shared" si="84"/>
        <v>-3.2447910422376554E-2</v>
      </c>
    </row>
    <row r="54" spans="2:71" ht="21.95" customHeight="1">
      <c r="B54" s="158">
        <f t="shared" si="93"/>
        <v>40</v>
      </c>
      <c r="C54" s="345">
        <v>43980.597581018519</v>
      </c>
      <c r="D54" s="346" t="s">
        <v>3</v>
      </c>
      <c r="E54" s="347">
        <v>40</v>
      </c>
      <c r="F54" s="348" t="s">
        <v>475</v>
      </c>
      <c r="G54" s="349">
        <v>1.3733599999999999</v>
      </c>
      <c r="H54" s="349">
        <v>1.3737999999999999</v>
      </c>
      <c r="I54" s="349">
        <v>0</v>
      </c>
      <c r="J54" s="350">
        <v>43980.602847222224</v>
      </c>
      <c r="K54" s="349">
        <v>1.3737999999999999</v>
      </c>
      <c r="L54" s="351">
        <v>-301.2</v>
      </c>
      <c r="M54" s="352">
        <v>1281.1199999999999</v>
      </c>
      <c r="N54" s="353"/>
      <c r="O54" s="354"/>
      <c r="P54">
        <f t="shared" si="53"/>
        <v>4.3999999999999595E-4</v>
      </c>
      <c r="Q54">
        <f t="shared" si="54"/>
        <v>39987.249163636727</v>
      </c>
      <c r="R54">
        <f t="shared" si="55"/>
        <v>40000.06036363673</v>
      </c>
      <c r="S54" s="711">
        <f t="shared" si="56"/>
        <v>4.3999999999999595</v>
      </c>
      <c r="T54" s="712">
        <f t="shared" si="57"/>
        <v>979.91999999999985</v>
      </c>
      <c r="U54" s="713">
        <f t="shared" si="94"/>
        <v>2.450581173988611E-2</v>
      </c>
      <c r="V54" s="419" t="str">
        <f t="shared" si="95"/>
        <v xml:space="preserve">0d 0h 7m </v>
      </c>
      <c r="W54" s="714">
        <f t="shared" si="60"/>
        <v>1.8825254334580526</v>
      </c>
      <c r="X54" s="684"/>
      <c r="Y54" s="688"/>
      <c r="Z54" s="688"/>
      <c r="AA54" s="682"/>
      <c r="AB54" s="682"/>
      <c r="AC54" s="683"/>
      <c r="AD54" t="str">
        <f t="shared" si="85"/>
        <v>W</v>
      </c>
      <c r="AE54">
        <f t="shared" si="61"/>
        <v>100000</v>
      </c>
      <c r="AF54">
        <f t="shared" si="62"/>
        <v>5.2662037051049992E-3</v>
      </c>
      <c r="AG54" s="156">
        <f t="shared" si="63"/>
        <v>1E-4</v>
      </c>
      <c r="AH54">
        <f t="shared" si="64"/>
        <v>140</v>
      </c>
      <c r="AI54">
        <f t="shared" si="65"/>
        <v>1</v>
      </c>
      <c r="AJ54">
        <f t="shared" si="66"/>
        <v>0.01</v>
      </c>
      <c r="AM54">
        <f t="shared" si="67"/>
        <v>72790.909090909758</v>
      </c>
      <c r="AN54" t="str">
        <f t="shared" si="68"/>
        <v>May</v>
      </c>
      <c r="AO54">
        <f t="shared" si="69"/>
        <v>2020</v>
      </c>
      <c r="AP54">
        <f t="shared" si="70"/>
        <v>6</v>
      </c>
      <c r="AQ54" t="str">
        <f>IF(COUNTIF($F$15:F54,F54)=1,B54,"")</f>
        <v/>
      </c>
      <c r="AR54">
        <f t="shared" si="86"/>
        <v>4.000000000000004E-4</v>
      </c>
      <c r="AS54" s="14">
        <f t="shared" si="71"/>
        <v>43980.603247222221</v>
      </c>
      <c r="AT54" s="35">
        <f t="shared" si="72"/>
        <v>43980.603247222221</v>
      </c>
      <c r="AU54">
        <f t="shared" si="73"/>
        <v>40</v>
      </c>
      <c r="AV54" s="14">
        <f t="shared" si="74"/>
        <v>43952</v>
      </c>
      <c r="AZ54">
        <f t="shared" si="99"/>
        <v>39987.249163636727</v>
      </c>
      <c r="BA54" s="28">
        <f t="shared" si="100"/>
        <v>1281.1199999999999</v>
      </c>
      <c r="BB54">
        <f t="shared" si="77"/>
        <v>-301.2</v>
      </c>
      <c r="BC54">
        <f t="shared" si="98"/>
        <v>0</v>
      </c>
      <c r="BD54">
        <f t="shared" si="78"/>
        <v>979.91999999999985</v>
      </c>
      <c r="BE54">
        <f t="shared" si="79"/>
        <v>2.450581173988611E-2</v>
      </c>
      <c r="BF54">
        <f t="shared" si="80"/>
        <v>40</v>
      </c>
      <c r="BG54">
        <f t="shared" si="87"/>
        <v>53033.399999999958</v>
      </c>
      <c r="BH54">
        <f t="shared" si="97"/>
        <v>53033.399999999958</v>
      </c>
      <c r="BI54">
        <f t="shared" si="101"/>
        <v>0.7540012362706664</v>
      </c>
      <c r="BK54">
        <f t="shared" si="81"/>
        <v>1</v>
      </c>
      <c r="BL54">
        <f t="shared" si="89"/>
        <v>0</v>
      </c>
      <c r="BM54">
        <f t="shared" si="90"/>
        <v>0</v>
      </c>
      <c r="BN54">
        <f t="shared" si="91"/>
        <v>1</v>
      </c>
      <c r="BO54">
        <f t="shared" si="92"/>
        <v>979.91999999999985</v>
      </c>
      <c r="BP54">
        <f t="shared" si="82"/>
        <v>0</v>
      </c>
      <c r="BQ54">
        <f t="shared" si="83"/>
        <v>1</v>
      </c>
      <c r="BR54">
        <f>IFERROR(MAX($BG$14:BG54),"")</f>
        <v>53799.149999999958</v>
      </c>
      <c r="BS54">
        <f t="shared" si="84"/>
        <v>-1.4233496254122985E-2</v>
      </c>
    </row>
    <row r="55" spans="2:71" ht="21.95" customHeight="1">
      <c r="B55" s="158">
        <f t="shared" si="93"/>
        <v>41</v>
      </c>
      <c r="C55" s="345">
        <v>43980.642060185186</v>
      </c>
      <c r="D55" s="346" t="s">
        <v>3</v>
      </c>
      <c r="E55" s="347">
        <v>40</v>
      </c>
      <c r="F55" s="348" t="s">
        <v>475</v>
      </c>
      <c r="G55" s="349">
        <v>1.37304</v>
      </c>
      <c r="H55" s="349">
        <v>1.3728899999999999</v>
      </c>
      <c r="I55" s="349">
        <v>0</v>
      </c>
      <c r="J55" s="350">
        <v>43980.642905092594</v>
      </c>
      <c r="K55" s="349">
        <v>1.3728899999999999</v>
      </c>
      <c r="L55" s="351">
        <v>-301.2</v>
      </c>
      <c r="M55" s="352">
        <v>-437.03</v>
      </c>
      <c r="N55" s="353"/>
      <c r="O55" s="354"/>
      <c r="P55">
        <f t="shared" si="53"/>
        <v>-1.500000000000945E-4</v>
      </c>
      <c r="Q55">
        <f t="shared" si="54"/>
        <v>40003.978079974797</v>
      </c>
      <c r="R55">
        <f t="shared" si="55"/>
        <v>39999.607779974802</v>
      </c>
      <c r="S55" s="711">
        <f t="shared" si="56"/>
        <v>-1.500000000000945</v>
      </c>
      <c r="T55" s="712">
        <f t="shared" si="57"/>
        <v>-738.23</v>
      </c>
      <c r="U55" s="713">
        <f t="shared" si="94"/>
        <v>-1.8453914721284766E-2</v>
      </c>
      <c r="V55" s="419" t="str">
        <f t="shared" si="95"/>
        <v xml:space="preserve">0d 0h 1m </v>
      </c>
      <c r="W55" s="714">
        <f t="shared" si="60"/>
        <v>-1.3920095637843333</v>
      </c>
      <c r="X55" s="684"/>
      <c r="Y55" s="688" t="s">
        <v>52</v>
      </c>
      <c r="Z55" s="688" t="s">
        <v>47</v>
      </c>
      <c r="AA55" s="682"/>
      <c r="AB55" s="682"/>
      <c r="AC55" s="683"/>
      <c r="AD55" t="str">
        <f t="shared" si="85"/>
        <v>L</v>
      </c>
      <c r="AE55">
        <f t="shared" si="61"/>
        <v>100000</v>
      </c>
      <c r="AF55">
        <f t="shared" si="62"/>
        <v>8.4490740846376866E-4</v>
      </c>
      <c r="AG55" s="156">
        <f t="shared" si="63"/>
        <v>1E-4</v>
      </c>
      <c r="AH55">
        <f t="shared" si="64"/>
        <v>140</v>
      </c>
      <c r="AI55">
        <f t="shared" si="65"/>
        <v>1</v>
      </c>
      <c r="AJ55">
        <f t="shared" si="66"/>
        <v>0.01</v>
      </c>
      <c r="AM55">
        <f t="shared" si="67"/>
        <v>72838.333333287446</v>
      </c>
      <c r="AN55" t="str">
        <f t="shared" si="68"/>
        <v>May</v>
      </c>
      <c r="AO55">
        <f t="shared" si="69"/>
        <v>2020</v>
      </c>
      <c r="AP55">
        <f t="shared" si="70"/>
        <v>6</v>
      </c>
      <c r="AQ55" t="str">
        <f>IF(COUNTIF($F$15:F55,F55)=1,B55,"")</f>
        <v/>
      </c>
      <c r="AR55">
        <f t="shared" si="86"/>
        <v>4.1000000000000042E-4</v>
      </c>
      <c r="AS55" s="14">
        <f t="shared" si="71"/>
        <v>43980.643315092595</v>
      </c>
      <c r="AT55" s="35">
        <f t="shared" si="72"/>
        <v>43980.643315092595</v>
      </c>
      <c r="AU55">
        <f t="shared" si="73"/>
        <v>41</v>
      </c>
      <c r="AV55" s="14">
        <f t="shared" si="74"/>
        <v>43952</v>
      </c>
      <c r="AZ55">
        <f t="shared" si="99"/>
        <v>40003.978079974797</v>
      </c>
      <c r="BA55" s="28">
        <f t="shared" si="100"/>
        <v>-437.03000000000003</v>
      </c>
      <c r="BB55">
        <f t="shared" si="77"/>
        <v>-301.2</v>
      </c>
      <c r="BC55">
        <f t="shared" si="98"/>
        <v>0</v>
      </c>
      <c r="BD55">
        <f t="shared" si="78"/>
        <v>-738.23</v>
      </c>
      <c r="BE55">
        <f t="shared" si="79"/>
        <v>-1.8453914721284766E-2</v>
      </c>
      <c r="BF55">
        <f t="shared" si="80"/>
        <v>41</v>
      </c>
      <c r="BG55">
        <f t="shared" si="87"/>
        <v>52295.169999999955</v>
      </c>
      <c r="BH55">
        <f t="shared" si="97"/>
        <v>52295.169999999955</v>
      </c>
      <c r="BI55">
        <f t="shared" si="101"/>
        <v>0.76496506426836042</v>
      </c>
      <c r="BK55">
        <f t="shared" si="81"/>
        <v>-1</v>
      </c>
      <c r="BL55">
        <f t="shared" si="89"/>
        <v>-1</v>
      </c>
      <c r="BM55">
        <f t="shared" si="90"/>
        <v>-738.23</v>
      </c>
      <c r="BN55">
        <f t="shared" si="91"/>
        <v>0</v>
      </c>
      <c r="BO55">
        <f t="shared" si="92"/>
        <v>0</v>
      </c>
      <c r="BP55">
        <f t="shared" si="82"/>
        <v>0</v>
      </c>
      <c r="BQ55">
        <f t="shared" si="83"/>
        <v>-1</v>
      </c>
      <c r="BR55">
        <f>IFERROR(MAX($BG$14:BG55),"")</f>
        <v>53799.149999999958</v>
      </c>
      <c r="BS55">
        <f t="shared" si="84"/>
        <v>-2.7955460262848099E-2</v>
      </c>
    </row>
    <row r="56" spans="2:71" ht="21.95" customHeight="1">
      <c r="B56" s="158">
        <f t="shared" si="93"/>
        <v>42</v>
      </c>
      <c r="C56" s="345">
        <v>43980.64707175926</v>
      </c>
      <c r="D56" s="346" t="s">
        <v>3</v>
      </c>
      <c r="E56" s="347">
        <v>30</v>
      </c>
      <c r="F56" s="348" t="s">
        <v>174</v>
      </c>
      <c r="G56" s="349">
        <v>1.11361</v>
      </c>
      <c r="H56" s="349">
        <v>0</v>
      </c>
      <c r="I56" s="349">
        <v>0</v>
      </c>
      <c r="J56" s="350">
        <v>43980.647974537038</v>
      </c>
      <c r="K56" s="349">
        <v>1.1134599999999999</v>
      </c>
      <c r="L56" s="351">
        <v>-225.9</v>
      </c>
      <c r="M56" s="352">
        <v>-450</v>
      </c>
      <c r="N56" s="353"/>
      <c r="O56" s="354"/>
      <c r="P56">
        <f t="shared" si="53"/>
        <v>-1.500000000000945E-4</v>
      </c>
      <c r="Q56">
        <f t="shared" si="54"/>
        <v>33408.299999978954</v>
      </c>
      <c r="R56">
        <f t="shared" si="55"/>
        <v>33403.799999978954</v>
      </c>
      <c r="S56" s="711">
        <f t="shared" si="56"/>
        <v>-1.500000000000945</v>
      </c>
      <c r="T56" s="712">
        <f t="shared" si="57"/>
        <v>-675.9</v>
      </c>
      <c r="U56" s="713">
        <f t="shared" si="94"/>
        <v>-2.023149935795673E-2</v>
      </c>
      <c r="V56" s="419" t="str">
        <f t="shared" si="95"/>
        <v xml:space="preserve">0d 0h 1m </v>
      </c>
      <c r="W56" s="714">
        <f t="shared" si="60"/>
        <v>-1.2924711785046317</v>
      </c>
      <c r="X56" s="684"/>
      <c r="Y56" s="688" t="s">
        <v>52</v>
      </c>
      <c r="Z56" s="688" t="s">
        <v>47</v>
      </c>
      <c r="AA56" s="682"/>
      <c r="AB56" s="682"/>
      <c r="AC56" s="683"/>
      <c r="AD56" t="str">
        <f t="shared" si="85"/>
        <v>L</v>
      </c>
      <c r="AE56">
        <f t="shared" si="61"/>
        <v>100000</v>
      </c>
      <c r="AF56">
        <f t="shared" si="62"/>
        <v>9.0277777781011537E-4</v>
      </c>
      <c r="AG56" s="156">
        <f t="shared" si="63"/>
        <v>1E-4</v>
      </c>
      <c r="AH56">
        <f t="shared" si="64"/>
        <v>109</v>
      </c>
      <c r="AI56">
        <f t="shared" si="65"/>
        <v>1</v>
      </c>
      <c r="AJ56">
        <f t="shared" si="66"/>
        <v>0.01</v>
      </c>
      <c r="AM56">
        <f t="shared" si="67"/>
        <v>99999.999999937005</v>
      </c>
      <c r="AN56" t="str">
        <f t="shared" si="68"/>
        <v>May</v>
      </c>
      <c r="AO56">
        <f t="shared" si="69"/>
        <v>2020</v>
      </c>
      <c r="AP56">
        <f t="shared" si="70"/>
        <v>6</v>
      </c>
      <c r="AQ56" t="str">
        <f>IF(COUNTIF($F$15:F56,F56)=1,B56,"")</f>
        <v/>
      </c>
      <c r="AR56">
        <f t="shared" si="86"/>
        <v>4.2000000000000045E-4</v>
      </c>
      <c r="AS56" s="14">
        <f t="shared" si="71"/>
        <v>43980.648394537035</v>
      </c>
      <c r="AT56" s="35">
        <f t="shared" si="72"/>
        <v>43980.648394537035</v>
      </c>
      <c r="AU56">
        <f t="shared" si="73"/>
        <v>42</v>
      </c>
      <c r="AV56" s="14">
        <f t="shared" si="74"/>
        <v>43952</v>
      </c>
      <c r="AZ56">
        <f t="shared" si="99"/>
        <v>33408.299999978954</v>
      </c>
      <c r="BA56" s="28">
        <f t="shared" si="100"/>
        <v>-450</v>
      </c>
      <c r="BB56">
        <f t="shared" si="77"/>
        <v>-225.9</v>
      </c>
      <c r="BC56">
        <f t="shared" si="98"/>
        <v>0</v>
      </c>
      <c r="BD56">
        <f t="shared" si="78"/>
        <v>-675.9</v>
      </c>
      <c r="BE56">
        <f t="shared" si="79"/>
        <v>-2.023149935795673E-2</v>
      </c>
      <c r="BF56">
        <f t="shared" si="80"/>
        <v>42</v>
      </c>
      <c r="BG56">
        <f t="shared" si="87"/>
        <v>51619.269999999953</v>
      </c>
      <c r="BH56">
        <f t="shared" si="97"/>
        <v>51619.269999999953</v>
      </c>
      <c r="BI56">
        <f t="shared" si="101"/>
        <v>0.64720597559746551</v>
      </c>
      <c r="BK56">
        <f t="shared" si="81"/>
        <v>-1</v>
      </c>
      <c r="BL56">
        <f t="shared" si="89"/>
        <v>-2</v>
      </c>
      <c r="BM56">
        <f t="shared" si="90"/>
        <v>-1414.13</v>
      </c>
      <c r="BN56">
        <f t="shared" si="91"/>
        <v>0</v>
      </c>
      <c r="BO56">
        <f t="shared" si="92"/>
        <v>0</v>
      </c>
      <c r="BP56">
        <f t="shared" si="82"/>
        <v>0</v>
      </c>
      <c r="BQ56">
        <f t="shared" si="83"/>
        <v>-2</v>
      </c>
      <c r="BR56">
        <f>IFERROR(MAX($BG$14:BG56),"")</f>
        <v>53799.149999999958</v>
      </c>
      <c r="BS56">
        <f t="shared" si="84"/>
        <v>-4.0518855781178816E-2</v>
      </c>
    </row>
    <row r="57" spans="2:71" ht="21.95" customHeight="1">
      <c r="B57" s="158">
        <f t="shared" si="93"/>
        <v>43</v>
      </c>
      <c r="C57" s="345">
        <v>43980.649467592593</v>
      </c>
      <c r="D57" s="346" t="s">
        <v>3</v>
      </c>
      <c r="E57" s="347">
        <v>50</v>
      </c>
      <c r="F57" s="348" t="s">
        <v>474</v>
      </c>
      <c r="G57" s="349">
        <v>0.66581999999999997</v>
      </c>
      <c r="H57" s="349">
        <v>0.66635</v>
      </c>
      <c r="I57" s="349">
        <v>0</v>
      </c>
      <c r="J57" s="350">
        <v>43980.650729166664</v>
      </c>
      <c r="K57" s="349">
        <v>0.66635</v>
      </c>
      <c r="L57" s="351">
        <v>-376.5</v>
      </c>
      <c r="M57" s="352">
        <v>2650</v>
      </c>
      <c r="N57" s="353"/>
      <c r="O57" s="354"/>
      <c r="P57">
        <f t="shared" si="53"/>
        <v>5.3000000000003045E-4</v>
      </c>
      <c r="Q57">
        <f t="shared" si="54"/>
        <v>33290.999999998079</v>
      </c>
      <c r="R57">
        <f t="shared" si="55"/>
        <v>33317.499999998086</v>
      </c>
      <c r="S57" s="711">
        <f t="shared" si="56"/>
        <v>5.3000000000003045</v>
      </c>
      <c r="T57" s="712">
        <f t="shared" si="57"/>
        <v>2273.5</v>
      </c>
      <c r="U57" s="713">
        <f t="shared" si="94"/>
        <v>6.8291730497736056E-2</v>
      </c>
      <c r="V57" s="419" t="str">
        <f t="shared" si="95"/>
        <v xml:space="preserve">0d 0h 1m </v>
      </c>
      <c r="W57" s="714">
        <f t="shared" si="60"/>
        <v>4.4043629443035561</v>
      </c>
      <c r="X57" s="684"/>
      <c r="Y57" s="688" t="s">
        <v>53</v>
      </c>
      <c r="Z57" s="688" t="s">
        <v>113</v>
      </c>
      <c r="AA57" s="682"/>
      <c r="AB57" s="682"/>
      <c r="AC57" s="683"/>
      <c r="AD57" t="str">
        <f t="shared" si="85"/>
        <v>W</v>
      </c>
      <c r="AE57">
        <f t="shared" si="61"/>
        <v>100000</v>
      </c>
      <c r="AF57">
        <f t="shared" si="62"/>
        <v>1.261574070667848E-3</v>
      </c>
      <c r="AG57" s="156">
        <f t="shared" si="63"/>
        <v>1E-4</v>
      </c>
      <c r="AH57">
        <f t="shared" si="64"/>
        <v>82</v>
      </c>
      <c r="AI57">
        <f t="shared" si="65"/>
        <v>1</v>
      </c>
      <c r="AJ57">
        <f t="shared" si="66"/>
        <v>0.01</v>
      </c>
      <c r="AM57">
        <f t="shared" si="67"/>
        <v>99999.999999994252</v>
      </c>
      <c r="AN57" t="str">
        <f t="shared" si="68"/>
        <v>May</v>
      </c>
      <c r="AO57">
        <f t="shared" si="69"/>
        <v>2020</v>
      </c>
      <c r="AP57">
        <f t="shared" si="70"/>
        <v>6</v>
      </c>
      <c r="AQ57" t="str">
        <f>IF(COUNTIF($F$15:F57,F57)=1,B57,"")</f>
        <v/>
      </c>
      <c r="AR57">
        <f t="shared" si="86"/>
        <v>4.3000000000000048E-4</v>
      </c>
      <c r="AS57" s="14">
        <f t="shared" si="71"/>
        <v>43980.651159166664</v>
      </c>
      <c r="AT57" s="35">
        <f t="shared" si="72"/>
        <v>43980.651159166664</v>
      </c>
      <c r="AU57">
        <f t="shared" si="73"/>
        <v>43</v>
      </c>
      <c r="AV57" s="14">
        <f t="shared" si="74"/>
        <v>43952</v>
      </c>
      <c r="AZ57">
        <f t="shared" si="99"/>
        <v>33290.999999998079</v>
      </c>
      <c r="BA57" s="28">
        <f t="shared" si="100"/>
        <v>2650</v>
      </c>
      <c r="BB57">
        <f t="shared" si="77"/>
        <v>-376.5</v>
      </c>
      <c r="BC57">
        <f t="shared" si="98"/>
        <v>0</v>
      </c>
      <c r="BD57">
        <f t="shared" si="78"/>
        <v>2273.5</v>
      </c>
      <c r="BE57">
        <f t="shared" si="79"/>
        <v>6.8291730497736056E-2</v>
      </c>
      <c r="BF57">
        <f t="shared" si="80"/>
        <v>43</v>
      </c>
      <c r="BG57">
        <f t="shared" si="87"/>
        <v>53892.769999999953</v>
      </c>
      <c r="BH57">
        <f t="shared" si="97"/>
        <v>53892.769999999953</v>
      </c>
      <c r="BI57">
        <f t="shared" si="101"/>
        <v>0.6177266449655141</v>
      </c>
      <c r="BK57">
        <f t="shared" si="81"/>
        <v>1</v>
      </c>
      <c r="BL57">
        <f t="shared" si="89"/>
        <v>0</v>
      </c>
      <c r="BM57">
        <f t="shared" si="90"/>
        <v>0</v>
      </c>
      <c r="BN57">
        <f t="shared" si="91"/>
        <v>1</v>
      </c>
      <c r="BO57">
        <f t="shared" si="92"/>
        <v>2273.5</v>
      </c>
      <c r="BP57">
        <f t="shared" si="82"/>
        <v>0</v>
      </c>
      <c r="BQ57">
        <f t="shared" si="83"/>
        <v>1</v>
      </c>
      <c r="BR57">
        <f>IFERROR(MAX($BG$14:BG57),"")</f>
        <v>53892.769999999953</v>
      </c>
      <c r="BS57">
        <f t="shared" si="84"/>
        <v>0</v>
      </c>
    </row>
    <row r="58" spans="2:71" ht="21.95" customHeight="1">
      <c r="B58" s="158">
        <f t="shared" si="93"/>
        <v>44</v>
      </c>
      <c r="C58" s="345">
        <v>43983.186608796299</v>
      </c>
      <c r="D58" s="346" t="s">
        <v>3</v>
      </c>
      <c r="E58" s="347">
        <v>5.81</v>
      </c>
      <c r="F58" s="348" t="s">
        <v>174</v>
      </c>
      <c r="G58" s="349">
        <v>1.1135900000000001</v>
      </c>
      <c r="H58" s="349">
        <v>0</v>
      </c>
      <c r="I58" s="349">
        <v>0</v>
      </c>
      <c r="J58" s="350">
        <v>43983.20449074074</v>
      </c>
      <c r="K58" s="349">
        <v>1.1134500000000001</v>
      </c>
      <c r="L58" s="351">
        <v>-43.75</v>
      </c>
      <c r="M58" s="352">
        <v>-81.34</v>
      </c>
      <c r="N58" s="353"/>
      <c r="O58" s="354"/>
      <c r="P58">
        <f t="shared" si="53"/>
        <v>-1.4000000000002899E-4</v>
      </c>
      <c r="Q58">
        <f t="shared" si="54"/>
        <v>6469.9578999986607</v>
      </c>
      <c r="R58">
        <f t="shared" si="55"/>
        <v>6469.1444999986597</v>
      </c>
      <c r="S58" s="711">
        <f t="shared" si="56"/>
        <v>-1.4000000000002899</v>
      </c>
      <c r="T58" s="712">
        <f t="shared" si="57"/>
        <v>-125.09</v>
      </c>
      <c r="U58" s="713">
        <f t="shared" si="94"/>
        <v>-1.9333974336993121E-2</v>
      </c>
      <c r="V58" s="419" t="str">
        <f t="shared" si="95"/>
        <v xml:space="preserve">0d 0h 25m </v>
      </c>
      <c r="W58" s="714">
        <f t="shared" si="60"/>
        <v>-0.23210905655805059</v>
      </c>
      <c r="X58" s="684"/>
      <c r="Y58" s="688"/>
      <c r="Z58" s="688"/>
      <c r="AA58" s="682"/>
      <c r="AB58" s="682"/>
      <c r="AC58" s="683"/>
      <c r="AD58" t="str">
        <f t="shared" si="85"/>
        <v>L</v>
      </c>
      <c r="AE58">
        <f t="shared" si="61"/>
        <v>100000</v>
      </c>
      <c r="AF58">
        <f t="shared" si="62"/>
        <v>1.788194444088731E-2</v>
      </c>
      <c r="AG58" s="156">
        <f t="shared" si="63"/>
        <v>1E-4</v>
      </c>
      <c r="AH58">
        <f t="shared" si="64"/>
        <v>109</v>
      </c>
      <c r="AI58">
        <f t="shared" si="65"/>
        <v>1</v>
      </c>
      <c r="AJ58">
        <f t="shared" si="66"/>
        <v>0.01</v>
      </c>
      <c r="AM58">
        <f t="shared" si="67"/>
        <v>99999.999999979293</v>
      </c>
      <c r="AN58" t="str">
        <f t="shared" si="68"/>
        <v>Jun</v>
      </c>
      <c r="AO58">
        <f t="shared" si="69"/>
        <v>2020</v>
      </c>
      <c r="AP58">
        <f t="shared" si="70"/>
        <v>2</v>
      </c>
      <c r="AQ58" t="str">
        <f>IF(COUNTIF($F$15:F58,F58)=1,B58,"")</f>
        <v/>
      </c>
      <c r="AR58">
        <f t="shared" si="86"/>
        <v>4.400000000000005E-4</v>
      </c>
      <c r="AS58" s="14">
        <f t="shared" si="71"/>
        <v>43983.204930740743</v>
      </c>
      <c r="AT58" s="35">
        <f t="shared" si="72"/>
        <v>43983.204930740743</v>
      </c>
      <c r="AU58">
        <f t="shared" si="73"/>
        <v>44</v>
      </c>
      <c r="AV58" s="14">
        <f t="shared" si="74"/>
        <v>43983</v>
      </c>
      <c r="AZ58">
        <f t="shared" si="99"/>
        <v>6469.9578999986607</v>
      </c>
      <c r="BA58" s="28">
        <f t="shared" si="100"/>
        <v>-81.34</v>
      </c>
      <c r="BB58">
        <f t="shared" si="77"/>
        <v>-43.75</v>
      </c>
      <c r="BC58">
        <f t="shared" si="98"/>
        <v>0</v>
      </c>
      <c r="BD58">
        <f t="shared" si="78"/>
        <v>-125.09</v>
      </c>
      <c r="BE58">
        <f t="shared" si="79"/>
        <v>-1.9333974336993121E-2</v>
      </c>
      <c r="BF58">
        <f t="shared" si="80"/>
        <v>44</v>
      </c>
      <c r="BG58">
        <f t="shared" si="87"/>
        <v>53767.679999999957</v>
      </c>
      <c r="BH58">
        <f t="shared" si="97"/>
        <v>53767.679999999957</v>
      </c>
      <c r="BI58">
        <f t="shared" si="101"/>
        <v>0.12033172902380512</v>
      </c>
      <c r="BK58">
        <f t="shared" si="81"/>
        <v>-1</v>
      </c>
      <c r="BL58">
        <f t="shared" si="89"/>
        <v>-1</v>
      </c>
      <c r="BM58">
        <f t="shared" si="90"/>
        <v>-125.09</v>
      </c>
      <c r="BN58">
        <f t="shared" si="91"/>
        <v>0</v>
      </c>
      <c r="BO58">
        <f t="shared" si="92"/>
        <v>0</v>
      </c>
      <c r="BP58">
        <f t="shared" si="82"/>
        <v>0</v>
      </c>
      <c r="BQ58">
        <f t="shared" si="83"/>
        <v>-1</v>
      </c>
      <c r="BR58">
        <f>IFERROR(MAX($BG$14:BG58),"")</f>
        <v>53892.769999999953</v>
      </c>
      <c r="BS58">
        <f t="shared" si="84"/>
        <v>-2.321090565580441E-3</v>
      </c>
    </row>
    <row r="59" spans="2:71" ht="21.95" customHeight="1">
      <c r="B59" s="158">
        <f t="shared" si="93"/>
        <v>45</v>
      </c>
      <c r="C59" s="345">
        <v>43983.207384259258</v>
      </c>
      <c r="D59" s="346" t="s">
        <v>3</v>
      </c>
      <c r="E59" s="347">
        <v>10</v>
      </c>
      <c r="F59" s="348" t="s">
        <v>376</v>
      </c>
      <c r="G59" s="349">
        <v>1.24098</v>
      </c>
      <c r="H59" s="349">
        <v>1.2407600000000001</v>
      </c>
      <c r="I59" s="349">
        <v>0</v>
      </c>
      <c r="J59" s="350">
        <v>43983.209502314814</v>
      </c>
      <c r="K59" s="349">
        <v>1.2407600000000001</v>
      </c>
      <c r="L59" s="351">
        <v>-75.3</v>
      </c>
      <c r="M59" s="352">
        <v>-220</v>
      </c>
      <c r="N59" s="353"/>
      <c r="O59" s="354"/>
      <c r="P59">
        <f t="shared" si="53"/>
        <v>-2.1999999999988695E-4</v>
      </c>
      <c r="Q59">
        <f t="shared" si="54"/>
        <v>12409.800000006377</v>
      </c>
      <c r="R59">
        <f t="shared" si="55"/>
        <v>12407.600000006376</v>
      </c>
      <c r="S59" s="711">
        <f t="shared" si="56"/>
        <v>-2.1999999999988695</v>
      </c>
      <c r="T59" s="712">
        <f t="shared" si="57"/>
        <v>-295.3</v>
      </c>
      <c r="U59" s="713">
        <f t="shared" si="94"/>
        <v>-2.3795709842209245E-2</v>
      </c>
      <c r="V59" s="419" t="str">
        <f t="shared" si="95"/>
        <v xml:space="preserve">0d 0h 3m </v>
      </c>
      <c r="W59" s="714">
        <f t="shared" si="60"/>
        <v>-0.54921469551968805</v>
      </c>
      <c r="X59" s="684"/>
      <c r="Y59" s="688"/>
      <c r="Z59" s="688"/>
      <c r="AA59" s="682"/>
      <c r="AB59" s="682"/>
      <c r="AC59" s="683"/>
      <c r="AD59" t="str">
        <f t="shared" si="85"/>
        <v>L</v>
      </c>
      <c r="AE59">
        <f t="shared" si="61"/>
        <v>100000</v>
      </c>
      <c r="AF59">
        <f t="shared" si="62"/>
        <v>2.118055555911269E-3</v>
      </c>
      <c r="AG59" s="156">
        <f t="shared" si="63"/>
        <v>1E-4</v>
      </c>
      <c r="AH59">
        <f t="shared" si="64"/>
        <v>127</v>
      </c>
      <c r="AI59">
        <f t="shared" si="65"/>
        <v>1</v>
      </c>
      <c r="AJ59">
        <f t="shared" si="66"/>
        <v>0.01</v>
      </c>
      <c r="AM59">
        <f t="shared" si="67"/>
        <v>100000.00000005138</v>
      </c>
      <c r="AN59" t="str">
        <f t="shared" si="68"/>
        <v>Jun</v>
      </c>
      <c r="AO59">
        <f t="shared" si="69"/>
        <v>2020</v>
      </c>
      <c r="AP59">
        <f t="shared" si="70"/>
        <v>2</v>
      </c>
      <c r="AQ59" t="str">
        <f>IF(COUNTIF($F$15:F59,F59)=1,B59,"")</f>
        <v/>
      </c>
      <c r="AR59">
        <f t="shared" si="86"/>
        <v>4.5000000000000053E-4</v>
      </c>
      <c r="AS59" s="14">
        <f t="shared" si="71"/>
        <v>43983.209952314814</v>
      </c>
      <c r="AT59" s="35">
        <f t="shared" si="72"/>
        <v>43983.209952314814</v>
      </c>
      <c r="AU59">
        <f t="shared" si="73"/>
        <v>45</v>
      </c>
      <c r="AV59" s="14">
        <f t="shared" si="74"/>
        <v>43983</v>
      </c>
      <c r="AZ59">
        <f t="shared" si="99"/>
        <v>12409.800000006377</v>
      </c>
      <c r="BA59" s="28">
        <f t="shared" si="100"/>
        <v>-220</v>
      </c>
      <c r="BB59">
        <f t="shared" si="77"/>
        <v>-75.3</v>
      </c>
      <c r="BC59">
        <f t="shared" si="98"/>
        <v>0</v>
      </c>
      <c r="BD59">
        <f t="shared" si="78"/>
        <v>-295.3</v>
      </c>
      <c r="BE59">
        <f t="shared" si="79"/>
        <v>-2.3795709842209245E-2</v>
      </c>
      <c r="BF59">
        <f t="shared" si="80"/>
        <v>45</v>
      </c>
      <c r="BG59">
        <f t="shared" si="87"/>
        <v>53472.379999999954</v>
      </c>
      <c r="BH59">
        <f t="shared" si="97"/>
        <v>53472.379999999954</v>
      </c>
      <c r="BI59">
        <f t="shared" si="101"/>
        <v>0.23207869184065469</v>
      </c>
      <c r="BK59">
        <f t="shared" si="81"/>
        <v>-1</v>
      </c>
      <c r="BL59">
        <f t="shared" si="89"/>
        <v>-2</v>
      </c>
      <c r="BM59">
        <f t="shared" si="90"/>
        <v>-420.39</v>
      </c>
      <c r="BN59">
        <f t="shared" si="91"/>
        <v>0</v>
      </c>
      <c r="BO59">
        <f t="shared" si="92"/>
        <v>0</v>
      </c>
      <c r="BP59">
        <f t="shared" si="82"/>
        <v>0</v>
      </c>
      <c r="BQ59">
        <f t="shared" si="83"/>
        <v>-2</v>
      </c>
      <c r="BR59">
        <f>IFERROR(MAX($BG$14:BG59),"")</f>
        <v>53892.769999999953</v>
      </c>
      <c r="BS59">
        <f t="shared" si="84"/>
        <v>-7.8004897502948868E-3</v>
      </c>
    </row>
    <row r="60" spans="2:71" ht="21.95" customHeight="1">
      <c r="B60" s="158">
        <f t="shared" si="93"/>
        <v>46</v>
      </c>
      <c r="C60" s="345">
        <v>43983.210763888892</v>
      </c>
      <c r="D60" s="346" t="s">
        <v>3</v>
      </c>
      <c r="E60" s="347">
        <v>10</v>
      </c>
      <c r="F60" s="348" t="s">
        <v>375</v>
      </c>
      <c r="G60" s="349">
        <v>107.715</v>
      </c>
      <c r="H60" s="349">
        <v>107.699</v>
      </c>
      <c r="I60" s="349">
        <v>0</v>
      </c>
      <c r="J60" s="350">
        <v>43983.214722222219</v>
      </c>
      <c r="K60" s="349">
        <v>107.699</v>
      </c>
      <c r="L60" s="351">
        <v>-75.3</v>
      </c>
      <c r="M60" s="352">
        <v>-148.56</v>
      </c>
      <c r="N60" s="353"/>
      <c r="O60" s="354"/>
      <c r="P60">
        <f t="shared" si="53"/>
        <v>-1.6000000000005343E-2</v>
      </c>
      <c r="Q60">
        <f t="shared" si="54"/>
        <v>10001.337749996661</v>
      </c>
      <c r="R60">
        <f t="shared" si="55"/>
        <v>9999.852149996661</v>
      </c>
      <c r="S60" s="711">
        <f t="shared" si="56"/>
        <v>-1.6000000000005343</v>
      </c>
      <c r="T60" s="712">
        <f t="shared" si="57"/>
        <v>-223.86</v>
      </c>
      <c r="U60" s="713">
        <f t="shared" si="94"/>
        <v>-2.2383005713418162E-2</v>
      </c>
      <c r="V60" s="419" t="str">
        <f t="shared" si="95"/>
        <v xml:space="preserve">0d 0h 5m </v>
      </c>
      <c r="W60" s="714">
        <f t="shared" si="60"/>
        <v>-0.41864603744961459</v>
      </c>
      <c r="X60" s="684"/>
      <c r="Y60" s="688"/>
      <c r="Z60" s="688"/>
      <c r="AA60" s="682"/>
      <c r="AB60" s="682"/>
      <c r="AC60" s="683"/>
      <c r="AD60" t="str">
        <f t="shared" si="85"/>
        <v>L</v>
      </c>
      <c r="AE60">
        <f t="shared" si="61"/>
        <v>1000</v>
      </c>
      <c r="AF60">
        <f t="shared" si="62"/>
        <v>3.9583333273185417E-3</v>
      </c>
      <c r="AG60" s="156">
        <f t="shared" si="63"/>
        <v>0.01</v>
      </c>
      <c r="AH60">
        <f t="shared" si="64"/>
        <v>147</v>
      </c>
      <c r="AI60">
        <f t="shared" si="65"/>
        <v>1</v>
      </c>
      <c r="AJ60">
        <f t="shared" si="66"/>
        <v>0.01</v>
      </c>
      <c r="AM60">
        <f t="shared" si="67"/>
        <v>928.49999999968998</v>
      </c>
      <c r="AN60" t="str">
        <f t="shared" si="68"/>
        <v>Jun</v>
      </c>
      <c r="AO60">
        <f t="shared" si="69"/>
        <v>2020</v>
      </c>
      <c r="AP60">
        <f t="shared" si="70"/>
        <v>2</v>
      </c>
      <c r="AQ60" t="str">
        <f>IF(COUNTIF($F$15:F60,F60)=1,B60,"")</f>
        <v/>
      </c>
      <c r="AR60">
        <f t="shared" si="86"/>
        <v>4.6000000000000056E-4</v>
      </c>
      <c r="AS60" s="14">
        <f t="shared" si="71"/>
        <v>43983.215182222222</v>
      </c>
      <c r="AT60" s="35">
        <f t="shared" si="72"/>
        <v>43983.215182222222</v>
      </c>
      <c r="AU60">
        <f t="shared" si="73"/>
        <v>46</v>
      </c>
      <c r="AV60" s="14">
        <f t="shared" si="74"/>
        <v>43983</v>
      </c>
      <c r="AZ60">
        <f t="shared" si="99"/>
        <v>10001.337749996661</v>
      </c>
      <c r="BA60" s="28">
        <f t="shared" si="100"/>
        <v>-148.56</v>
      </c>
      <c r="BB60">
        <f t="shared" si="77"/>
        <v>-75.3</v>
      </c>
      <c r="BC60">
        <f t="shared" si="98"/>
        <v>0</v>
      </c>
      <c r="BD60">
        <f t="shared" si="78"/>
        <v>-223.86</v>
      </c>
      <c r="BE60">
        <f t="shared" si="79"/>
        <v>-2.2383005713418162E-2</v>
      </c>
      <c r="BF60">
        <f t="shared" si="80"/>
        <v>46</v>
      </c>
      <c r="BG60">
        <f t="shared" si="87"/>
        <v>53248.519999999953</v>
      </c>
      <c r="BH60">
        <f t="shared" si="97"/>
        <v>53248.519999999953</v>
      </c>
      <c r="BI60">
        <f t="shared" si="101"/>
        <v>0.18782376956198349</v>
      </c>
      <c r="BK60">
        <f t="shared" si="81"/>
        <v>-1</v>
      </c>
      <c r="BL60">
        <f t="shared" si="89"/>
        <v>-3</v>
      </c>
      <c r="BM60">
        <f t="shared" si="90"/>
        <v>-644.25</v>
      </c>
      <c r="BN60">
        <f t="shared" si="91"/>
        <v>0</v>
      </c>
      <c r="BO60">
        <f t="shared" si="92"/>
        <v>0</v>
      </c>
      <c r="BP60">
        <f t="shared" si="82"/>
        <v>0</v>
      </c>
      <c r="BQ60">
        <f t="shared" si="83"/>
        <v>-3</v>
      </c>
      <c r="BR60">
        <f>IFERROR(MAX($BG$14:BG60),"")</f>
        <v>53892.769999999953</v>
      </c>
      <c r="BS60">
        <f t="shared" si="84"/>
        <v>-1.195429368354977E-2</v>
      </c>
    </row>
    <row r="61" spans="2:71" ht="21.95" customHeight="1">
      <c r="B61" s="158">
        <f t="shared" si="93"/>
        <v>47</v>
      </c>
      <c r="C61" s="345">
        <v>43983.225694444445</v>
      </c>
      <c r="D61" s="346" t="s">
        <v>3</v>
      </c>
      <c r="E61" s="347">
        <v>10</v>
      </c>
      <c r="F61" s="348" t="s">
        <v>376</v>
      </c>
      <c r="G61" s="349">
        <v>1.2411399999999999</v>
      </c>
      <c r="H61" s="349">
        <v>1.24095</v>
      </c>
      <c r="I61" s="349">
        <v>0</v>
      </c>
      <c r="J61" s="350">
        <v>43983.228750000002</v>
      </c>
      <c r="K61" s="349">
        <v>1.24095</v>
      </c>
      <c r="L61" s="351">
        <v>-75.3</v>
      </c>
      <c r="M61" s="352">
        <v>-190</v>
      </c>
      <c r="N61" s="353"/>
      <c r="O61" s="354"/>
      <c r="P61">
        <f t="shared" si="53"/>
        <v>-1.8999999999991246E-4</v>
      </c>
      <c r="Q61">
        <f t="shared" si="54"/>
        <v>12411.400000005717</v>
      </c>
      <c r="R61">
        <f t="shared" si="55"/>
        <v>12409.500000005717</v>
      </c>
      <c r="S61" s="711">
        <f t="shared" si="56"/>
        <v>-1.8999999999991246</v>
      </c>
      <c r="T61" s="712">
        <f t="shared" si="57"/>
        <v>-265.3</v>
      </c>
      <c r="U61" s="713">
        <f t="shared" si="94"/>
        <v>-2.1375509612120938E-2</v>
      </c>
      <c r="V61" s="419" t="str">
        <f t="shared" si="95"/>
        <v xml:space="preserve">0d 0h 4m </v>
      </c>
      <c r="W61" s="714">
        <f t="shared" si="60"/>
        <v>-0.49822980995528188</v>
      </c>
      <c r="X61" s="684"/>
      <c r="Y61" s="688"/>
      <c r="Z61" s="688"/>
      <c r="AA61" s="682"/>
      <c r="AB61" s="682"/>
      <c r="AC61" s="683"/>
      <c r="AD61" t="str">
        <f t="shared" si="85"/>
        <v>L</v>
      </c>
      <c r="AE61">
        <f t="shared" si="61"/>
        <v>100000</v>
      </c>
      <c r="AF61">
        <f t="shared" si="62"/>
        <v>3.055555556784384E-3</v>
      </c>
      <c r="AG61" s="156">
        <f t="shared" si="63"/>
        <v>1E-4</v>
      </c>
      <c r="AH61">
        <f t="shared" si="64"/>
        <v>127</v>
      </c>
      <c r="AI61">
        <f t="shared" si="65"/>
        <v>1</v>
      </c>
      <c r="AJ61">
        <f t="shared" si="66"/>
        <v>0.01</v>
      </c>
      <c r="AM61">
        <f t="shared" si="67"/>
        <v>100000.00000004607</v>
      </c>
      <c r="AN61" t="str">
        <f t="shared" si="68"/>
        <v>Jun</v>
      </c>
      <c r="AO61">
        <f t="shared" si="69"/>
        <v>2020</v>
      </c>
      <c r="AP61">
        <f t="shared" si="70"/>
        <v>2</v>
      </c>
      <c r="AQ61" t="str">
        <f>IF(COUNTIF($F$15:F61,F61)=1,B61,"")</f>
        <v/>
      </c>
      <c r="AR61">
        <f t="shared" si="86"/>
        <v>4.7000000000000058E-4</v>
      </c>
      <c r="AS61" s="14">
        <f t="shared" si="71"/>
        <v>43983.229220000001</v>
      </c>
      <c r="AT61" s="35">
        <f t="shared" si="72"/>
        <v>43983.229220000001</v>
      </c>
      <c r="AU61">
        <f t="shared" si="73"/>
        <v>47</v>
      </c>
      <c r="AV61" s="14">
        <f t="shared" si="74"/>
        <v>43983</v>
      </c>
      <c r="AZ61">
        <f t="shared" si="99"/>
        <v>12411.400000005717</v>
      </c>
      <c r="BA61" s="28">
        <f t="shared" si="100"/>
        <v>-190</v>
      </c>
      <c r="BB61">
        <f t="shared" si="77"/>
        <v>-75.3</v>
      </c>
      <c r="BC61">
        <f t="shared" si="98"/>
        <v>0</v>
      </c>
      <c r="BD61">
        <f t="shared" si="78"/>
        <v>-265.3</v>
      </c>
      <c r="BE61">
        <f t="shared" si="79"/>
        <v>-2.1375509612120938E-2</v>
      </c>
      <c r="BF61">
        <f t="shared" si="80"/>
        <v>47</v>
      </c>
      <c r="BG61">
        <f t="shared" si="87"/>
        <v>52983.21999999995</v>
      </c>
      <c r="BH61">
        <f t="shared" si="97"/>
        <v>52983.21999999995</v>
      </c>
      <c r="BI61">
        <f t="shared" si="101"/>
        <v>0.23425152340695277</v>
      </c>
      <c r="BK61">
        <f t="shared" si="81"/>
        <v>-1</v>
      </c>
      <c r="BL61">
        <f t="shared" si="89"/>
        <v>-4</v>
      </c>
      <c r="BM61">
        <f t="shared" si="90"/>
        <v>-909.55</v>
      </c>
      <c r="BN61">
        <f t="shared" si="91"/>
        <v>0</v>
      </c>
      <c r="BO61">
        <f t="shared" si="92"/>
        <v>0</v>
      </c>
      <c r="BP61">
        <f t="shared" si="82"/>
        <v>0</v>
      </c>
      <c r="BQ61">
        <f t="shared" si="83"/>
        <v>-4</v>
      </c>
      <c r="BR61">
        <f>IFERROR(MAX($BG$14:BG61),"")</f>
        <v>53892.769999999953</v>
      </c>
      <c r="BS61">
        <f t="shared" si="84"/>
        <v>-1.6877031928401596E-2</v>
      </c>
    </row>
    <row r="62" spans="2:71" ht="21.95" customHeight="1">
      <c r="B62" s="158">
        <f t="shared" si="93"/>
        <v>48</v>
      </c>
      <c r="C62" s="345">
        <v>43983.236400462964</v>
      </c>
      <c r="D62" s="346" t="s">
        <v>3</v>
      </c>
      <c r="E62" s="347">
        <v>10</v>
      </c>
      <c r="F62" s="348" t="s">
        <v>174</v>
      </c>
      <c r="G62" s="349">
        <v>1.11378</v>
      </c>
      <c r="H62" s="349">
        <v>1.1136900000000001</v>
      </c>
      <c r="I62" s="349">
        <v>0</v>
      </c>
      <c r="J62" s="350">
        <v>43983.245208333334</v>
      </c>
      <c r="K62" s="349">
        <v>1.1136900000000001</v>
      </c>
      <c r="L62" s="351">
        <v>-75.3</v>
      </c>
      <c r="M62" s="352">
        <v>-90</v>
      </c>
      <c r="N62" s="353"/>
      <c r="O62" s="354"/>
      <c r="P62">
        <f t="shared" si="53"/>
        <v>-8.9999999999923475E-5</v>
      </c>
      <c r="Q62">
        <f t="shared" si="54"/>
        <v>11137.800000009473</v>
      </c>
      <c r="R62">
        <f t="shared" si="55"/>
        <v>11136.900000009469</v>
      </c>
      <c r="S62" s="711">
        <f t="shared" si="56"/>
        <v>-0.89999999999923475</v>
      </c>
      <c r="T62" s="712">
        <f t="shared" si="57"/>
        <v>-165.3</v>
      </c>
      <c r="U62" s="713">
        <f t="shared" si="94"/>
        <v>-1.4841351074705906E-2</v>
      </c>
      <c r="V62" s="419" t="str">
        <f t="shared" si="95"/>
        <v xml:space="preserve">0d 0h 12m </v>
      </c>
      <c r="W62" s="714">
        <f t="shared" si="60"/>
        <v>-0.31198556826104601</v>
      </c>
      <c r="X62" s="684"/>
      <c r="Y62" s="688"/>
      <c r="Z62" s="688"/>
      <c r="AA62" s="682"/>
      <c r="AB62" s="682"/>
      <c r="AC62" s="683"/>
      <c r="AD62" t="str">
        <f t="shared" si="85"/>
        <v>L</v>
      </c>
      <c r="AE62">
        <f t="shared" si="61"/>
        <v>100000</v>
      </c>
      <c r="AF62">
        <f t="shared" si="62"/>
        <v>8.8078703702194616E-3</v>
      </c>
      <c r="AG62" s="156">
        <f t="shared" si="63"/>
        <v>1E-4</v>
      </c>
      <c r="AH62">
        <f t="shared" si="64"/>
        <v>109</v>
      </c>
      <c r="AI62">
        <f t="shared" si="65"/>
        <v>1</v>
      </c>
      <c r="AJ62">
        <f t="shared" si="66"/>
        <v>0.01</v>
      </c>
      <c r="AM62">
        <f t="shared" si="67"/>
        <v>100000.00000008503</v>
      </c>
      <c r="AN62" t="str">
        <f t="shared" si="68"/>
        <v>Jun</v>
      </c>
      <c r="AO62">
        <f t="shared" si="69"/>
        <v>2020</v>
      </c>
      <c r="AP62">
        <f t="shared" si="70"/>
        <v>2</v>
      </c>
      <c r="AQ62" t="str">
        <f>IF(COUNTIF($F$15:F62,F62)=1,B62,"")</f>
        <v/>
      </c>
      <c r="AR62">
        <f t="shared" si="86"/>
        <v>4.8000000000000061E-4</v>
      </c>
      <c r="AS62" s="14">
        <f t="shared" si="71"/>
        <v>43983.245688333336</v>
      </c>
      <c r="AT62" s="35">
        <f t="shared" si="72"/>
        <v>43983.240547870366</v>
      </c>
      <c r="AU62">
        <f t="shared" si="73"/>
        <v>49</v>
      </c>
      <c r="AV62" s="14">
        <f t="shared" si="74"/>
        <v>43983</v>
      </c>
      <c r="AZ62">
        <f t="shared" si="99"/>
        <v>6731.7000000001317</v>
      </c>
      <c r="BA62" s="28">
        <f t="shared" si="100"/>
        <v>490</v>
      </c>
      <c r="BB62">
        <f t="shared" si="77"/>
        <v>-75.3</v>
      </c>
      <c r="BC62">
        <f t="shared" si="98"/>
        <v>0</v>
      </c>
      <c r="BD62">
        <f t="shared" si="78"/>
        <v>414.7</v>
      </c>
      <c r="BE62">
        <f t="shared" si="79"/>
        <v>6.1604052468171765E-2</v>
      </c>
      <c r="BF62">
        <f t="shared" si="80"/>
        <v>48</v>
      </c>
      <c r="BG62">
        <f t="shared" si="87"/>
        <v>53397.919999999947</v>
      </c>
      <c r="BH62">
        <f t="shared" si="97"/>
        <v>53397.919999999947</v>
      </c>
      <c r="BI62">
        <f t="shared" si="101"/>
        <v>0.1260667082163526</v>
      </c>
      <c r="BK62">
        <f t="shared" si="81"/>
        <v>1</v>
      </c>
      <c r="BL62">
        <f t="shared" si="89"/>
        <v>0</v>
      </c>
      <c r="BM62">
        <f t="shared" si="90"/>
        <v>0</v>
      </c>
      <c r="BN62">
        <f t="shared" si="91"/>
        <v>1</v>
      </c>
      <c r="BO62">
        <f t="shared" si="92"/>
        <v>414.7</v>
      </c>
      <c r="BP62">
        <f t="shared" si="82"/>
        <v>0</v>
      </c>
      <c r="BQ62">
        <f t="shared" si="83"/>
        <v>1</v>
      </c>
      <c r="BR62">
        <f>IFERROR(MAX($BG$14:BG62),"")</f>
        <v>53892.769999999953</v>
      </c>
      <c r="BS62">
        <f t="shared" si="84"/>
        <v>-9.1821222030340297E-3</v>
      </c>
    </row>
    <row r="63" spans="2:71" ht="21.95" customHeight="1">
      <c r="B63" s="158">
        <f t="shared" si="93"/>
        <v>49</v>
      </c>
      <c r="C63" s="345">
        <v>43983.237083333333</v>
      </c>
      <c r="D63" s="346" t="s">
        <v>3</v>
      </c>
      <c r="E63" s="347">
        <v>10</v>
      </c>
      <c r="F63" s="348" t="s">
        <v>474</v>
      </c>
      <c r="G63" s="349">
        <v>0.67317000000000005</v>
      </c>
      <c r="H63" s="349">
        <v>0.67366000000000004</v>
      </c>
      <c r="I63" s="349">
        <v>0</v>
      </c>
      <c r="J63" s="350">
        <v>43983.240057870367</v>
      </c>
      <c r="K63" s="349">
        <v>0.67366000000000004</v>
      </c>
      <c r="L63" s="351">
        <v>-75.3</v>
      </c>
      <c r="M63" s="352">
        <v>490</v>
      </c>
      <c r="N63" s="353"/>
      <c r="O63" s="354"/>
      <c r="P63">
        <f t="shared" si="53"/>
        <v>4.8999999999999044E-4</v>
      </c>
      <c r="Q63">
        <f t="shared" si="54"/>
        <v>6731.7000000001317</v>
      </c>
      <c r="R63">
        <f t="shared" si="55"/>
        <v>6736.6000000001313</v>
      </c>
      <c r="S63" s="711">
        <f t="shared" si="56"/>
        <v>4.8999999999999044</v>
      </c>
      <c r="T63" s="712">
        <f t="shared" si="57"/>
        <v>414.7</v>
      </c>
      <c r="U63" s="713">
        <f t="shared" si="94"/>
        <v>6.1604052468171765E-2</v>
      </c>
      <c r="V63" s="419" t="str">
        <f t="shared" si="95"/>
        <v xml:space="preserve">0d 0h 4m </v>
      </c>
      <c r="W63" s="714">
        <f t="shared" si="60"/>
        <v>0.77662201074498849</v>
      </c>
      <c r="X63" s="684"/>
      <c r="Y63" s="688"/>
      <c r="Z63" s="688"/>
      <c r="AA63" s="682"/>
      <c r="AB63" s="682"/>
      <c r="AC63" s="683"/>
      <c r="AD63" t="str">
        <f t="shared" si="85"/>
        <v>W</v>
      </c>
      <c r="AE63">
        <f t="shared" si="61"/>
        <v>100000</v>
      </c>
      <c r="AF63">
        <f t="shared" si="62"/>
        <v>2.9745370338787325E-3</v>
      </c>
      <c r="AG63" s="156">
        <f t="shared" si="63"/>
        <v>1E-4</v>
      </c>
      <c r="AH63">
        <f t="shared" si="64"/>
        <v>82</v>
      </c>
      <c r="AI63">
        <f t="shared" si="65"/>
        <v>1</v>
      </c>
      <c r="AJ63">
        <f t="shared" si="66"/>
        <v>0.01</v>
      </c>
      <c r="AM63">
        <f t="shared" si="67"/>
        <v>100000.00000000195</v>
      </c>
      <c r="AN63" t="str">
        <f t="shared" si="68"/>
        <v>Jun</v>
      </c>
      <c r="AO63">
        <f t="shared" si="69"/>
        <v>2020</v>
      </c>
      <c r="AP63">
        <f t="shared" si="70"/>
        <v>2</v>
      </c>
      <c r="AQ63" t="str">
        <f>IF(COUNTIF($F$15:F63,F63)=1,B63,"")</f>
        <v/>
      </c>
      <c r="AR63">
        <f t="shared" si="86"/>
        <v>4.9000000000000063E-4</v>
      </c>
      <c r="AS63" s="14">
        <f t="shared" si="71"/>
        <v>43983.240547870366</v>
      </c>
      <c r="AT63" s="35">
        <f t="shared" si="72"/>
        <v>43983.245688333336</v>
      </c>
      <c r="AU63">
        <f t="shared" si="73"/>
        <v>48</v>
      </c>
      <c r="AV63" s="14">
        <f t="shared" si="74"/>
        <v>43983</v>
      </c>
      <c r="AZ63">
        <f t="shared" si="99"/>
        <v>11137.800000009473</v>
      </c>
      <c r="BA63" s="28">
        <f t="shared" si="100"/>
        <v>-90.000000000000014</v>
      </c>
      <c r="BB63">
        <f t="shared" si="77"/>
        <v>-75.3</v>
      </c>
      <c r="BC63">
        <f t="shared" si="98"/>
        <v>0</v>
      </c>
      <c r="BD63">
        <f t="shared" si="78"/>
        <v>-165.3</v>
      </c>
      <c r="BE63">
        <f t="shared" si="79"/>
        <v>-1.4841351074705906E-2</v>
      </c>
      <c r="BF63">
        <f t="shared" si="80"/>
        <v>49</v>
      </c>
      <c r="BG63">
        <f t="shared" si="87"/>
        <v>53232.619999999944</v>
      </c>
      <c r="BH63">
        <f t="shared" si="97"/>
        <v>53232.619999999944</v>
      </c>
      <c r="BI63">
        <f t="shared" si="101"/>
        <v>0.20922885253458282</v>
      </c>
      <c r="BK63">
        <f t="shared" si="81"/>
        <v>-1</v>
      </c>
      <c r="BL63">
        <f t="shared" si="89"/>
        <v>-1</v>
      </c>
      <c r="BM63">
        <f t="shared" si="90"/>
        <v>-165.3</v>
      </c>
      <c r="BN63">
        <f t="shared" si="91"/>
        <v>0</v>
      </c>
      <c r="BO63">
        <f t="shared" si="92"/>
        <v>0</v>
      </c>
      <c r="BP63">
        <f t="shared" si="82"/>
        <v>0</v>
      </c>
      <c r="BQ63">
        <f t="shared" si="83"/>
        <v>-1</v>
      </c>
      <c r="BR63">
        <f>IFERROR(MAX($BG$14:BG63),"")</f>
        <v>53892.769999999953</v>
      </c>
      <c r="BS63">
        <f t="shared" si="84"/>
        <v>-1.2249323981677121E-2</v>
      </c>
    </row>
    <row r="64" spans="2:71" ht="21.95" customHeight="1">
      <c r="B64" s="158">
        <f t="shared" si="93"/>
        <v>50</v>
      </c>
      <c r="C64" s="345">
        <v>43983.250428240739</v>
      </c>
      <c r="D64" s="346" t="s">
        <v>3</v>
      </c>
      <c r="E64" s="347">
        <v>10</v>
      </c>
      <c r="F64" s="348" t="s">
        <v>769</v>
      </c>
      <c r="G64" s="349">
        <v>1738.84</v>
      </c>
      <c r="H64" s="349">
        <v>0</v>
      </c>
      <c r="I64" s="349">
        <v>0</v>
      </c>
      <c r="J64" s="350">
        <v>43983.250578703701</v>
      </c>
      <c r="K64" s="349">
        <v>1738.64</v>
      </c>
      <c r="L64" s="351">
        <v>0</v>
      </c>
      <c r="M64" s="352">
        <v>-200</v>
      </c>
      <c r="N64" s="353"/>
      <c r="O64" s="354"/>
      <c r="P64">
        <f t="shared" si="53"/>
        <v>-0.1999999999998181</v>
      </c>
      <c r="Q64">
        <f t="shared" si="54"/>
        <v>1738840.0000015812</v>
      </c>
      <c r="R64">
        <f t="shared" si="55"/>
        <v>1738640.0000015814</v>
      </c>
      <c r="S64" s="711">
        <f t="shared" si="56"/>
        <v>-1.999999999998181</v>
      </c>
      <c r="T64" s="712">
        <f t="shared" si="57"/>
        <v>-200</v>
      </c>
      <c r="U64" s="713">
        <f t="shared" si="94"/>
        <v>-1.1501920820766611E-4</v>
      </c>
      <c r="V64" s="419" t="str">
        <f t="shared" si="95"/>
        <v xml:space="preserve">0d 0h 0m </v>
      </c>
      <c r="W64" s="714">
        <f t="shared" si="60"/>
        <v>-0.37570948039003194</v>
      </c>
      <c r="X64" s="684"/>
      <c r="Y64" s="688"/>
      <c r="Z64" s="688"/>
      <c r="AA64" s="682"/>
      <c r="AB64" s="682"/>
      <c r="AC64" s="683"/>
      <c r="AD64" t="str">
        <f t="shared" si="85"/>
        <v>L</v>
      </c>
      <c r="AE64">
        <f t="shared" si="61"/>
        <v>100</v>
      </c>
      <c r="AF64">
        <f t="shared" si="62"/>
        <v>1.5046296175569296E-4</v>
      </c>
      <c r="AG64" s="156">
        <f t="shared" si="63"/>
        <v>0.1</v>
      </c>
      <c r="AH64" t="e">
        <f t="shared" si="64"/>
        <v>#N/A</v>
      </c>
      <c r="AI64">
        <f t="shared" si="65"/>
        <v>0</v>
      </c>
      <c r="AJ64">
        <f t="shared" si="66"/>
        <v>1</v>
      </c>
      <c r="AM64">
        <f t="shared" si="67"/>
        <v>100.00000000009095</v>
      </c>
      <c r="AN64" t="str">
        <f t="shared" si="68"/>
        <v>Jun</v>
      </c>
      <c r="AO64">
        <f t="shared" si="69"/>
        <v>2020</v>
      </c>
      <c r="AP64">
        <f t="shared" si="70"/>
        <v>2</v>
      </c>
      <c r="AQ64" t="str">
        <f>IF(COUNTIF($F$15:F64,F64)=1,B64,"")</f>
        <v/>
      </c>
      <c r="AR64">
        <f t="shared" si="86"/>
        <v>5.0000000000000066E-4</v>
      </c>
      <c r="AS64" s="14">
        <f t="shared" si="71"/>
        <v>43983.251078703703</v>
      </c>
      <c r="AT64" s="35">
        <f t="shared" si="72"/>
        <v>43983.251078703703</v>
      </c>
      <c r="AU64">
        <f t="shared" si="73"/>
        <v>50</v>
      </c>
      <c r="AV64" s="14">
        <f t="shared" si="74"/>
        <v>43983</v>
      </c>
      <c r="AZ64">
        <f t="shared" si="99"/>
        <v>1738840.0000015812</v>
      </c>
      <c r="BA64" s="28">
        <f t="shared" si="100"/>
        <v>-200</v>
      </c>
      <c r="BB64">
        <f t="shared" si="77"/>
        <v>0</v>
      </c>
      <c r="BC64">
        <f t="shared" si="98"/>
        <v>0</v>
      </c>
      <c r="BD64">
        <f t="shared" si="78"/>
        <v>-200</v>
      </c>
      <c r="BE64">
        <f t="shared" si="79"/>
        <v>-1.1501920820766611E-4</v>
      </c>
      <c r="BF64">
        <f t="shared" si="80"/>
        <v>50</v>
      </c>
      <c r="BG64">
        <f t="shared" si="87"/>
        <v>53032.619999999944</v>
      </c>
      <c r="BH64">
        <f t="shared" si="97"/>
        <v>53032.619999999944</v>
      </c>
      <c r="BI64">
        <f t="shared" si="101"/>
        <v>32.788121725865757</v>
      </c>
      <c r="BK64">
        <f t="shared" si="81"/>
        <v>-1</v>
      </c>
      <c r="BL64">
        <f t="shared" si="89"/>
        <v>-2</v>
      </c>
      <c r="BM64">
        <f t="shared" si="90"/>
        <v>-365.3</v>
      </c>
      <c r="BN64">
        <f t="shared" si="91"/>
        <v>0</v>
      </c>
      <c r="BO64">
        <f t="shared" si="92"/>
        <v>0</v>
      </c>
      <c r="BP64">
        <f t="shared" si="82"/>
        <v>0</v>
      </c>
      <c r="BQ64">
        <f t="shared" si="83"/>
        <v>-2</v>
      </c>
      <c r="BR64">
        <f>IFERROR(MAX($BG$14:BG64),"")</f>
        <v>53892.769999999953</v>
      </c>
      <c r="BS64">
        <f t="shared" si="84"/>
        <v>-1.596039691409459E-2</v>
      </c>
    </row>
    <row r="65" spans="2:71" ht="21.95" customHeight="1">
      <c r="B65" s="158">
        <f t="shared" si="93"/>
        <v>51</v>
      </c>
      <c r="C65" s="345">
        <v>43983.309351851851</v>
      </c>
      <c r="D65" s="346" t="s">
        <v>3</v>
      </c>
      <c r="E65" s="347">
        <v>10</v>
      </c>
      <c r="F65" s="348" t="s">
        <v>376</v>
      </c>
      <c r="G65" s="349">
        <v>1.2393099999999999</v>
      </c>
      <c r="H65" s="349">
        <v>1.2391300000000001</v>
      </c>
      <c r="I65" s="349">
        <v>0</v>
      </c>
      <c r="J65" s="350">
        <v>43983.313275462962</v>
      </c>
      <c r="K65" s="349">
        <v>1.2391300000000001</v>
      </c>
      <c r="L65" s="351">
        <v>-75.3</v>
      </c>
      <c r="M65" s="352">
        <v>-180</v>
      </c>
      <c r="N65" s="353"/>
      <c r="O65" s="354"/>
      <c r="P65">
        <f t="shared" si="53"/>
        <v>-1.7999999999984695E-4</v>
      </c>
      <c r="Q65">
        <f t="shared" si="54"/>
        <v>12393.100000010536</v>
      </c>
      <c r="R65">
        <f t="shared" si="55"/>
        <v>12391.300000010538</v>
      </c>
      <c r="S65" s="711">
        <f t="shared" si="56"/>
        <v>-1.7999999999984695</v>
      </c>
      <c r="T65" s="712">
        <f t="shared" si="57"/>
        <v>-255.3</v>
      </c>
      <c r="U65" s="713">
        <f t="shared" si="94"/>
        <v>-2.0600172676713893E-2</v>
      </c>
      <c r="V65" s="419" t="str">
        <f t="shared" si="95"/>
        <v xml:space="preserve">0d 0h 5m </v>
      </c>
      <c r="W65" s="714">
        <f t="shared" si="60"/>
        <v>-0.48140182400944986</v>
      </c>
      <c r="X65" s="684"/>
      <c r="Y65" s="688"/>
      <c r="Z65" s="688"/>
      <c r="AA65" s="682"/>
      <c r="AB65" s="682"/>
      <c r="AC65" s="683"/>
      <c r="AD65" t="str">
        <f t="shared" si="85"/>
        <v>L</v>
      </c>
      <c r="AE65">
        <f t="shared" si="61"/>
        <v>100000</v>
      </c>
      <c r="AF65">
        <f t="shared" si="62"/>
        <v>3.9236111115314998E-3</v>
      </c>
      <c r="AG65" s="156">
        <f t="shared" si="63"/>
        <v>1E-4</v>
      </c>
      <c r="AH65">
        <f t="shared" si="64"/>
        <v>127</v>
      </c>
      <c r="AI65">
        <f t="shared" si="65"/>
        <v>1</v>
      </c>
      <c r="AJ65">
        <f t="shared" si="66"/>
        <v>0.01</v>
      </c>
      <c r="AM65">
        <f t="shared" si="67"/>
        <v>100000.00000008503</v>
      </c>
      <c r="AN65" t="str">
        <f t="shared" si="68"/>
        <v>Jun</v>
      </c>
      <c r="AO65">
        <f t="shared" si="69"/>
        <v>2020</v>
      </c>
      <c r="AP65">
        <f t="shared" si="70"/>
        <v>2</v>
      </c>
      <c r="AQ65" t="str">
        <f>IF(COUNTIF($F$15:F65,F65)=1,B65,"")</f>
        <v/>
      </c>
      <c r="AR65">
        <f t="shared" si="86"/>
        <v>5.1000000000000069E-4</v>
      </c>
      <c r="AS65" s="14">
        <f t="shared" si="71"/>
        <v>43983.31378546296</v>
      </c>
      <c r="AT65" s="35">
        <f t="shared" si="72"/>
        <v>43983.312221388893</v>
      </c>
      <c r="AU65">
        <f t="shared" si="73"/>
        <v>52</v>
      </c>
      <c r="AV65" s="14">
        <f t="shared" si="74"/>
        <v>43983</v>
      </c>
      <c r="AZ65">
        <f t="shared" si="99"/>
        <v>1741319.9999979846</v>
      </c>
      <c r="BA65" s="28">
        <f t="shared" si="100"/>
        <v>110</v>
      </c>
      <c r="BB65">
        <f t="shared" si="77"/>
        <v>0</v>
      </c>
      <c r="BC65">
        <f t="shared" si="98"/>
        <v>0</v>
      </c>
      <c r="BD65">
        <f t="shared" si="78"/>
        <v>110</v>
      </c>
      <c r="BE65">
        <f t="shared" si="79"/>
        <v>6.3170468380382297E-5</v>
      </c>
      <c r="BF65">
        <f t="shared" si="80"/>
        <v>51</v>
      </c>
      <c r="BG65">
        <f t="shared" si="87"/>
        <v>53142.619999999944</v>
      </c>
      <c r="BH65">
        <f t="shared" si="97"/>
        <v>53142.619999999944</v>
      </c>
      <c r="BI65">
        <f t="shared" si="101"/>
        <v>32.766920411488677</v>
      </c>
      <c r="BK65">
        <f t="shared" si="81"/>
        <v>1</v>
      </c>
      <c r="BL65">
        <f t="shared" si="89"/>
        <v>0</v>
      </c>
      <c r="BM65">
        <f t="shared" si="90"/>
        <v>0</v>
      </c>
      <c r="BN65">
        <f t="shared" si="91"/>
        <v>1</v>
      </c>
      <c r="BO65">
        <f t="shared" si="92"/>
        <v>110</v>
      </c>
      <c r="BP65">
        <f t="shared" si="82"/>
        <v>0</v>
      </c>
      <c r="BQ65">
        <f t="shared" si="83"/>
        <v>1</v>
      </c>
      <c r="BR65">
        <f>IFERROR(MAX($BG$14:BG65),"")</f>
        <v>53892.769999999953</v>
      </c>
      <c r="BS65">
        <f t="shared" si="84"/>
        <v>-1.3919306801264983E-2</v>
      </c>
    </row>
    <row r="66" spans="2:71" ht="21.95" customHeight="1">
      <c r="B66" s="158">
        <f t="shared" si="93"/>
        <v>52</v>
      </c>
      <c r="C66" s="345">
        <v>43983.311284722222</v>
      </c>
      <c r="D66" s="346" t="s">
        <v>3</v>
      </c>
      <c r="E66" s="347">
        <v>10</v>
      </c>
      <c r="F66" s="348" t="s">
        <v>769</v>
      </c>
      <c r="G66" s="349">
        <v>1741.32</v>
      </c>
      <c r="H66" s="349">
        <v>1741.43</v>
      </c>
      <c r="I66" s="349">
        <v>0</v>
      </c>
      <c r="J66" s="350">
        <v>43983.311701388891</v>
      </c>
      <c r="K66" s="349">
        <v>1741.43</v>
      </c>
      <c r="L66" s="351">
        <v>0</v>
      </c>
      <c r="M66" s="352">
        <v>110</v>
      </c>
      <c r="N66" s="353"/>
      <c r="O66" s="354"/>
      <c r="P66">
        <f t="shared" si="53"/>
        <v>0.11000000000012733</v>
      </c>
      <c r="Q66">
        <f t="shared" si="54"/>
        <v>1741319.9999979846</v>
      </c>
      <c r="R66">
        <f t="shared" si="55"/>
        <v>1741429.9999979842</v>
      </c>
      <c r="S66" s="711">
        <f t="shared" si="56"/>
        <v>1.1000000000012733</v>
      </c>
      <c r="T66" s="712">
        <f t="shared" si="57"/>
        <v>110</v>
      </c>
      <c r="U66" s="713">
        <f t="shared" si="94"/>
        <v>6.3170468380382297E-5</v>
      </c>
      <c r="V66" s="419" t="str">
        <f t="shared" si="95"/>
        <v xml:space="preserve">0d 0h 0m </v>
      </c>
      <c r="W66" s="714">
        <f t="shared" si="60"/>
        <v>0.20699017097764491</v>
      </c>
      <c r="X66" s="684"/>
      <c r="Y66" s="688"/>
      <c r="Z66" s="688"/>
      <c r="AA66" s="682"/>
      <c r="AB66" s="682"/>
      <c r="AC66" s="683"/>
      <c r="AD66" t="str">
        <f t="shared" si="85"/>
        <v>W</v>
      </c>
      <c r="AE66">
        <f t="shared" si="61"/>
        <v>100</v>
      </c>
      <c r="AF66">
        <f t="shared" si="62"/>
        <v>4.1666666948003694E-4</v>
      </c>
      <c r="AG66" s="156">
        <f t="shared" si="63"/>
        <v>0.1</v>
      </c>
      <c r="AH66" t="e">
        <f t="shared" si="64"/>
        <v>#N/A</v>
      </c>
      <c r="AI66">
        <f t="shared" si="65"/>
        <v>0</v>
      </c>
      <c r="AJ66">
        <f t="shared" si="66"/>
        <v>1</v>
      </c>
      <c r="AM66">
        <f t="shared" si="67"/>
        <v>99.999999999884253</v>
      </c>
      <c r="AN66" t="str">
        <f t="shared" si="68"/>
        <v>Jun</v>
      </c>
      <c r="AO66">
        <f t="shared" si="69"/>
        <v>2020</v>
      </c>
      <c r="AP66">
        <f t="shared" si="70"/>
        <v>2</v>
      </c>
      <c r="AQ66" t="str">
        <f>IF(COUNTIF($F$15:F66,F66)=1,B66,"")</f>
        <v/>
      </c>
      <c r="AR66">
        <f t="shared" si="86"/>
        <v>5.2000000000000071E-4</v>
      </c>
      <c r="AS66" s="14">
        <f t="shared" si="71"/>
        <v>43983.312221388893</v>
      </c>
      <c r="AT66" s="35">
        <f t="shared" si="72"/>
        <v>43983.31378546296</v>
      </c>
      <c r="AU66">
        <f t="shared" si="73"/>
        <v>51</v>
      </c>
      <c r="AV66" s="14">
        <f t="shared" si="74"/>
        <v>43983</v>
      </c>
      <c r="AZ66">
        <f t="shared" si="99"/>
        <v>12393.100000010536</v>
      </c>
      <c r="BA66" s="28">
        <f t="shared" si="100"/>
        <v>-180</v>
      </c>
      <c r="BB66">
        <f t="shared" si="77"/>
        <v>-75.3</v>
      </c>
      <c r="BC66">
        <f t="shared" si="98"/>
        <v>0</v>
      </c>
      <c r="BD66">
        <f t="shared" si="78"/>
        <v>-255.3</v>
      </c>
      <c r="BE66">
        <f t="shared" si="79"/>
        <v>-2.0600172676713893E-2</v>
      </c>
      <c r="BF66">
        <f t="shared" si="80"/>
        <v>52</v>
      </c>
      <c r="BG66">
        <f t="shared" si="87"/>
        <v>52887.319999999942</v>
      </c>
      <c r="BH66">
        <f t="shared" si="97"/>
        <v>52887.319999999942</v>
      </c>
      <c r="BI66">
        <f t="shared" si="101"/>
        <v>0.23433027046956717</v>
      </c>
      <c r="BK66">
        <f t="shared" si="81"/>
        <v>-1</v>
      </c>
      <c r="BL66">
        <f t="shared" si="89"/>
        <v>-1</v>
      </c>
      <c r="BM66">
        <f t="shared" si="90"/>
        <v>-255.3</v>
      </c>
      <c r="BN66">
        <f t="shared" si="91"/>
        <v>0</v>
      </c>
      <c r="BO66">
        <f t="shared" si="92"/>
        <v>0</v>
      </c>
      <c r="BP66">
        <f t="shared" si="82"/>
        <v>0</v>
      </c>
      <c r="BQ66">
        <f t="shared" si="83"/>
        <v>-1</v>
      </c>
      <c r="BR66">
        <f>IFERROR(MAX($BG$14:BG66),"")</f>
        <v>53892.769999999953</v>
      </c>
      <c r="BS66">
        <f t="shared" si="84"/>
        <v>-1.8656491399495934E-2</v>
      </c>
    </row>
    <row r="67" spans="2:71" ht="21.95" customHeight="1">
      <c r="B67" s="158">
        <f t="shared" si="93"/>
        <v>53</v>
      </c>
      <c r="C67" s="345">
        <v>43983.337106481478</v>
      </c>
      <c r="D67" s="346" t="s">
        <v>3</v>
      </c>
      <c r="E67" s="347">
        <v>10</v>
      </c>
      <c r="F67" s="348" t="s">
        <v>174</v>
      </c>
      <c r="G67" s="349">
        <v>1.1131800000000001</v>
      </c>
      <c r="H67" s="349">
        <v>1.1130899999999999</v>
      </c>
      <c r="I67" s="349">
        <v>0</v>
      </c>
      <c r="J67" s="350">
        <v>43983.342210648145</v>
      </c>
      <c r="K67" s="349">
        <v>1.1130899999999999</v>
      </c>
      <c r="L67" s="351">
        <v>-75.3</v>
      </c>
      <c r="M67" s="352">
        <v>-90</v>
      </c>
      <c r="N67" s="353"/>
      <c r="O67" s="354"/>
      <c r="P67">
        <f t="shared" si="53"/>
        <v>-9.0000000000145519E-5</v>
      </c>
      <c r="Q67">
        <f t="shared" si="54"/>
        <v>11131.799999982002</v>
      </c>
      <c r="R67">
        <f t="shared" si="55"/>
        <v>11130.899999982003</v>
      </c>
      <c r="S67" s="711">
        <f t="shared" si="56"/>
        <v>-0.90000000000145519</v>
      </c>
      <c r="T67" s="712">
        <f t="shared" si="57"/>
        <v>-165.3</v>
      </c>
      <c r="U67" s="713">
        <f t="shared" si="94"/>
        <v>-1.4849350509375596E-2</v>
      </c>
      <c r="V67" s="419" t="str">
        <f t="shared" si="95"/>
        <v xml:space="preserve">0d 0h 7m </v>
      </c>
      <c r="W67" s="714">
        <f t="shared" si="60"/>
        <v>-0.31255128828611506</v>
      </c>
      <c r="X67" s="684" t="s">
        <v>157</v>
      </c>
      <c r="Y67" s="688"/>
      <c r="Z67" s="688"/>
      <c r="AA67" s="682"/>
      <c r="AB67" s="682"/>
      <c r="AC67" s="683"/>
      <c r="AD67" t="str">
        <f t="shared" si="85"/>
        <v>L</v>
      </c>
      <c r="AE67">
        <f t="shared" si="61"/>
        <v>100000</v>
      </c>
      <c r="AF67">
        <f t="shared" si="62"/>
        <v>5.1041666665696539E-3</v>
      </c>
      <c r="AG67" s="156">
        <f t="shared" si="63"/>
        <v>1E-4</v>
      </c>
      <c r="AH67">
        <f t="shared" si="64"/>
        <v>109</v>
      </c>
      <c r="AI67">
        <f t="shared" si="65"/>
        <v>1</v>
      </c>
      <c r="AJ67">
        <f t="shared" si="66"/>
        <v>0.01</v>
      </c>
      <c r="AM67">
        <f t="shared" si="67"/>
        <v>99999.999999838314</v>
      </c>
      <c r="AN67" t="str">
        <f t="shared" si="68"/>
        <v>Jun</v>
      </c>
      <c r="AO67">
        <f t="shared" si="69"/>
        <v>2020</v>
      </c>
      <c r="AP67">
        <f t="shared" si="70"/>
        <v>2</v>
      </c>
      <c r="AQ67" t="str">
        <f>IF(COUNTIF($F$15:F67,F67)=1,B67,"")</f>
        <v/>
      </c>
      <c r="AR67">
        <f t="shared" si="86"/>
        <v>5.3000000000000074E-4</v>
      </c>
      <c r="AS67" s="14">
        <f t="shared" si="71"/>
        <v>43983.342740648142</v>
      </c>
      <c r="AT67" s="35">
        <f t="shared" si="72"/>
        <v>43983.342740648142</v>
      </c>
      <c r="AU67">
        <f t="shared" si="73"/>
        <v>53</v>
      </c>
      <c r="AV67" s="14">
        <f t="shared" si="74"/>
        <v>43983</v>
      </c>
      <c r="AZ67">
        <f t="shared" si="99"/>
        <v>11131.799999982002</v>
      </c>
      <c r="BA67" s="28">
        <f t="shared" si="100"/>
        <v>-90.000000000000014</v>
      </c>
      <c r="BB67">
        <f t="shared" si="77"/>
        <v>-75.3</v>
      </c>
      <c r="BC67">
        <f t="shared" si="98"/>
        <v>0</v>
      </c>
      <c r="BD67">
        <f t="shared" si="78"/>
        <v>-165.3</v>
      </c>
      <c r="BE67">
        <f t="shared" si="79"/>
        <v>-1.4849350509375596E-2</v>
      </c>
      <c r="BF67">
        <f t="shared" si="80"/>
        <v>53</v>
      </c>
      <c r="BG67">
        <f t="shared" si="87"/>
        <v>52722.019999999939</v>
      </c>
      <c r="BH67">
        <f t="shared" si="97"/>
        <v>52722.019999999939</v>
      </c>
      <c r="BI67">
        <f t="shared" si="101"/>
        <v>0.21114137887702358</v>
      </c>
      <c r="BK67">
        <f t="shared" si="81"/>
        <v>-1</v>
      </c>
      <c r="BL67">
        <f t="shared" si="89"/>
        <v>-2</v>
      </c>
      <c r="BM67">
        <f t="shared" si="90"/>
        <v>-420.6</v>
      </c>
      <c r="BN67">
        <f t="shared" si="91"/>
        <v>0</v>
      </c>
      <c r="BO67">
        <f t="shared" si="92"/>
        <v>0</v>
      </c>
      <c r="BP67">
        <f t="shared" si="82"/>
        <v>0</v>
      </c>
      <c r="BQ67">
        <f t="shared" si="83"/>
        <v>-2</v>
      </c>
      <c r="BR67">
        <f>IFERROR(MAX($BG$14:BG67),"")</f>
        <v>53892.769999999953</v>
      </c>
      <c r="BS67">
        <f t="shared" si="84"/>
        <v>-2.1723693178139027E-2</v>
      </c>
    </row>
    <row r="68" spans="2:71" ht="21.95" customHeight="1">
      <c r="B68" s="158">
        <f t="shared" si="93"/>
        <v>54</v>
      </c>
      <c r="C68" s="345">
        <v>43983.33966435185</v>
      </c>
      <c r="D68" s="346" t="s">
        <v>3</v>
      </c>
      <c r="E68" s="347">
        <v>10</v>
      </c>
      <c r="F68" s="348" t="s">
        <v>474</v>
      </c>
      <c r="G68" s="349">
        <v>0.67215999999999998</v>
      </c>
      <c r="H68" s="349">
        <v>0.67325000000000002</v>
      </c>
      <c r="I68" s="349">
        <v>0</v>
      </c>
      <c r="J68" s="350">
        <v>43983.353506944448</v>
      </c>
      <c r="K68" s="349">
        <v>0.67325000000000002</v>
      </c>
      <c r="L68" s="351">
        <v>-75.3</v>
      </c>
      <c r="M68" s="352">
        <v>1090</v>
      </c>
      <c r="N68" s="353"/>
      <c r="O68" s="354"/>
      <c r="P68">
        <f t="shared" si="53"/>
        <v>1.0900000000000354E-3</v>
      </c>
      <c r="Q68">
        <f t="shared" si="54"/>
        <v>6721.5999999997812</v>
      </c>
      <c r="R68">
        <f t="shared" si="55"/>
        <v>6732.4999999997817</v>
      </c>
      <c r="S68" s="711">
        <f t="shared" si="56"/>
        <v>10.900000000000354</v>
      </c>
      <c r="T68" s="712">
        <f t="shared" si="57"/>
        <v>1014.7</v>
      </c>
      <c r="U68" s="713">
        <f t="shared" si="94"/>
        <v>0.15096108069507752</v>
      </c>
      <c r="V68" s="419" t="str">
        <f t="shared" si="95"/>
        <v xml:space="preserve">0d 0h 19m </v>
      </c>
      <c r="W68" s="714">
        <f t="shared" si="60"/>
        <v>1.9246227667301086</v>
      </c>
      <c r="X68" s="684"/>
      <c r="Y68" s="688" t="s">
        <v>56</v>
      </c>
      <c r="Z68" s="688" t="s">
        <v>113</v>
      </c>
      <c r="AA68" s="682"/>
      <c r="AB68" s="682"/>
      <c r="AC68" s="683"/>
      <c r="AD68" t="str">
        <f t="shared" si="85"/>
        <v>W</v>
      </c>
      <c r="AE68">
        <f t="shared" si="61"/>
        <v>100000</v>
      </c>
      <c r="AF68">
        <f t="shared" si="62"/>
        <v>1.3842592597939074E-2</v>
      </c>
      <c r="AG68" s="156">
        <f t="shared" si="63"/>
        <v>1E-4</v>
      </c>
      <c r="AH68">
        <f t="shared" si="64"/>
        <v>82</v>
      </c>
      <c r="AI68">
        <f t="shared" si="65"/>
        <v>1</v>
      </c>
      <c r="AJ68">
        <f t="shared" si="66"/>
        <v>0.01</v>
      </c>
      <c r="AM68">
        <f t="shared" si="67"/>
        <v>99999.999999996755</v>
      </c>
      <c r="AN68" t="str">
        <f t="shared" si="68"/>
        <v>Jun</v>
      </c>
      <c r="AO68">
        <f t="shared" si="69"/>
        <v>2020</v>
      </c>
      <c r="AP68">
        <f t="shared" si="70"/>
        <v>2</v>
      </c>
      <c r="AQ68" t="str">
        <f>IF(COUNTIF($F$15:F68,F68)=1,B68,"")</f>
        <v/>
      </c>
      <c r="AR68">
        <f t="shared" si="86"/>
        <v>5.4000000000000077E-4</v>
      </c>
      <c r="AS68" s="14">
        <f t="shared" si="71"/>
        <v>43983.354046944449</v>
      </c>
      <c r="AT68" s="35">
        <f t="shared" si="72"/>
        <v>43983.349994444441</v>
      </c>
      <c r="AU68">
        <f t="shared" si="73"/>
        <v>55</v>
      </c>
      <c r="AV68" s="14">
        <f t="shared" si="74"/>
        <v>43983</v>
      </c>
      <c r="AZ68">
        <f t="shared" si="99"/>
        <v>871150.00000079232</v>
      </c>
      <c r="BA68" s="28">
        <f t="shared" si="100"/>
        <v>-20</v>
      </c>
      <c r="BB68">
        <f t="shared" si="77"/>
        <v>0</v>
      </c>
      <c r="BC68">
        <f t="shared" si="98"/>
        <v>0</v>
      </c>
      <c r="BD68">
        <f t="shared" si="78"/>
        <v>-20</v>
      </c>
      <c r="BE68">
        <f t="shared" si="79"/>
        <v>-2.2958158755646913E-5</v>
      </c>
      <c r="BF68">
        <f t="shared" si="80"/>
        <v>54</v>
      </c>
      <c r="BG68">
        <f t="shared" si="87"/>
        <v>52702.019999999939</v>
      </c>
      <c r="BH68">
        <f t="shared" si="97"/>
        <v>52702.019999999939</v>
      </c>
      <c r="BI68">
        <f t="shared" si="101"/>
        <v>16.529726944067672</v>
      </c>
      <c r="BK68">
        <f t="shared" si="81"/>
        <v>-1</v>
      </c>
      <c r="BL68">
        <f t="shared" si="89"/>
        <v>-3</v>
      </c>
      <c r="BM68">
        <f t="shared" si="90"/>
        <v>-440.6</v>
      </c>
      <c r="BN68">
        <f t="shared" si="91"/>
        <v>0</v>
      </c>
      <c r="BO68">
        <f t="shared" si="92"/>
        <v>0</v>
      </c>
      <c r="BP68">
        <f t="shared" si="82"/>
        <v>0</v>
      </c>
      <c r="BQ68">
        <f t="shared" si="83"/>
        <v>-3</v>
      </c>
      <c r="BR68">
        <f>IFERROR(MAX($BG$14:BG68),"")</f>
        <v>53892.769999999953</v>
      </c>
      <c r="BS68">
        <f t="shared" si="84"/>
        <v>-2.2094800471380772E-2</v>
      </c>
    </row>
    <row r="69" spans="2:71" ht="21.95" customHeight="1">
      <c r="B69" s="158">
        <f t="shared" si="93"/>
        <v>55</v>
      </c>
      <c r="C69" s="345">
        <v>43983.344722222224</v>
      </c>
      <c r="D69" s="346" t="s">
        <v>3</v>
      </c>
      <c r="E69" s="347">
        <v>5</v>
      </c>
      <c r="F69" s="348" t="s">
        <v>769</v>
      </c>
      <c r="G69" s="349">
        <v>1742.3</v>
      </c>
      <c r="H69" s="349">
        <v>1742.26</v>
      </c>
      <c r="I69" s="349">
        <v>0</v>
      </c>
      <c r="J69" s="350">
        <v>43983.349444444444</v>
      </c>
      <c r="K69" s="349">
        <v>1742.26</v>
      </c>
      <c r="L69" s="351">
        <v>0</v>
      </c>
      <c r="M69" s="352">
        <v>-20</v>
      </c>
      <c r="N69" s="353"/>
      <c r="O69" s="354"/>
      <c r="P69">
        <f t="shared" si="53"/>
        <v>-3.999999999996362E-2</v>
      </c>
      <c r="Q69">
        <f t="shared" si="54"/>
        <v>871150.00000079232</v>
      </c>
      <c r="R69">
        <f t="shared" si="55"/>
        <v>871130.00000079221</v>
      </c>
      <c r="S69" s="711">
        <f t="shared" si="56"/>
        <v>-0.3999999999996362</v>
      </c>
      <c r="T69" s="712">
        <f t="shared" si="57"/>
        <v>-20</v>
      </c>
      <c r="U69" s="713">
        <f t="shared" si="94"/>
        <v>-2.2958158755646913E-5</v>
      </c>
      <c r="V69" s="419" t="str">
        <f t="shared" si="95"/>
        <v xml:space="preserve">0d 0h 6m </v>
      </c>
      <c r="W69" s="714">
        <f t="shared" si="60"/>
        <v>-3.7949209536939997E-2</v>
      </c>
      <c r="X69" s="684" t="s">
        <v>157</v>
      </c>
      <c r="Y69" s="688"/>
      <c r="Z69" s="688"/>
      <c r="AA69" s="682"/>
      <c r="AB69" s="682"/>
      <c r="AC69" s="683"/>
      <c r="AD69" t="str">
        <f t="shared" si="85"/>
        <v>L</v>
      </c>
      <c r="AE69">
        <f t="shared" si="61"/>
        <v>100</v>
      </c>
      <c r="AF69">
        <f t="shared" si="62"/>
        <v>4.7222222201526165E-3</v>
      </c>
      <c r="AG69" s="156">
        <f t="shared" si="63"/>
        <v>0.1</v>
      </c>
      <c r="AH69" t="e">
        <f t="shared" si="64"/>
        <v>#N/A</v>
      </c>
      <c r="AI69">
        <f t="shared" si="65"/>
        <v>0</v>
      </c>
      <c r="AJ69">
        <f t="shared" si="66"/>
        <v>1</v>
      </c>
      <c r="AM69">
        <f t="shared" si="67"/>
        <v>100.00000000009095</v>
      </c>
      <c r="AN69" t="str">
        <f t="shared" si="68"/>
        <v>Jun</v>
      </c>
      <c r="AO69">
        <f t="shared" si="69"/>
        <v>2020</v>
      </c>
      <c r="AP69">
        <f t="shared" si="70"/>
        <v>2</v>
      </c>
      <c r="AQ69" t="str">
        <f>IF(COUNTIF($F$15:F69,F69)=1,B69,"")</f>
        <v/>
      </c>
      <c r="AR69">
        <f t="shared" si="86"/>
        <v>5.5000000000000079E-4</v>
      </c>
      <c r="AS69" s="14">
        <f t="shared" si="71"/>
        <v>43983.349994444441</v>
      </c>
      <c r="AT69" s="35">
        <f t="shared" si="72"/>
        <v>43983.354046944449</v>
      </c>
      <c r="AU69">
        <f t="shared" si="73"/>
        <v>54</v>
      </c>
      <c r="AV69" s="14">
        <f t="shared" si="74"/>
        <v>43983</v>
      </c>
      <c r="AZ69">
        <f t="shared" si="99"/>
        <v>6721.5999999997812</v>
      </c>
      <c r="BA69" s="28">
        <f t="shared" si="100"/>
        <v>1090</v>
      </c>
      <c r="BB69">
        <f t="shared" si="77"/>
        <v>-75.3</v>
      </c>
      <c r="BC69">
        <f t="shared" si="98"/>
        <v>0</v>
      </c>
      <c r="BD69">
        <f t="shared" si="78"/>
        <v>1014.7</v>
      </c>
      <c r="BE69">
        <f t="shared" si="79"/>
        <v>0.15096108069507752</v>
      </c>
      <c r="BF69">
        <f t="shared" si="80"/>
        <v>55</v>
      </c>
      <c r="BG69">
        <f t="shared" si="87"/>
        <v>53716.719999999936</v>
      </c>
      <c r="BH69">
        <f t="shared" si="97"/>
        <v>53716.719999999936</v>
      </c>
      <c r="BI69">
        <f t="shared" si="101"/>
        <v>0.12513049940502305</v>
      </c>
      <c r="BK69">
        <f t="shared" si="81"/>
        <v>1</v>
      </c>
      <c r="BL69">
        <f t="shared" si="89"/>
        <v>0</v>
      </c>
      <c r="BM69">
        <f t="shared" si="90"/>
        <v>0</v>
      </c>
      <c r="BN69">
        <f t="shared" si="91"/>
        <v>1</v>
      </c>
      <c r="BO69">
        <f t="shared" si="92"/>
        <v>1014.7</v>
      </c>
      <c r="BP69">
        <f t="shared" si="82"/>
        <v>0</v>
      </c>
      <c r="BQ69">
        <f t="shared" si="83"/>
        <v>1</v>
      </c>
      <c r="BR69">
        <f>IFERROR(MAX($BG$14:BG69),"")</f>
        <v>53892.769999999953</v>
      </c>
      <c r="BS69">
        <f t="shared" si="84"/>
        <v>-3.2666719487608005E-3</v>
      </c>
    </row>
    <row r="70" spans="2:71" ht="21.95" customHeight="1">
      <c r="B70" s="158">
        <f t="shared" si="93"/>
        <v>56</v>
      </c>
      <c r="C70" s="345">
        <v>45079</v>
      </c>
      <c r="D70" s="346" t="s">
        <v>3</v>
      </c>
      <c r="E70" s="347">
        <v>10</v>
      </c>
      <c r="F70" s="348" t="s">
        <v>474</v>
      </c>
      <c r="G70" s="349">
        <v>0.67276000000000002</v>
      </c>
      <c r="H70" s="349">
        <v>0.67339000000000004</v>
      </c>
      <c r="I70" s="349">
        <v>0</v>
      </c>
      <c r="J70" s="350">
        <v>45079</v>
      </c>
      <c r="K70" s="349">
        <v>0.67339000000000004</v>
      </c>
      <c r="L70" s="351">
        <v>-75.3</v>
      </c>
      <c r="M70" s="352">
        <v>630</v>
      </c>
      <c r="N70" s="353"/>
      <c r="O70" s="354"/>
      <c r="P70">
        <f t="shared" si="53"/>
        <v>6.3000000000001943E-4</v>
      </c>
      <c r="Q70">
        <f t="shared" si="54"/>
        <v>6727.599999999793</v>
      </c>
      <c r="R70">
        <f t="shared" si="55"/>
        <v>6733.8999999997932</v>
      </c>
      <c r="S70" s="711">
        <f t="shared" si="56"/>
        <v>6.3000000000001943</v>
      </c>
      <c r="T70" s="712">
        <f t="shared" si="57"/>
        <v>554.70000000000005</v>
      </c>
      <c r="U70" s="713">
        <f t="shared" si="94"/>
        <v>8.2451394256498167E-2</v>
      </c>
      <c r="V70" s="419" t="str">
        <f t="shared" si="95"/>
        <v xml:space="preserve">0d 0h 0m </v>
      </c>
      <c r="W70" s="714">
        <f t="shared" si="60"/>
        <v>1.0326393718752758</v>
      </c>
      <c r="X70" s="684" t="s">
        <v>157</v>
      </c>
      <c r="Y70" s="688" t="s">
        <v>56</v>
      </c>
      <c r="Z70" s="688" t="s">
        <v>113</v>
      </c>
      <c r="AA70" s="682"/>
      <c r="AB70" s="682"/>
      <c r="AC70" s="683"/>
      <c r="AD70" t="str">
        <f t="shared" si="85"/>
        <v>W</v>
      </c>
      <c r="AE70">
        <f t="shared" si="61"/>
        <v>100000</v>
      </c>
      <c r="AF70">
        <f t="shared" si="62"/>
        <v>0</v>
      </c>
      <c r="AG70" s="156">
        <f t="shared" si="63"/>
        <v>1E-4</v>
      </c>
      <c r="AH70">
        <f t="shared" si="64"/>
        <v>82</v>
      </c>
      <c r="AI70">
        <f t="shared" si="65"/>
        <v>1</v>
      </c>
      <c r="AJ70">
        <f t="shared" si="66"/>
        <v>0.01</v>
      </c>
      <c r="AM70">
        <f t="shared" si="67"/>
        <v>99999.999999996915</v>
      </c>
      <c r="AN70" t="str">
        <f t="shared" si="68"/>
        <v>Jun</v>
      </c>
      <c r="AO70">
        <f t="shared" si="69"/>
        <v>2023</v>
      </c>
      <c r="AP70">
        <f t="shared" si="70"/>
        <v>6</v>
      </c>
      <c r="AQ70" t="str">
        <f>IF(COUNTIF($F$15:F70,F70)=1,B70,"")</f>
        <v/>
      </c>
      <c r="AR70">
        <f t="shared" si="86"/>
        <v>5.6000000000000082E-4</v>
      </c>
      <c r="AS70" s="14">
        <f t="shared" si="71"/>
        <v>45079.00056</v>
      </c>
      <c r="AT70" s="35">
        <f t="shared" si="72"/>
        <v>45079.00056</v>
      </c>
      <c r="AU70">
        <f t="shared" si="73"/>
        <v>56</v>
      </c>
      <c r="AV70" s="14">
        <f t="shared" si="74"/>
        <v>45078</v>
      </c>
      <c r="AZ70">
        <f t="shared" si="99"/>
        <v>6727.599999999793</v>
      </c>
      <c r="BA70" s="28">
        <f t="shared" si="100"/>
        <v>630</v>
      </c>
      <c r="BB70">
        <f t="shared" si="77"/>
        <v>-75.3</v>
      </c>
      <c r="BC70">
        <f t="shared" si="98"/>
        <v>0</v>
      </c>
      <c r="BD70">
        <f t="shared" si="78"/>
        <v>554.70000000000005</v>
      </c>
      <c r="BE70">
        <f t="shared" si="79"/>
        <v>8.2451394256498167E-2</v>
      </c>
      <c r="BF70">
        <f t="shared" si="80"/>
        <v>56</v>
      </c>
      <c r="BG70">
        <f t="shared" si="87"/>
        <v>54271.419999999933</v>
      </c>
      <c r="BH70">
        <f t="shared" si="97"/>
        <v>54271.419999999933</v>
      </c>
      <c r="BI70">
        <f t="shared" si="101"/>
        <v>0.12396211486634773</v>
      </c>
      <c r="BK70">
        <f t="shared" si="81"/>
        <v>1</v>
      </c>
      <c r="BL70">
        <f t="shared" si="89"/>
        <v>0</v>
      </c>
      <c r="BM70">
        <f t="shared" si="90"/>
        <v>0</v>
      </c>
      <c r="BN70">
        <f t="shared" si="91"/>
        <v>2</v>
      </c>
      <c r="BO70">
        <f t="shared" si="92"/>
        <v>1569.4</v>
      </c>
      <c r="BP70">
        <f t="shared" si="82"/>
        <v>0</v>
      </c>
      <c r="BQ70">
        <f t="shared" si="83"/>
        <v>2</v>
      </c>
      <c r="BR70">
        <f>IFERROR(MAX($BG$14:BG70),"")</f>
        <v>54271.419999999933</v>
      </c>
      <c r="BS70">
        <f t="shared" si="84"/>
        <v>0</v>
      </c>
    </row>
    <row r="71" spans="2:71" ht="21.95" customHeight="1">
      <c r="B71" s="158">
        <f t="shared" si="93"/>
        <v>57</v>
      </c>
      <c r="C71" s="345"/>
      <c r="D71" s="346"/>
      <c r="E71" s="347"/>
      <c r="F71" s="348"/>
      <c r="G71" s="349"/>
      <c r="H71" s="349"/>
      <c r="I71" s="349"/>
      <c r="J71" s="350"/>
      <c r="K71" s="349"/>
      <c r="L71" s="351"/>
      <c r="M71" s="352"/>
      <c r="N71" s="353"/>
      <c r="O71" s="354"/>
      <c r="P71">
        <f t="shared" si="53"/>
        <v>0</v>
      </c>
      <c r="Q71">
        <f t="shared" si="54"/>
        <v>0</v>
      </c>
      <c r="R71">
        <f t="shared" si="55"/>
        <v>0</v>
      </c>
      <c r="S71" s="711" t="str">
        <f t="shared" si="56"/>
        <v/>
      </c>
      <c r="T71" s="712" t="str">
        <f t="shared" si="57"/>
        <v/>
      </c>
      <c r="U71" s="713" t="str">
        <f t="shared" si="94"/>
        <v/>
      </c>
      <c r="V71" s="419" t="str">
        <f t="shared" si="95"/>
        <v/>
      </c>
      <c r="W71" s="714" t="str">
        <f t="shared" si="60"/>
        <v/>
      </c>
      <c r="X71" s="684"/>
      <c r="Y71" s="688" t="s">
        <v>52</v>
      </c>
      <c r="Z71" s="688" t="s">
        <v>47</v>
      </c>
      <c r="AA71" s="682"/>
      <c r="AB71" s="682"/>
      <c r="AC71" s="683"/>
      <c r="AD71" t="str">
        <f t="shared" si="85"/>
        <v>W</v>
      </c>
      <c r="AE71">
        <f t="shared" si="61"/>
        <v>1</v>
      </c>
      <c r="AF71">
        <f t="shared" si="62"/>
        <v>0</v>
      </c>
      <c r="AG71" s="156">
        <f t="shared" si="63"/>
        <v>0.01</v>
      </c>
      <c r="AH71" t="e">
        <f t="shared" si="64"/>
        <v>#N/A</v>
      </c>
      <c r="AI71">
        <f t="shared" si="65"/>
        <v>0</v>
      </c>
      <c r="AJ71">
        <f t="shared" si="66"/>
        <v>1</v>
      </c>
      <c r="AM71">
        <f t="shared" si="67"/>
        <v>1</v>
      </c>
      <c r="AN71" t="str">
        <f t="shared" si="68"/>
        <v/>
      </c>
      <c r="AO71" t="str">
        <f t="shared" si="69"/>
        <v/>
      </c>
      <c r="AP71" t="e">
        <f t="shared" si="70"/>
        <v>#VALUE!</v>
      </c>
      <c r="AQ71" t="str">
        <f>IF(COUNTIF($F$15:F71,F71)=1,B71,"")</f>
        <v/>
      </c>
      <c r="AR71">
        <f t="shared" si="86"/>
        <v>5.7000000000000084E-4</v>
      </c>
      <c r="AS71" s="14" t="str">
        <f t="shared" si="71"/>
        <v/>
      </c>
      <c r="AT71" s="35" t="str">
        <f t="shared" si="72"/>
        <v/>
      </c>
      <c r="AU71" t="str">
        <f t="shared" si="73"/>
        <v/>
      </c>
      <c r="AV71" s="14">
        <f t="shared" si="74"/>
        <v>1</v>
      </c>
      <c r="AZ71" t="e">
        <f t="shared" si="99"/>
        <v>#VALUE!</v>
      </c>
      <c r="BA71" s="28" t="e">
        <f t="shared" si="100"/>
        <v>#VALUE!</v>
      </c>
      <c r="BB71" t="e">
        <f t="shared" si="77"/>
        <v>#VALUE!</v>
      </c>
      <c r="BC71" t="e">
        <f t="shared" si="98"/>
        <v>#VALUE!</v>
      </c>
      <c r="BD71" t="str">
        <f t="shared" si="78"/>
        <v/>
      </c>
      <c r="BE71" t="str">
        <f t="shared" si="79"/>
        <v/>
      </c>
      <c r="BF71" t="str">
        <f t="shared" si="80"/>
        <v/>
      </c>
      <c r="BG71" t="str">
        <f t="shared" si="87"/>
        <v/>
      </c>
      <c r="BH71" t="str">
        <f t="shared" si="97"/>
        <v/>
      </c>
      <c r="BI71" t="str">
        <f t="shared" si="101"/>
        <v/>
      </c>
      <c r="BK71" t="e">
        <f t="shared" si="81"/>
        <v>#VALUE!</v>
      </c>
      <c r="BL71" t="e">
        <f t="shared" si="89"/>
        <v>#VALUE!</v>
      </c>
      <c r="BM71">
        <f t="shared" si="90"/>
        <v>0</v>
      </c>
      <c r="BN71" t="e">
        <f t="shared" si="91"/>
        <v>#VALUE!</v>
      </c>
      <c r="BO71">
        <f t="shared" si="92"/>
        <v>0</v>
      </c>
      <c r="BP71">
        <f t="shared" si="82"/>
        <v>0</v>
      </c>
      <c r="BQ71" t="str">
        <f t="shared" si="83"/>
        <v/>
      </c>
      <c r="BR71">
        <f>IFERROR(MAX($BG$14:BG71),"")</f>
        <v>54271.419999999933</v>
      </c>
      <c r="BS71" t="str">
        <f t="shared" si="84"/>
        <v/>
      </c>
    </row>
    <row r="72" spans="2:71" ht="21.95" customHeight="1">
      <c r="B72" s="158">
        <f t="shared" si="93"/>
        <v>58</v>
      </c>
      <c r="C72" s="345"/>
      <c r="D72" s="346"/>
      <c r="E72" s="347"/>
      <c r="F72" s="348"/>
      <c r="G72" s="349"/>
      <c r="H72" s="349"/>
      <c r="I72" s="349"/>
      <c r="J72" s="350"/>
      <c r="K72" s="349"/>
      <c r="L72" s="351"/>
      <c r="M72" s="352"/>
      <c r="N72" s="353"/>
      <c r="O72" s="354"/>
      <c r="P72">
        <f t="shared" si="53"/>
        <v>0</v>
      </c>
      <c r="Q72">
        <f t="shared" si="54"/>
        <v>0</v>
      </c>
      <c r="R72">
        <f t="shared" si="55"/>
        <v>0</v>
      </c>
      <c r="S72" s="711" t="str">
        <f t="shared" si="56"/>
        <v/>
      </c>
      <c r="T72" s="712" t="str">
        <f t="shared" si="57"/>
        <v/>
      </c>
      <c r="U72" s="713" t="str">
        <f t="shared" si="94"/>
        <v/>
      </c>
      <c r="V72" s="419" t="str">
        <f t="shared" si="95"/>
        <v/>
      </c>
      <c r="W72" s="714" t="str">
        <f t="shared" si="60"/>
        <v/>
      </c>
      <c r="X72" s="684" t="s">
        <v>157</v>
      </c>
      <c r="Y72" s="688"/>
      <c r="Z72" s="688"/>
      <c r="AA72" s="682"/>
      <c r="AB72" s="682"/>
      <c r="AC72" s="683"/>
      <c r="AD72" t="str">
        <f t="shared" si="85"/>
        <v>W</v>
      </c>
      <c r="AE72">
        <f t="shared" si="61"/>
        <v>1</v>
      </c>
      <c r="AF72">
        <f t="shared" si="62"/>
        <v>0</v>
      </c>
      <c r="AG72" s="156">
        <f t="shared" si="63"/>
        <v>0.01</v>
      </c>
      <c r="AH72" t="e">
        <f t="shared" si="64"/>
        <v>#N/A</v>
      </c>
      <c r="AI72">
        <f t="shared" si="65"/>
        <v>0</v>
      </c>
      <c r="AJ72">
        <f t="shared" si="66"/>
        <v>1</v>
      </c>
      <c r="AM72">
        <f t="shared" si="67"/>
        <v>1</v>
      </c>
      <c r="AN72" t="str">
        <f t="shared" si="68"/>
        <v/>
      </c>
      <c r="AO72" t="str">
        <f t="shared" si="69"/>
        <v/>
      </c>
      <c r="AP72" t="e">
        <f t="shared" si="70"/>
        <v>#VALUE!</v>
      </c>
      <c r="AQ72" t="str">
        <f>IF(COUNTIF($F$15:F72,F72)=1,B72,"")</f>
        <v/>
      </c>
      <c r="AR72">
        <f t="shared" si="86"/>
        <v>5.8000000000000087E-4</v>
      </c>
      <c r="AS72" s="14" t="str">
        <f t="shared" si="71"/>
        <v/>
      </c>
      <c r="AT72" s="35" t="str">
        <f t="shared" si="72"/>
        <v/>
      </c>
      <c r="AU72" t="str">
        <f t="shared" si="73"/>
        <v/>
      </c>
      <c r="AV72" s="14">
        <f t="shared" si="74"/>
        <v>1</v>
      </c>
      <c r="AZ72" t="e">
        <f t="shared" si="99"/>
        <v>#VALUE!</v>
      </c>
      <c r="BA72" s="28" t="e">
        <f t="shared" si="100"/>
        <v>#VALUE!</v>
      </c>
      <c r="BB72" t="e">
        <f t="shared" si="77"/>
        <v>#VALUE!</v>
      </c>
      <c r="BC72" t="e">
        <f t="shared" si="98"/>
        <v>#VALUE!</v>
      </c>
      <c r="BD72" t="str">
        <f t="shared" si="78"/>
        <v/>
      </c>
      <c r="BE72" t="str">
        <f t="shared" si="79"/>
        <v/>
      </c>
      <c r="BF72" t="str">
        <f t="shared" si="80"/>
        <v/>
      </c>
      <c r="BG72" t="str">
        <f t="shared" si="87"/>
        <v/>
      </c>
      <c r="BH72" t="str">
        <f t="shared" si="97"/>
        <v/>
      </c>
      <c r="BI72" t="str">
        <f t="shared" si="101"/>
        <v/>
      </c>
      <c r="BK72" t="e">
        <f t="shared" si="81"/>
        <v>#VALUE!</v>
      </c>
      <c r="BL72" t="e">
        <f t="shared" si="89"/>
        <v>#VALUE!</v>
      </c>
      <c r="BM72">
        <f t="shared" si="90"/>
        <v>0</v>
      </c>
      <c r="BN72" t="e">
        <f t="shared" si="91"/>
        <v>#VALUE!</v>
      </c>
      <c r="BO72">
        <f t="shared" si="92"/>
        <v>0</v>
      </c>
      <c r="BP72">
        <f t="shared" si="82"/>
        <v>0</v>
      </c>
      <c r="BQ72" t="str">
        <f t="shared" si="83"/>
        <v/>
      </c>
      <c r="BR72">
        <f>IFERROR(MAX($BG$14:BG72),"")</f>
        <v>54271.419999999933</v>
      </c>
      <c r="BS72" t="str">
        <f t="shared" si="84"/>
        <v/>
      </c>
    </row>
    <row r="73" spans="2:71" ht="21.95" customHeight="1">
      <c r="B73" s="158">
        <f t="shared" si="93"/>
        <v>59</v>
      </c>
      <c r="C73" s="345"/>
      <c r="D73" s="346"/>
      <c r="E73" s="347"/>
      <c r="F73" s="348"/>
      <c r="G73" s="349"/>
      <c r="H73" s="349"/>
      <c r="I73" s="349"/>
      <c r="J73" s="350"/>
      <c r="K73" s="349"/>
      <c r="L73" s="351"/>
      <c r="M73" s="352"/>
      <c r="N73" s="353"/>
      <c r="O73" s="354"/>
      <c r="P73">
        <f t="shared" si="53"/>
        <v>0</v>
      </c>
      <c r="Q73">
        <f t="shared" si="54"/>
        <v>0</v>
      </c>
      <c r="R73">
        <f t="shared" si="55"/>
        <v>0</v>
      </c>
      <c r="S73" s="711" t="str">
        <f t="shared" si="56"/>
        <v/>
      </c>
      <c r="T73" s="712" t="str">
        <f t="shared" si="57"/>
        <v/>
      </c>
      <c r="U73" s="713" t="str">
        <f t="shared" si="94"/>
        <v/>
      </c>
      <c r="V73" s="419" t="str">
        <f t="shared" si="95"/>
        <v/>
      </c>
      <c r="W73" s="714" t="str">
        <f t="shared" si="60"/>
        <v/>
      </c>
      <c r="X73" s="684"/>
      <c r="Y73" s="688"/>
      <c r="Z73" s="688"/>
      <c r="AA73" s="682"/>
      <c r="AB73" s="682"/>
      <c r="AC73" s="683"/>
      <c r="AD73" t="str">
        <f t="shared" si="85"/>
        <v>W</v>
      </c>
      <c r="AE73">
        <f t="shared" si="61"/>
        <v>1</v>
      </c>
      <c r="AF73">
        <f t="shared" si="62"/>
        <v>0</v>
      </c>
      <c r="AG73" s="156">
        <f t="shared" si="63"/>
        <v>0.01</v>
      </c>
      <c r="AH73" t="e">
        <f t="shared" si="64"/>
        <v>#N/A</v>
      </c>
      <c r="AI73">
        <f t="shared" si="65"/>
        <v>0</v>
      </c>
      <c r="AJ73">
        <f t="shared" si="66"/>
        <v>1</v>
      </c>
      <c r="AM73">
        <f t="shared" si="67"/>
        <v>1</v>
      </c>
      <c r="AN73" t="str">
        <f t="shared" si="68"/>
        <v/>
      </c>
      <c r="AO73" t="str">
        <f t="shared" si="69"/>
        <v/>
      </c>
      <c r="AP73" t="e">
        <f t="shared" si="70"/>
        <v>#VALUE!</v>
      </c>
      <c r="AQ73" t="str">
        <f>IF(COUNTIF($F$15:F73,F73)=1,B73,"")</f>
        <v/>
      </c>
      <c r="AR73">
        <f t="shared" si="86"/>
        <v>5.900000000000009E-4</v>
      </c>
      <c r="AS73" s="14" t="str">
        <f t="shared" si="71"/>
        <v/>
      </c>
      <c r="AT73" s="35" t="str">
        <f t="shared" si="72"/>
        <v/>
      </c>
      <c r="AU73" t="str">
        <f t="shared" si="73"/>
        <v/>
      </c>
      <c r="AV73" s="14">
        <f t="shared" si="74"/>
        <v>1</v>
      </c>
      <c r="AZ73" t="e">
        <f t="shared" si="99"/>
        <v>#VALUE!</v>
      </c>
      <c r="BA73" s="28" t="e">
        <f t="shared" si="100"/>
        <v>#VALUE!</v>
      </c>
      <c r="BB73" t="e">
        <f t="shared" si="77"/>
        <v>#VALUE!</v>
      </c>
      <c r="BC73" t="e">
        <f t="shared" si="98"/>
        <v>#VALUE!</v>
      </c>
      <c r="BD73" t="str">
        <f t="shared" si="78"/>
        <v/>
      </c>
      <c r="BE73" t="str">
        <f t="shared" si="79"/>
        <v/>
      </c>
      <c r="BF73" t="str">
        <f t="shared" si="80"/>
        <v/>
      </c>
      <c r="BG73" t="str">
        <f t="shared" si="87"/>
        <v/>
      </c>
      <c r="BH73" t="str">
        <f t="shared" si="97"/>
        <v/>
      </c>
      <c r="BI73" t="str">
        <f t="shared" si="101"/>
        <v/>
      </c>
      <c r="BK73" t="e">
        <f t="shared" si="81"/>
        <v>#VALUE!</v>
      </c>
      <c r="BL73" t="e">
        <f t="shared" si="89"/>
        <v>#VALUE!</v>
      </c>
      <c r="BM73">
        <f t="shared" si="90"/>
        <v>0</v>
      </c>
      <c r="BN73" t="e">
        <f t="shared" si="91"/>
        <v>#VALUE!</v>
      </c>
      <c r="BO73">
        <f t="shared" si="92"/>
        <v>0</v>
      </c>
      <c r="BP73">
        <f t="shared" si="82"/>
        <v>0</v>
      </c>
      <c r="BQ73" t="str">
        <f t="shared" si="83"/>
        <v/>
      </c>
      <c r="BR73">
        <f>IFERROR(MAX($BG$14:BG73),"")</f>
        <v>54271.419999999933</v>
      </c>
      <c r="BS73" t="str">
        <f t="shared" si="84"/>
        <v/>
      </c>
    </row>
    <row r="74" spans="2:71" ht="21.95" customHeight="1">
      <c r="B74" s="158">
        <f t="shared" si="93"/>
        <v>60</v>
      </c>
      <c r="C74" s="345"/>
      <c r="D74" s="346"/>
      <c r="E74" s="347"/>
      <c r="F74" s="348"/>
      <c r="G74" s="349"/>
      <c r="H74" s="349"/>
      <c r="I74" s="349"/>
      <c r="J74" s="350"/>
      <c r="K74" s="349"/>
      <c r="L74" s="351"/>
      <c r="M74" s="352"/>
      <c r="N74" s="353"/>
      <c r="O74" s="354"/>
      <c r="P74">
        <f t="shared" si="53"/>
        <v>0</v>
      </c>
      <c r="Q74">
        <f t="shared" si="54"/>
        <v>0</v>
      </c>
      <c r="R74">
        <f t="shared" si="55"/>
        <v>0</v>
      </c>
      <c r="S74" s="711" t="str">
        <f t="shared" si="56"/>
        <v/>
      </c>
      <c r="T74" s="712" t="str">
        <f t="shared" si="57"/>
        <v/>
      </c>
      <c r="U74" s="713" t="str">
        <f t="shared" si="94"/>
        <v/>
      </c>
      <c r="V74" s="419" t="str">
        <f t="shared" si="95"/>
        <v/>
      </c>
      <c r="W74" s="714" t="str">
        <f t="shared" si="60"/>
        <v/>
      </c>
      <c r="X74" s="684"/>
      <c r="Y74" s="688"/>
      <c r="Z74" s="688"/>
      <c r="AA74" s="682"/>
      <c r="AB74" s="682"/>
      <c r="AC74" s="683"/>
      <c r="AD74" t="str">
        <f t="shared" si="85"/>
        <v>W</v>
      </c>
      <c r="AE74">
        <f t="shared" si="61"/>
        <v>1</v>
      </c>
      <c r="AF74">
        <f t="shared" si="62"/>
        <v>0</v>
      </c>
      <c r="AG74" s="156">
        <f t="shared" si="63"/>
        <v>0.01</v>
      </c>
      <c r="AH74" t="e">
        <f t="shared" si="64"/>
        <v>#N/A</v>
      </c>
      <c r="AI74">
        <f t="shared" si="65"/>
        <v>0</v>
      </c>
      <c r="AJ74">
        <f t="shared" si="66"/>
        <v>1</v>
      </c>
      <c r="AM74">
        <f t="shared" si="67"/>
        <v>1</v>
      </c>
      <c r="AN74" t="str">
        <f t="shared" si="68"/>
        <v/>
      </c>
      <c r="AO74" t="str">
        <f t="shared" si="69"/>
        <v/>
      </c>
      <c r="AP74" t="e">
        <f t="shared" si="70"/>
        <v>#VALUE!</v>
      </c>
      <c r="AQ74" t="str">
        <f>IF(COUNTIF($F$15:F74,F74)=1,B74,"")</f>
        <v/>
      </c>
      <c r="AR74">
        <f t="shared" si="86"/>
        <v>6.0000000000000092E-4</v>
      </c>
      <c r="AS74" s="14" t="str">
        <f t="shared" si="71"/>
        <v/>
      </c>
      <c r="AT74" s="35" t="str">
        <f t="shared" si="72"/>
        <v/>
      </c>
      <c r="AU74" t="str">
        <f t="shared" si="73"/>
        <v/>
      </c>
      <c r="AV74" s="14">
        <f t="shared" si="74"/>
        <v>1</v>
      </c>
      <c r="AZ74" t="e">
        <f t="shared" si="99"/>
        <v>#VALUE!</v>
      </c>
      <c r="BA74" s="28" t="e">
        <f t="shared" si="100"/>
        <v>#VALUE!</v>
      </c>
      <c r="BB74" t="e">
        <f t="shared" si="77"/>
        <v>#VALUE!</v>
      </c>
      <c r="BC74" t="e">
        <f t="shared" si="98"/>
        <v>#VALUE!</v>
      </c>
      <c r="BD74" t="str">
        <f t="shared" si="78"/>
        <v/>
      </c>
      <c r="BE74" t="str">
        <f t="shared" si="79"/>
        <v/>
      </c>
      <c r="BF74" t="str">
        <f t="shared" si="80"/>
        <v/>
      </c>
      <c r="BG74" t="str">
        <f t="shared" si="87"/>
        <v/>
      </c>
      <c r="BH74" t="str">
        <f t="shared" si="97"/>
        <v/>
      </c>
      <c r="BI74" t="str">
        <f t="shared" si="101"/>
        <v/>
      </c>
      <c r="BK74" t="e">
        <f t="shared" si="81"/>
        <v>#VALUE!</v>
      </c>
      <c r="BL74" t="e">
        <f t="shared" si="89"/>
        <v>#VALUE!</v>
      </c>
      <c r="BM74">
        <f t="shared" si="90"/>
        <v>0</v>
      </c>
      <c r="BN74" t="e">
        <f t="shared" si="91"/>
        <v>#VALUE!</v>
      </c>
      <c r="BO74">
        <f t="shared" si="92"/>
        <v>0</v>
      </c>
      <c r="BP74">
        <f t="shared" si="82"/>
        <v>0</v>
      </c>
      <c r="BQ74" t="str">
        <f t="shared" si="83"/>
        <v/>
      </c>
      <c r="BR74">
        <f>IFERROR(MAX($BG$14:BG74),"")</f>
        <v>54271.419999999933</v>
      </c>
      <c r="BS74" t="str">
        <f t="shared" si="84"/>
        <v/>
      </c>
    </row>
    <row r="75" spans="2:71" ht="21.95" customHeight="1">
      <c r="AT75"/>
    </row>
    <row r="76" spans="2:71" ht="21.95" customHeight="1">
      <c r="AT76"/>
    </row>
    <row r="77" spans="2:71" ht="21.95" customHeight="1">
      <c r="AT77"/>
    </row>
    <row r="78" spans="2:71" ht="21.95" customHeight="1">
      <c r="AT78"/>
    </row>
    <row r="79" spans="2:71" ht="21.95" customHeight="1">
      <c r="AT79"/>
    </row>
    <row r="80" spans="2:71" ht="21.95" customHeight="1">
      <c r="AT80"/>
    </row>
    <row r="81" spans="1:46" ht="21.95" customHeight="1">
      <c r="AT81"/>
    </row>
    <row r="82" spans="1:46" ht="21.95" customHeight="1">
      <c r="AT82"/>
    </row>
    <row r="83" spans="1:46" ht="21.95" customHeight="1">
      <c r="AT83"/>
    </row>
    <row r="84" spans="1:46" ht="21.95" customHeight="1">
      <c r="AT84"/>
    </row>
    <row r="85" spans="1:46" ht="21.95" customHeight="1">
      <c r="AT85"/>
    </row>
    <row r="86" spans="1:46" ht="21.95" customHeight="1">
      <c r="AT86"/>
    </row>
    <row r="87" spans="1:46" ht="21.95" customHeight="1">
      <c r="AT87"/>
    </row>
    <row r="88" spans="1:46" ht="21.95" customHeight="1">
      <c r="A88" s="158">
        <f t="shared" ref="A88" si="102">(A87+1)</f>
        <v>1</v>
      </c>
      <c r="AT88"/>
    </row>
    <row r="89" spans="1:46" ht="21.95" customHeight="1">
      <c r="AT89"/>
    </row>
    <row r="90" spans="1:46" ht="21.95" customHeight="1">
      <c r="AT90"/>
    </row>
    <row r="91" spans="1:46" ht="21.95" customHeight="1">
      <c r="AT91"/>
    </row>
    <row r="92" spans="1:46" ht="21.95" customHeight="1">
      <c r="AT92"/>
    </row>
    <row r="93" spans="1:46" ht="21.95" customHeight="1">
      <c r="AT93"/>
    </row>
    <row r="94" spans="1:46" ht="21.95" customHeight="1">
      <c r="AT94"/>
    </row>
    <row r="95" spans="1:46" ht="21.95" customHeight="1">
      <c r="AT95"/>
    </row>
    <row r="96" spans="1:46" ht="21.95" customHeight="1">
      <c r="AT96"/>
    </row>
    <row r="97" spans="46:46" ht="21.95" customHeight="1">
      <c r="AT97"/>
    </row>
    <row r="98" spans="46:46" ht="21.95" customHeight="1">
      <c r="AT98"/>
    </row>
    <row r="99" spans="46:46" ht="21.95" customHeight="1">
      <c r="AT99"/>
    </row>
    <row r="100" spans="46:46" ht="21.95" customHeight="1">
      <c r="AT100"/>
    </row>
    <row r="101" spans="46:46" ht="21.95" customHeight="1">
      <c r="AT101"/>
    </row>
    <row r="102" spans="46:46" ht="21.95" customHeight="1">
      <c r="AT102"/>
    </row>
    <row r="103" spans="46:46" ht="21.95" customHeight="1">
      <c r="AT103"/>
    </row>
    <row r="104" spans="46:46" ht="21.95" customHeight="1">
      <c r="AT104"/>
    </row>
    <row r="105" spans="46:46" ht="21.95" customHeight="1">
      <c r="AT105"/>
    </row>
    <row r="106" spans="46:46" ht="21.95" customHeight="1">
      <c r="AT106"/>
    </row>
    <row r="107" spans="46:46" ht="21.95" customHeight="1">
      <c r="AT107"/>
    </row>
    <row r="108" spans="46:46" ht="21.95" customHeight="1">
      <c r="AT108"/>
    </row>
    <row r="109" spans="46:46" ht="21.95" customHeight="1">
      <c r="AT109"/>
    </row>
    <row r="110" spans="46:46" ht="21.95" customHeight="1">
      <c r="AT110"/>
    </row>
    <row r="111" spans="46:46" ht="21.95" customHeight="1">
      <c r="AT111"/>
    </row>
    <row r="112" spans="46:46" ht="21.95" customHeight="1">
      <c r="AT112"/>
    </row>
    <row r="113" spans="46:46" ht="21.95" customHeight="1">
      <c r="AT113"/>
    </row>
    <row r="114" spans="46:46" ht="21.95" customHeight="1">
      <c r="AT114"/>
    </row>
    <row r="115" spans="46:46" ht="21.95" customHeight="1">
      <c r="AT115"/>
    </row>
    <row r="116" spans="46:46" ht="21.95" customHeight="1">
      <c r="AT116"/>
    </row>
    <row r="117" spans="46:46" ht="21.95" customHeight="1">
      <c r="AT117"/>
    </row>
    <row r="118" spans="46:46" ht="21.95" customHeight="1">
      <c r="AT118"/>
    </row>
    <row r="119" spans="46:46" ht="21.95" customHeight="1">
      <c r="AT119"/>
    </row>
    <row r="120" spans="46:46" ht="21.95" customHeight="1">
      <c r="AT120"/>
    </row>
    <row r="121" spans="46:46" ht="21.95" customHeight="1">
      <c r="AT121"/>
    </row>
    <row r="122" spans="46:46" ht="21.95" customHeight="1">
      <c r="AT122"/>
    </row>
    <row r="123" spans="46:46" ht="21.95" customHeight="1">
      <c r="AT123"/>
    </row>
    <row r="124" spans="46:46" ht="21.95" customHeight="1">
      <c r="AT124"/>
    </row>
    <row r="125" spans="46:46" ht="21.95" customHeight="1">
      <c r="AT125"/>
    </row>
    <row r="126" spans="46:46" ht="21.95" customHeight="1">
      <c r="AT126"/>
    </row>
    <row r="127" spans="46:46" ht="21.95" customHeight="1">
      <c r="AT127"/>
    </row>
    <row r="128" spans="46:46" ht="21.95" customHeight="1">
      <c r="AT128"/>
    </row>
    <row r="129" spans="46:46" ht="21.95" customHeight="1">
      <c r="AT129"/>
    </row>
    <row r="130" spans="46:46" ht="21.95" customHeight="1">
      <c r="AT130"/>
    </row>
    <row r="131" spans="46:46" ht="21.95" customHeight="1">
      <c r="AT131"/>
    </row>
    <row r="132" spans="46:46" ht="21.95" customHeight="1">
      <c r="AT132"/>
    </row>
    <row r="133" spans="46:46" ht="21.95" customHeight="1">
      <c r="AT133"/>
    </row>
    <row r="134" spans="46:46" ht="21.95" customHeight="1">
      <c r="AT134"/>
    </row>
    <row r="135" spans="46:46" ht="21.95" customHeight="1">
      <c r="AT135"/>
    </row>
    <row r="136" spans="46:46" ht="21.95" customHeight="1">
      <c r="AT136"/>
    </row>
    <row r="137" spans="46:46" ht="21.95" customHeight="1">
      <c r="AT137"/>
    </row>
    <row r="138" spans="46:46" ht="21.95" customHeight="1">
      <c r="AT138"/>
    </row>
    <row r="139" spans="46:46" ht="21.95" customHeight="1">
      <c r="AT139"/>
    </row>
    <row r="140" spans="46:46" ht="21.95" customHeight="1">
      <c r="AT140"/>
    </row>
    <row r="141" spans="46:46" ht="21.95" customHeight="1">
      <c r="AT141"/>
    </row>
    <row r="142" spans="46:46" ht="21.95" customHeight="1">
      <c r="AT142"/>
    </row>
    <row r="143" spans="46:46" ht="21.95" customHeight="1">
      <c r="AT143"/>
    </row>
    <row r="144" spans="46:46" ht="21.95" customHeight="1">
      <c r="AT144"/>
    </row>
    <row r="145" spans="46:46" ht="21.95" customHeight="1">
      <c r="AT145"/>
    </row>
    <row r="146" spans="46:46" ht="21.95" customHeight="1">
      <c r="AT146"/>
    </row>
    <row r="147" spans="46:46" ht="21.95" customHeight="1">
      <c r="AT147"/>
    </row>
    <row r="148" spans="46:46" ht="21.95" customHeight="1">
      <c r="AT148"/>
    </row>
    <row r="149" spans="46:46" ht="21.95" customHeight="1">
      <c r="AT149"/>
    </row>
    <row r="150" spans="46:46" ht="21.95" customHeight="1">
      <c r="AT150"/>
    </row>
    <row r="151" spans="46:46" ht="21.95" customHeight="1">
      <c r="AT151"/>
    </row>
    <row r="152" spans="46:46" ht="21.95" customHeight="1">
      <c r="AT152"/>
    </row>
    <row r="153" spans="46:46" ht="21.95" customHeight="1">
      <c r="AT153"/>
    </row>
    <row r="154" spans="46:46" ht="21.95" customHeight="1">
      <c r="AT154"/>
    </row>
    <row r="155" spans="46:46" ht="21.95" customHeight="1">
      <c r="AT155"/>
    </row>
    <row r="156" spans="46:46" ht="21.95" customHeight="1">
      <c r="AT156"/>
    </row>
    <row r="157" spans="46:46" ht="21.95" customHeight="1">
      <c r="AT157"/>
    </row>
    <row r="158" spans="46:46" ht="21.95" customHeight="1">
      <c r="AT158"/>
    </row>
    <row r="159" spans="46:46" ht="21.95" customHeight="1">
      <c r="AT159"/>
    </row>
    <row r="160" spans="46:46" ht="21.95" customHeight="1">
      <c r="AT160"/>
    </row>
    <row r="161" spans="46:46" ht="21.95" customHeight="1">
      <c r="AT161"/>
    </row>
    <row r="162" spans="46:46" ht="21.95" customHeight="1">
      <c r="AT162"/>
    </row>
    <row r="163" spans="46:46" ht="21.95" customHeight="1">
      <c r="AT163"/>
    </row>
    <row r="164" spans="46:46" ht="21.95" customHeight="1">
      <c r="AT164"/>
    </row>
    <row r="165" spans="46:46" ht="21.95" customHeight="1">
      <c r="AT165"/>
    </row>
    <row r="166" spans="46:46" ht="21.95" customHeight="1">
      <c r="AT166"/>
    </row>
    <row r="167" spans="46:46" ht="21.95" customHeight="1">
      <c r="AT167"/>
    </row>
    <row r="168" spans="46:46" ht="21.95" customHeight="1">
      <c r="AT168"/>
    </row>
    <row r="169" spans="46:46" ht="21.95" customHeight="1">
      <c r="AT169"/>
    </row>
    <row r="170" spans="46:46" ht="21.95" customHeight="1">
      <c r="AT170"/>
    </row>
    <row r="171" spans="46:46" ht="21.95" customHeight="1">
      <c r="AT171"/>
    </row>
    <row r="172" spans="46:46" ht="21.95" customHeight="1">
      <c r="AT172"/>
    </row>
    <row r="173" spans="46:46" ht="21.95" customHeight="1">
      <c r="AT173"/>
    </row>
    <row r="174" spans="46:46" ht="21.95" customHeight="1">
      <c r="AT174"/>
    </row>
    <row r="175" spans="46:46" ht="21.95" customHeight="1">
      <c r="AT175"/>
    </row>
    <row r="176" spans="46:46" ht="21.95" customHeight="1">
      <c r="AT176"/>
    </row>
    <row r="177" spans="46:46" ht="21.95" customHeight="1">
      <c r="AT177"/>
    </row>
    <row r="178" spans="46:46" ht="21.95" customHeight="1">
      <c r="AT178"/>
    </row>
    <row r="179" spans="46:46" ht="21.95" customHeight="1">
      <c r="AT179"/>
    </row>
    <row r="180" spans="46:46" ht="21.95" customHeight="1">
      <c r="AT180"/>
    </row>
    <row r="181" spans="46:46" ht="21.95" customHeight="1">
      <c r="AT181"/>
    </row>
    <row r="182" spans="46:46" ht="21.95" customHeight="1">
      <c r="AT182"/>
    </row>
    <row r="183" spans="46:46" ht="21.95" customHeight="1">
      <c r="AT183"/>
    </row>
    <row r="184" spans="46:46" ht="21.95" customHeight="1">
      <c r="AT184"/>
    </row>
    <row r="185" spans="46:46" ht="21.95" customHeight="1">
      <c r="AT185"/>
    </row>
    <row r="186" spans="46:46" ht="21.95" customHeight="1">
      <c r="AT186"/>
    </row>
    <row r="187" spans="46:46" ht="21.95" customHeight="1">
      <c r="AT187"/>
    </row>
    <row r="188" spans="46:46" ht="21.95" customHeight="1">
      <c r="AT188"/>
    </row>
    <row r="189" spans="46:46" ht="21.95" customHeight="1">
      <c r="AT189"/>
    </row>
    <row r="190" spans="46:46" ht="21.95" customHeight="1">
      <c r="AT190"/>
    </row>
    <row r="191" spans="46:46" ht="21.95" customHeight="1">
      <c r="AT191"/>
    </row>
    <row r="192" spans="46:46" ht="21.95" customHeight="1">
      <c r="AT192"/>
    </row>
    <row r="193" spans="46:46" ht="21.95" customHeight="1">
      <c r="AT193"/>
    </row>
    <row r="194" spans="46:46" ht="21.95" customHeight="1">
      <c r="AT194"/>
    </row>
    <row r="195" spans="46:46" ht="21.95" customHeight="1">
      <c r="AT195"/>
    </row>
    <row r="196" spans="46:46" ht="21.95" customHeight="1">
      <c r="AT196"/>
    </row>
    <row r="197" spans="46:46" ht="21.95" customHeight="1">
      <c r="AT197"/>
    </row>
    <row r="198" spans="46:46" ht="21.95" customHeight="1">
      <c r="AT198"/>
    </row>
    <row r="199" spans="46:46" ht="21.95" customHeight="1">
      <c r="AT199"/>
    </row>
    <row r="200" spans="46:46" ht="21.95" customHeight="1">
      <c r="AT200"/>
    </row>
    <row r="201" spans="46:46" ht="21.95" customHeight="1">
      <c r="AT201"/>
    </row>
    <row r="202" spans="46:46" ht="21.95" customHeight="1">
      <c r="AT202"/>
    </row>
    <row r="203" spans="46:46" ht="21.95" customHeight="1">
      <c r="AT203"/>
    </row>
    <row r="204" spans="46:46" ht="21.95" customHeight="1">
      <c r="AT204"/>
    </row>
    <row r="205" spans="46:46" ht="21.95" customHeight="1">
      <c r="AT205"/>
    </row>
    <row r="206" spans="46:46" ht="21.95" customHeight="1">
      <c r="AT206"/>
    </row>
    <row r="207" spans="46:46" ht="21.95" customHeight="1">
      <c r="AT207"/>
    </row>
    <row r="208" spans="46:46" ht="21.95" customHeight="1">
      <c r="AT208"/>
    </row>
    <row r="209" spans="46:46" ht="21.95" customHeight="1">
      <c r="AT209"/>
    </row>
    <row r="210" spans="46:46" ht="21.95" customHeight="1">
      <c r="AT210"/>
    </row>
    <row r="211" spans="46:46" ht="21.95" customHeight="1">
      <c r="AT211"/>
    </row>
    <row r="212" spans="46:46" ht="21.95" customHeight="1">
      <c r="AT212"/>
    </row>
    <row r="213" spans="46:46" ht="21.95" customHeight="1">
      <c r="AT213"/>
    </row>
    <row r="214" spans="46:46" ht="21.95" customHeight="1">
      <c r="AT214"/>
    </row>
    <row r="215" spans="46:46" ht="21.95" customHeight="1">
      <c r="AT215"/>
    </row>
    <row r="216" spans="46:46" ht="21.95" customHeight="1">
      <c r="AT216"/>
    </row>
    <row r="217" spans="46:46" ht="21.95" customHeight="1">
      <c r="AT217"/>
    </row>
    <row r="218" spans="46:46" ht="21.95" customHeight="1">
      <c r="AT218"/>
    </row>
    <row r="219" spans="46:46" ht="21.95" customHeight="1">
      <c r="AT219"/>
    </row>
    <row r="220" spans="46:46" ht="21.95" customHeight="1">
      <c r="AT220"/>
    </row>
    <row r="221" spans="46:46" ht="21.95" customHeight="1">
      <c r="AT221"/>
    </row>
    <row r="222" spans="46:46" ht="21.95" customHeight="1">
      <c r="AT222"/>
    </row>
    <row r="223" spans="46:46" ht="21.95" customHeight="1">
      <c r="AT223"/>
    </row>
    <row r="224" spans="46:46" ht="21.95" customHeight="1">
      <c r="AT224"/>
    </row>
    <row r="225" spans="46:46" ht="21.95" customHeight="1">
      <c r="AT225"/>
    </row>
    <row r="226" spans="46:46" ht="21.95" customHeight="1">
      <c r="AT226"/>
    </row>
    <row r="227" spans="46:46" ht="21.95" customHeight="1">
      <c r="AT227"/>
    </row>
    <row r="228" spans="46:46" ht="21.95" customHeight="1">
      <c r="AT228"/>
    </row>
    <row r="229" spans="46:46" ht="21.95" customHeight="1">
      <c r="AT229"/>
    </row>
    <row r="230" spans="46:46" ht="21.95" customHeight="1">
      <c r="AT230"/>
    </row>
    <row r="231" spans="46:46" ht="21.95" customHeight="1">
      <c r="AT231"/>
    </row>
    <row r="232" spans="46:46" ht="21.95" customHeight="1">
      <c r="AT232"/>
    </row>
    <row r="233" spans="46:46" ht="21.95" customHeight="1">
      <c r="AT233"/>
    </row>
    <row r="234" spans="46:46" ht="21.95" customHeight="1">
      <c r="AT234"/>
    </row>
    <row r="235" spans="46:46" ht="21.95" customHeight="1">
      <c r="AT235"/>
    </row>
    <row r="236" spans="46:46" ht="21.95" customHeight="1">
      <c r="AT236"/>
    </row>
    <row r="237" spans="46:46" ht="21.95" customHeight="1">
      <c r="AT237"/>
    </row>
    <row r="238" spans="46:46" ht="21.95" customHeight="1">
      <c r="AT238"/>
    </row>
    <row r="239" spans="46:46" ht="21.95" customHeight="1">
      <c r="AT239"/>
    </row>
    <row r="240" spans="46:46" ht="21.95" customHeight="1">
      <c r="AT240"/>
    </row>
    <row r="241" spans="46:46" ht="21.95" customHeight="1">
      <c r="AT241"/>
    </row>
    <row r="242" spans="46:46" ht="21.95" customHeight="1">
      <c r="AT242"/>
    </row>
    <row r="243" spans="46:46" ht="21.95" customHeight="1">
      <c r="AT243"/>
    </row>
    <row r="244" spans="46:46" ht="21.95" customHeight="1">
      <c r="AT244"/>
    </row>
    <row r="245" spans="46:46" ht="21.95" customHeight="1">
      <c r="AT245"/>
    </row>
    <row r="246" spans="46:46" ht="21.95" customHeight="1">
      <c r="AT246"/>
    </row>
    <row r="247" spans="46:46" ht="21.95" customHeight="1">
      <c r="AT247"/>
    </row>
    <row r="248" spans="46:46" ht="21.95" customHeight="1">
      <c r="AT248"/>
    </row>
    <row r="249" spans="46:46" ht="21.95" customHeight="1">
      <c r="AT249"/>
    </row>
    <row r="250" spans="46:46" ht="21.95" customHeight="1">
      <c r="AT250"/>
    </row>
    <row r="251" spans="46:46" ht="21.95" customHeight="1">
      <c r="AT251"/>
    </row>
    <row r="252" spans="46:46" ht="21.95" customHeight="1">
      <c r="AT252"/>
    </row>
    <row r="253" spans="46:46" ht="21.95" customHeight="1">
      <c r="AT253"/>
    </row>
    <row r="254" spans="46:46" ht="21.95" customHeight="1">
      <c r="AT254"/>
    </row>
    <row r="255" spans="46:46" ht="21.95" customHeight="1">
      <c r="AT255"/>
    </row>
    <row r="256" spans="46:46" ht="21.95" customHeight="1">
      <c r="AT256"/>
    </row>
    <row r="257" spans="46:46" ht="21.95" customHeight="1">
      <c r="AT257"/>
    </row>
    <row r="258" spans="46:46" ht="21.95" customHeight="1">
      <c r="AT258"/>
    </row>
    <row r="259" spans="46:46" ht="21.95" customHeight="1">
      <c r="AT259"/>
    </row>
    <row r="260" spans="46:46" ht="21.95" customHeight="1">
      <c r="AT260"/>
    </row>
    <row r="261" spans="46:46" ht="21.95" customHeight="1">
      <c r="AT261"/>
    </row>
    <row r="262" spans="46:46" ht="21.95" customHeight="1">
      <c r="AT262"/>
    </row>
    <row r="263" spans="46:46" ht="21.95" customHeight="1">
      <c r="AT263"/>
    </row>
    <row r="264" spans="46:46" ht="21.95" customHeight="1">
      <c r="AT264"/>
    </row>
    <row r="265" spans="46:46" ht="21.95" customHeight="1">
      <c r="AT265"/>
    </row>
    <row r="266" spans="46:46" ht="21.95" customHeight="1">
      <c r="AT266"/>
    </row>
    <row r="267" spans="46:46" ht="21.95" customHeight="1">
      <c r="AT267"/>
    </row>
    <row r="268" spans="46:46" ht="21.95" customHeight="1">
      <c r="AT268"/>
    </row>
    <row r="269" spans="46:46" ht="21.95" customHeight="1">
      <c r="AT269"/>
    </row>
    <row r="270" spans="46:46" ht="21.95" customHeight="1">
      <c r="AT270"/>
    </row>
    <row r="271" spans="46:46" ht="21.95" customHeight="1">
      <c r="AT271"/>
    </row>
    <row r="272" spans="46:46" ht="21.95" customHeight="1">
      <c r="AT272"/>
    </row>
    <row r="273" spans="46:46" ht="21.95" customHeight="1">
      <c r="AT273"/>
    </row>
    <row r="274" spans="46:46" ht="21.95" customHeight="1">
      <c r="AT274"/>
    </row>
    <row r="275" spans="46:46" ht="21.95" customHeight="1">
      <c r="AT275"/>
    </row>
    <row r="276" spans="46:46" ht="21.95" customHeight="1">
      <c r="AT276"/>
    </row>
    <row r="277" spans="46:46" ht="21.95" customHeight="1">
      <c r="AT277"/>
    </row>
    <row r="278" spans="46:46" ht="21.95" customHeight="1">
      <c r="AT278"/>
    </row>
    <row r="279" spans="46:46" ht="21.95" customHeight="1">
      <c r="AT279"/>
    </row>
    <row r="280" spans="46:46" ht="21.95" customHeight="1">
      <c r="AT280"/>
    </row>
    <row r="281" spans="46:46" ht="21.95" customHeight="1">
      <c r="AT281"/>
    </row>
    <row r="282" spans="46:46" ht="21.95" customHeight="1">
      <c r="AT282"/>
    </row>
    <row r="283" spans="46:46" ht="21.95" customHeight="1">
      <c r="AT283"/>
    </row>
    <row r="284" spans="46:46" ht="21.95" customHeight="1">
      <c r="AT284"/>
    </row>
    <row r="285" spans="46:46" ht="21.95" customHeight="1">
      <c r="AT285"/>
    </row>
    <row r="286" spans="46:46" ht="21.95" customHeight="1">
      <c r="AT286"/>
    </row>
    <row r="287" spans="46:46" ht="21.95" customHeight="1">
      <c r="AT287"/>
    </row>
    <row r="288" spans="46:46" ht="21.95" customHeight="1">
      <c r="AT288"/>
    </row>
    <row r="289" spans="46:46" ht="21.95" customHeight="1">
      <c r="AT289"/>
    </row>
    <row r="290" spans="46:46" ht="21.95" customHeight="1">
      <c r="AT290"/>
    </row>
    <row r="291" spans="46:46" ht="21.95" customHeight="1">
      <c r="AT291"/>
    </row>
    <row r="292" spans="46:46" ht="21.95" customHeight="1">
      <c r="AT292"/>
    </row>
    <row r="293" spans="46:46" ht="21.95" customHeight="1">
      <c r="AT293"/>
    </row>
    <row r="294" spans="46:46" ht="21.95" customHeight="1">
      <c r="AT294"/>
    </row>
    <row r="295" spans="46:46" ht="21.95" customHeight="1">
      <c r="AT295"/>
    </row>
    <row r="296" spans="46:46" ht="21.95" customHeight="1">
      <c r="AT296"/>
    </row>
    <row r="297" spans="46:46" ht="21.95" customHeight="1">
      <c r="AT297"/>
    </row>
    <row r="298" spans="46:46" ht="21.95" customHeight="1">
      <c r="AT298"/>
    </row>
    <row r="299" spans="46:46" ht="21.95" customHeight="1">
      <c r="AT299"/>
    </row>
    <row r="300" spans="46:46" ht="21.95" customHeight="1">
      <c r="AT300"/>
    </row>
    <row r="301" spans="46:46" ht="21.95" customHeight="1">
      <c r="AT301"/>
    </row>
    <row r="302" spans="46:46" ht="21.95" customHeight="1">
      <c r="AT302"/>
    </row>
    <row r="303" spans="46:46" ht="21.95" customHeight="1">
      <c r="AT303"/>
    </row>
    <row r="304" spans="46:46" ht="21.95" customHeight="1">
      <c r="AT304"/>
    </row>
    <row r="305" spans="46:46" ht="21.95" customHeight="1">
      <c r="AT305"/>
    </row>
    <row r="306" spans="46:46" ht="21.95" customHeight="1">
      <c r="AT306"/>
    </row>
    <row r="307" spans="46:46" ht="21.95" customHeight="1">
      <c r="AT307"/>
    </row>
    <row r="308" spans="46:46" ht="21.95" customHeight="1">
      <c r="AT308"/>
    </row>
    <row r="309" spans="46:46" ht="21.95" customHeight="1">
      <c r="AT309"/>
    </row>
    <row r="310" spans="46:46" ht="21.95" customHeight="1">
      <c r="AT310"/>
    </row>
    <row r="311" spans="46:46" ht="21.95" customHeight="1">
      <c r="AT311"/>
    </row>
    <row r="312" spans="46:46" ht="21.95" customHeight="1">
      <c r="AT312"/>
    </row>
    <row r="313" spans="46:46" ht="21.95" customHeight="1">
      <c r="AT313"/>
    </row>
    <row r="314" spans="46:46" ht="21.95" customHeight="1">
      <c r="AT314"/>
    </row>
    <row r="315" spans="46:46" ht="21.95" customHeight="1">
      <c r="AT315"/>
    </row>
    <row r="316" spans="46:46" ht="21.95" customHeight="1">
      <c r="AT316"/>
    </row>
    <row r="317" spans="46:46" ht="21.95" customHeight="1">
      <c r="AT317"/>
    </row>
    <row r="318" spans="46:46" ht="21.95" customHeight="1">
      <c r="AT318"/>
    </row>
    <row r="319" spans="46:46" ht="21.95" customHeight="1">
      <c r="AT319"/>
    </row>
    <row r="320" spans="46:46" ht="21.95" customHeight="1">
      <c r="AT320"/>
    </row>
    <row r="321" spans="46:46" ht="21.95" customHeight="1">
      <c r="AT321"/>
    </row>
    <row r="322" spans="46:46" ht="21.95" customHeight="1">
      <c r="AT322"/>
    </row>
    <row r="323" spans="46:46" ht="21.95" customHeight="1">
      <c r="AT323"/>
    </row>
    <row r="324" spans="46:46" ht="21.95" customHeight="1">
      <c r="AT324"/>
    </row>
    <row r="325" spans="46:46" ht="21.95" customHeight="1">
      <c r="AT325"/>
    </row>
    <row r="326" spans="46:46" ht="21.95" customHeight="1">
      <c r="AT326"/>
    </row>
    <row r="327" spans="46:46" ht="21.95" customHeight="1">
      <c r="AT327"/>
    </row>
    <row r="328" spans="46:46" ht="21.95" customHeight="1">
      <c r="AT328"/>
    </row>
    <row r="329" spans="46:46" ht="21.95" customHeight="1">
      <c r="AT329"/>
    </row>
    <row r="330" spans="46:46" ht="21.95" customHeight="1">
      <c r="AT330"/>
    </row>
    <row r="331" spans="46:46" ht="21.95" customHeight="1">
      <c r="AT331"/>
    </row>
    <row r="332" spans="46:46" ht="21.95" customHeight="1">
      <c r="AT332"/>
    </row>
    <row r="333" spans="46:46" ht="21.95" customHeight="1">
      <c r="AT333"/>
    </row>
    <row r="334" spans="46:46" ht="21.95" customHeight="1">
      <c r="AT334"/>
    </row>
    <row r="335" spans="46:46" ht="21.95" customHeight="1">
      <c r="AT335"/>
    </row>
    <row r="336" spans="46:46" ht="21.95" customHeight="1">
      <c r="AT336"/>
    </row>
    <row r="337" spans="46:46" ht="21.95" customHeight="1">
      <c r="AT337"/>
    </row>
    <row r="338" spans="46:46" ht="21.95" customHeight="1">
      <c r="AT338"/>
    </row>
    <row r="339" spans="46:46" ht="21.95" customHeight="1">
      <c r="AT339"/>
    </row>
    <row r="340" spans="46:46" ht="21.95" customHeight="1">
      <c r="AT340"/>
    </row>
    <row r="341" spans="46:46" ht="21.95" customHeight="1">
      <c r="AT341"/>
    </row>
    <row r="342" spans="46:46" ht="21.95" customHeight="1">
      <c r="AT342"/>
    </row>
    <row r="343" spans="46:46" ht="21.95" customHeight="1">
      <c r="AT343"/>
    </row>
    <row r="344" spans="46:46" ht="21.95" customHeight="1">
      <c r="AT344"/>
    </row>
    <row r="345" spans="46:46" ht="21.95" customHeight="1">
      <c r="AT345"/>
    </row>
    <row r="346" spans="46:46" ht="21.95" customHeight="1">
      <c r="AT346"/>
    </row>
    <row r="347" spans="46:46" ht="21.95" customHeight="1">
      <c r="AT347"/>
    </row>
    <row r="348" spans="46:46" ht="21.95" customHeight="1">
      <c r="AT348"/>
    </row>
    <row r="349" spans="46:46" ht="21.95" customHeight="1">
      <c r="AT349"/>
    </row>
    <row r="350" spans="46:46" ht="21.95" customHeight="1">
      <c r="AT350"/>
    </row>
    <row r="351" spans="46:46" ht="21.95" customHeight="1">
      <c r="AT351"/>
    </row>
    <row r="352" spans="46:46" ht="21.95" customHeight="1">
      <c r="AT352"/>
    </row>
    <row r="353" spans="46:46" ht="21.95" customHeight="1">
      <c r="AT353"/>
    </row>
    <row r="354" spans="46:46" ht="21.95" customHeight="1">
      <c r="AT354"/>
    </row>
    <row r="355" spans="46:46" ht="21.95" customHeight="1">
      <c r="AT355"/>
    </row>
    <row r="356" spans="46:46" ht="21.95" customHeight="1">
      <c r="AT356"/>
    </row>
    <row r="357" spans="46:46" ht="21.95" customHeight="1">
      <c r="AT357"/>
    </row>
    <row r="358" spans="46:46" ht="21.95" customHeight="1">
      <c r="AT358"/>
    </row>
    <row r="359" spans="46:46" ht="21.95" customHeight="1">
      <c r="AT359"/>
    </row>
    <row r="360" spans="46:46" ht="21.95" customHeight="1">
      <c r="AT360"/>
    </row>
    <row r="361" spans="46:46" ht="21.95" customHeight="1">
      <c r="AT361"/>
    </row>
    <row r="362" spans="46:46" ht="21.95" customHeight="1">
      <c r="AT362"/>
    </row>
    <row r="363" spans="46:46" ht="21.95" customHeight="1">
      <c r="AT363"/>
    </row>
    <row r="364" spans="46:46" ht="21.95" customHeight="1">
      <c r="AT364"/>
    </row>
    <row r="365" spans="46:46" ht="21.95" customHeight="1">
      <c r="AT365"/>
    </row>
    <row r="366" spans="46:46" ht="21.95" customHeight="1">
      <c r="AT366"/>
    </row>
    <row r="367" spans="46:46" ht="21.95" customHeight="1">
      <c r="AT367"/>
    </row>
    <row r="368" spans="46:46" ht="21.95" customHeight="1">
      <c r="AT368"/>
    </row>
    <row r="369" spans="46:46" ht="21.95" customHeight="1">
      <c r="AT369"/>
    </row>
    <row r="370" spans="46:46" ht="21.95" customHeight="1">
      <c r="AT370"/>
    </row>
    <row r="371" spans="46:46" ht="21.95" customHeight="1">
      <c r="AT371"/>
    </row>
    <row r="372" spans="46:46" ht="21.95" customHeight="1">
      <c r="AT372"/>
    </row>
    <row r="373" spans="46:46" ht="21.95" customHeight="1">
      <c r="AT373"/>
    </row>
    <row r="374" spans="46:46" ht="21.95" customHeight="1">
      <c r="AT374"/>
    </row>
    <row r="375" spans="46:46" ht="21.95" customHeight="1">
      <c r="AT375"/>
    </row>
    <row r="376" spans="46:46" ht="21.95" customHeight="1">
      <c r="AT376"/>
    </row>
    <row r="377" spans="46:46" ht="21.95" customHeight="1">
      <c r="AT377"/>
    </row>
    <row r="378" spans="46:46" ht="21.95" customHeight="1">
      <c r="AT378"/>
    </row>
    <row r="379" spans="46:46" ht="21.95" customHeight="1">
      <c r="AT379"/>
    </row>
    <row r="380" spans="46:46" ht="21.95" customHeight="1">
      <c r="AT380"/>
    </row>
    <row r="381" spans="46:46" ht="21.95" customHeight="1">
      <c r="AT381"/>
    </row>
    <row r="382" spans="46:46" ht="21.95" customHeight="1">
      <c r="AT382"/>
    </row>
    <row r="383" spans="46:46" ht="21.95" customHeight="1">
      <c r="AT383"/>
    </row>
    <row r="384" spans="46:46" ht="21.95" customHeight="1">
      <c r="AT384"/>
    </row>
    <row r="385" spans="46:46" ht="21.95" customHeight="1">
      <c r="AT385"/>
    </row>
    <row r="386" spans="46:46" ht="21.95" customHeight="1">
      <c r="AT386"/>
    </row>
    <row r="387" spans="46:46" ht="21.95" customHeight="1">
      <c r="AT387"/>
    </row>
    <row r="388" spans="46:46" ht="21.95" customHeight="1">
      <c r="AT388"/>
    </row>
    <row r="389" spans="46:46" ht="21.95" customHeight="1">
      <c r="AT389"/>
    </row>
    <row r="390" spans="46:46" ht="21.95" customHeight="1">
      <c r="AT390"/>
    </row>
    <row r="391" spans="46:46" ht="21.95" customHeight="1">
      <c r="AT391"/>
    </row>
    <row r="392" spans="46:46" ht="21.95" customHeight="1">
      <c r="AT392"/>
    </row>
    <row r="393" spans="46:46" ht="21.95" customHeight="1">
      <c r="AT393"/>
    </row>
    <row r="394" spans="46:46" ht="21.95" customHeight="1">
      <c r="AT394"/>
    </row>
    <row r="395" spans="46:46" ht="21.95" customHeight="1">
      <c r="AT395"/>
    </row>
    <row r="396" spans="46:46" ht="21.95" customHeight="1">
      <c r="AT396"/>
    </row>
    <row r="397" spans="46:46" ht="21.95" customHeight="1">
      <c r="AT397"/>
    </row>
    <row r="398" spans="46:46" ht="21.95" customHeight="1">
      <c r="AT398"/>
    </row>
    <row r="399" spans="46:46" ht="21.95" customHeight="1">
      <c r="AT399"/>
    </row>
    <row r="400" spans="46:46" ht="21.95" customHeight="1">
      <c r="AT400"/>
    </row>
    <row r="401" spans="46:46" ht="21.95" customHeight="1">
      <c r="AT401"/>
    </row>
    <row r="402" spans="46:46" ht="21.95" customHeight="1">
      <c r="AT402"/>
    </row>
    <row r="403" spans="46:46" ht="21.95" customHeight="1">
      <c r="AT403"/>
    </row>
    <row r="404" spans="46:46" ht="21.95" customHeight="1">
      <c r="AT404"/>
    </row>
    <row r="405" spans="46:46" ht="21.95" customHeight="1">
      <c r="AT405"/>
    </row>
    <row r="406" spans="46:46" ht="21.95" customHeight="1">
      <c r="AT406"/>
    </row>
    <row r="407" spans="46:46" ht="21.95" customHeight="1">
      <c r="AT407"/>
    </row>
    <row r="408" spans="46:46" ht="21.95" customHeight="1">
      <c r="AT408"/>
    </row>
    <row r="409" spans="46:46" ht="21.95" customHeight="1">
      <c r="AT409"/>
    </row>
    <row r="410" spans="46:46" ht="21.95" customHeight="1">
      <c r="AT410"/>
    </row>
    <row r="411" spans="46:46" ht="21.95" customHeight="1">
      <c r="AT411"/>
    </row>
    <row r="412" spans="46:46" ht="21.95" customHeight="1">
      <c r="AT412"/>
    </row>
    <row r="413" spans="46:46" ht="21.95" customHeight="1">
      <c r="AT413"/>
    </row>
    <row r="414" spans="46:46" ht="21.95" customHeight="1">
      <c r="AT414"/>
    </row>
    <row r="415" spans="46:46" ht="21.95" customHeight="1">
      <c r="AT415"/>
    </row>
    <row r="416" spans="46:46" ht="21.95" customHeight="1">
      <c r="AT416"/>
    </row>
    <row r="417" spans="46:46" ht="21.95" customHeight="1">
      <c r="AT417"/>
    </row>
    <row r="418" spans="46:46" ht="21.95" customHeight="1">
      <c r="AT418"/>
    </row>
    <row r="419" spans="46:46" ht="21.95" customHeight="1">
      <c r="AT419"/>
    </row>
    <row r="420" spans="46:46" ht="21.95" customHeight="1">
      <c r="AT420"/>
    </row>
    <row r="421" spans="46:46" ht="21.95" customHeight="1">
      <c r="AT421"/>
    </row>
    <row r="422" spans="46:46" ht="21.95" customHeight="1">
      <c r="AT422"/>
    </row>
    <row r="423" spans="46:46" ht="21.95" customHeight="1">
      <c r="AT423"/>
    </row>
    <row r="424" spans="46:46" ht="21.95" customHeight="1">
      <c r="AT424"/>
    </row>
    <row r="425" spans="46:46" ht="21.95" customHeight="1">
      <c r="AT425"/>
    </row>
    <row r="426" spans="46:46" ht="21.95" customHeight="1">
      <c r="AT426"/>
    </row>
    <row r="427" spans="46:46" ht="21.95" customHeight="1">
      <c r="AT427"/>
    </row>
    <row r="428" spans="46:46" ht="21.95" customHeight="1">
      <c r="AT428"/>
    </row>
    <row r="429" spans="46:46" ht="21.95" customHeight="1">
      <c r="AT429"/>
    </row>
    <row r="430" spans="46:46" ht="21.95" customHeight="1">
      <c r="AT430"/>
    </row>
    <row r="431" spans="46:46" ht="21.95" customHeight="1">
      <c r="AT431"/>
    </row>
    <row r="432" spans="46:46" ht="21.95" customHeight="1">
      <c r="AT432"/>
    </row>
    <row r="433" spans="46:46" ht="21.95" customHeight="1">
      <c r="AT433"/>
    </row>
    <row r="434" spans="46:46" ht="21.95" customHeight="1">
      <c r="AT434"/>
    </row>
    <row r="435" spans="46:46" ht="21.95" customHeight="1">
      <c r="AT435"/>
    </row>
    <row r="436" spans="46:46" ht="21.95" customHeight="1">
      <c r="AT436"/>
    </row>
    <row r="437" spans="46:46" ht="21.95" customHeight="1">
      <c r="AT437"/>
    </row>
    <row r="438" spans="46:46" ht="21.95" customHeight="1">
      <c r="AT438"/>
    </row>
    <row r="439" spans="46:46" ht="21.95" customHeight="1">
      <c r="AT439"/>
    </row>
    <row r="440" spans="46:46" ht="21.95" customHeight="1">
      <c r="AT440"/>
    </row>
    <row r="441" spans="46:46" ht="21.95" customHeight="1">
      <c r="AT441"/>
    </row>
    <row r="442" spans="46:46" ht="21.95" customHeight="1">
      <c r="AT442"/>
    </row>
    <row r="443" spans="46:46" ht="21.95" customHeight="1">
      <c r="AT443"/>
    </row>
    <row r="444" spans="46:46" ht="21.95" customHeight="1">
      <c r="AT444"/>
    </row>
    <row r="445" spans="46:46" ht="21.95" customHeight="1">
      <c r="AT445"/>
    </row>
    <row r="446" spans="46:46" ht="21.95" customHeight="1">
      <c r="AT446"/>
    </row>
    <row r="447" spans="46:46" ht="21.95" customHeight="1">
      <c r="AT447"/>
    </row>
    <row r="448" spans="46:46" ht="21.95" customHeight="1">
      <c r="AT448"/>
    </row>
    <row r="449" spans="46:46" ht="21.95" customHeight="1">
      <c r="AT449"/>
    </row>
    <row r="450" spans="46:46" ht="21.95" customHeight="1">
      <c r="AT450"/>
    </row>
    <row r="451" spans="46:46" ht="21.95" customHeight="1">
      <c r="AT451"/>
    </row>
    <row r="452" spans="46:46" ht="21.95" customHeight="1">
      <c r="AT452"/>
    </row>
    <row r="453" spans="46:46" ht="21.95" customHeight="1">
      <c r="AT453"/>
    </row>
    <row r="454" spans="46:46" ht="21.95" customHeight="1">
      <c r="AT454"/>
    </row>
    <row r="455" spans="46:46" ht="21.95" customHeight="1">
      <c r="AT455"/>
    </row>
    <row r="456" spans="46:46" ht="21.95" customHeight="1">
      <c r="AT456"/>
    </row>
    <row r="457" spans="46:46" ht="21.95" customHeight="1">
      <c r="AT457"/>
    </row>
    <row r="458" spans="46:46" ht="21.95" customHeight="1">
      <c r="AT458"/>
    </row>
    <row r="459" spans="46:46" ht="21.95" customHeight="1">
      <c r="AT459"/>
    </row>
    <row r="460" spans="46:46" ht="21.95" customHeight="1">
      <c r="AT460"/>
    </row>
    <row r="461" spans="46:46" ht="21.95" customHeight="1">
      <c r="AT461"/>
    </row>
    <row r="462" spans="46:46" ht="21.95" customHeight="1">
      <c r="AT462"/>
    </row>
    <row r="463" spans="46:46" ht="21.95" customHeight="1">
      <c r="AT463"/>
    </row>
    <row r="464" spans="46:46" ht="21.95" customHeight="1">
      <c r="AT464"/>
    </row>
    <row r="465" spans="46:46" ht="21.95" customHeight="1">
      <c r="AT465"/>
    </row>
    <row r="466" spans="46:46" ht="21.95" customHeight="1">
      <c r="AT466"/>
    </row>
    <row r="467" spans="46:46" ht="21.95" customHeight="1">
      <c r="AT467"/>
    </row>
    <row r="468" spans="46:46" ht="21.95" customHeight="1">
      <c r="AT468"/>
    </row>
    <row r="469" spans="46:46" ht="21.95" customHeight="1">
      <c r="AT469"/>
    </row>
    <row r="470" spans="46:46" ht="21.95" customHeight="1">
      <c r="AT470"/>
    </row>
    <row r="471" spans="46:46" ht="21.95" customHeight="1">
      <c r="AT471"/>
    </row>
    <row r="472" spans="46:46" ht="21.95" customHeight="1">
      <c r="AT472"/>
    </row>
    <row r="473" spans="46:46" ht="21.95" customHeight="1">
      <c r="AT473"/>
    </row>
    <row r="474" spans="46:46" ht="21.95" customHeight="1">
      <c r="AT474"/>
    </row>
    <row r="475" spans="46:46" ht="21.95" customHeight="1">
      <c r="AT475"/>
    </row>
    <row r="476" spans="46:46" ht="21.95" customHeight="1">
      <c r="AT476"/>
    </row>
    <row r="477" spans="46:46" ht="21.95" customHeight="1">
      <c r="AT477"/>
    </row>
    <row r="478" spans="46:46" ht="21.95" customHeight="1">
      <c r="AT478"/>
    </row>
    <row r="479" spans="46:46" ht="21.95" customHeight="1">
      <c r="AT479"/>
    </row>
    <row r="480" spans="46:46" ht="21.95" customHeight="1">
      <c r="AT480"/>
    </row>
    <row r="481" spans="46:46" ht="21.95" customHeight="1">
      <c r="AT481"/>
    </row>
    <row r="482" spans="46:46" ht="21.95" customHeight="1">
      <c r="AT482"/>
    </row>
    <row r="483" spans="46:46" ht="21.95" customHeight="1">
      <c r="AT483"/>
    </row>
    <row r="484" spans="46:46" ht="21.95" customHeight="1">
      <c r="AT484"/>
    </row>
    <row r="485" spans="46:46" ht="21.95" customHeight="1">
      <c r="AT485"/>
    </row>
    <row r="486" spans="46:46" ht="21.95" customHeight="1">
      <c r="AT486"/>
    </row>
    <row r="487" spans="46:46" ht="21.95" customHeight="1">
      <c r="AT487"/>
    </row>
    <row r="488" spans="46:46" ht="21.95" customHeight="1">
      <c r="AT488"/>
    </row>
    <row r="489" spans="46:46" ht="21.95" customHeight="1">
      <c r="AT489"/>
    </row>
    <row r="490" spans="46:46" ht="21.95" customHeight="1">
      <c r="AT490"/>
    </row>
    <row r="491" spans="46:46" ht="21.95" customHeight="1">
      <c r="AT491"/>
    </row>
    <row r="492" spans="46:46" ht="21.95" customHeight="1">
      <c r="AT492"/>
    </row>
    <row r="493" spans="46:46" ht="21.95" customHeight="1">
      <c r="AT493"/>
    </row>
    <row r="494" spans="46:46" ht="21.95" customHeight="1">
      <c r="AT494"/>
    </row>
    <row r="495" spans="46:46" ht="21.95" customHeight="1">
      <c r="AT495"/>
    </row>
    <row r="496" spans="46:46" ht="21.95" customHeight="1">
      <c r="AT496"/>
    </row>
    <row r="497" spans="46:46" ht="21.95" customHeight="1">
      <c r="AT497"/>
    </row>
    <row r="498" spans="46:46" ht="21.95" customHeight="1">
      <c r="AT498"/>
    </row>
    <row r="499" spans="46:46" ht="21.95" customHeight="1">
      <c r="AT499"/>
    </row>
    <row r="500" spans="46:46" ht="21.95" customHeight="1">
      <c r="AT500"/>
    </row>
    <row r="501" spans="46:46" ht="21.95" customHeight="1">
      <c r="AT501"/>
    </row>
    <row r="502" spans="46:46" ht="21.95" customHeight="1">
      <c r="AT502"/>
    </row>
    <row r="503" spans="46:46" ht="21.95" customHeight="1">
      <c r="AT503"/>
    </row>
    <row r="504" spans="46:46" ht="21.95" customHeight="1">
      <c r="AT504"/>
    </row>
    <row r="505" spans="46:46" ht="21.95" customHeight="1">
      <c r="AT505"/>
    </row>
    <row r="506" spans="46:46" ht="21.95" customHeight="1">
      <c r="AT506"/>
    </row>
    <row r="507" spans="46:46" ht="21.95" customHeight="1">
      <c r="AT507"/>
    </row>
    <row r="508" spans="46:46" ht="21.95" customHeight="1">
      <c r="AT508"/>
    </row>
    <row r="509" spans="46:46" ht="21.95" customHeight="1">
      <c r="AT509"/>
    </row>
    <row r="510" spans="46:46" ht="21.95" customHeight="1">
      <c r="AT510"/>
    </row>
    <row r="511" spans="46:46" ht="21.95" customHeight="1">
      <c r="AT511"/>
    </row>
    <row r="512" spans="46:46" ht="21.95" customHeight="1">
      <c r="AT512"/>
    </row>
    <row r="513" spans="46:46" ht="21.95" customHeight="1">
      <c r="AT513"/>
    </row>
    <row r="514" spans="46:46" ht="21.95" customHeight="1">
      <c r="AT514"/>
    </row>
    <row r="515" spans="46:46" ht="21.95" customHeight="1">
      <c r="AT515"/>
    </row>
    <row r="516" spans="46:46" ht="21.95" customHeight="1">
      <c r="AT516"/>
    </row>
    <row r="517" spans="46:46" ht="21.95" customHeight="1">
      <c r="AT517"/>
    </row>
    <row r="518" spans="46:46" ht="21.95" customHeight="1">
      <c r="AT518"/>
    </row>
    <row r="519" spans="46:46" ht="21.95" customHeight="1">
      <c r="AT519"/>
    </row>
    <row r="520" spans="46:46" ht="21.95" customHeight="1">
      <c r="AT520"/>
    </row>
    <row r="521" spans="46:46" ht="21.95" customHeight="1">
      <c r="AT521"/>
    </row>
    <row r="522" spans="46:46" ht="21.95" customHeight="1">
      <c r="AT522"/>
    </row>
    <row r="523" spans="46:46" ht="21.95" customHeight="1">
      <c r="AT523"/>
    </row>
    <row r="524" spans="46:46" ht="21.95" customHeight="1">
      <c r="AT524"/>
    </row>
    <row r="525" spans="46:46" ht="21.95" customHeight="1">
      <c r="AT525"/>
    </row>
    <row r="526" spans="46:46" ht="21.95" customHeight="1">
      <c r="AT526"/>
    </row>
    <row r="527" spans="46:46" ht="21.95" customHeight="1">
      <c r="AT527"/>
    </row>
    <row r="528" spans="46:46" ht="21.95" customHeight="1">
      <c r="AT528"/>
    </row>
    <row r="529" spans="46:46" ht="21.95" customHeight="1">
      <c r="AT529"/>
    </row>
    <row r="530" spans="46:46" ht="21.95" customHeight="1">
      <c r="AT530"/>
    </row>
    <row r="531" spans="46:46" ht="21.95" customHeight="1">
      <c r="AT531"/>
    </row>
    <row r="532" spans="46:46" ht="21.95" customHeight="1">
      <c r="AT532"/>
    </row>
    <row r="533" spans="46:46" ht="21.95" customHeight="1">
      <c r="AT533"/>
    </row>
    <row r="534" spans="46:46" ht="21.95" customHeight="1">
      <c r="AT534"/>
    </row>
    <row r="535" spans="46:46" ht="21.95" customHeight="1">
      <c r="AT535"/>
    </row>
    <row r="536" spans="46:46" ht="21.95" customHeight="1">
      <c r="AT536"/>
    </row>
    <row r="537" spans="46:46" ht="21.95" customHeight="1">
      <c r="AT537"/>
    </row>
    <row r="538" spans="46:46" ht="21.95" customHeight="1">
      <c r="AT538"/>
    </row>
    <row r="539" spans="46:46" ht="21.95" customHeight="1">
      <c r="AT539"/>
    </row>
    <row r="540" spans="46:46" ht="21.95" customHeight="1">
      <c r="AT540"/>
    </row>
    <row r="541" spans="46:46" ht="21.95" customHeight="1">
      <c r="AT541"/>
    </row>
    <row r="542" spans="46:46" ht="21.95" customHeight="1">
      <c r="AT542"/>
    </row>
    <row r="543" spans="46:46" ht="21.95" customHeight="1">
      <c r="AT543"/>
    </row>
    <row r="544" spans="46:46" ht="21.95" customHeight="1">
      <c r="AT544"/>
    </row>
    <row r="545" spans="46:46" ht="21.95" customHeight="1">
      <c r="AT545"/>
    </row>
    <row r="546" spans="46:46" ht="21.95" customHeight="1">
      <c r="AT546"/>
    </row>
    <row r="547" spans="46:46" ht="21.95" customHeight="1">
      <c r="AT547"/>
    </row>
    <row r="548" spans="46:46" ht="21.95" customHeight="1">
      <c r="AT548"/>
    </row>
    <row r="549" spans="46:46" ht="21.95" customHeight="1">
      <c r="AT549"/>
    </row>
    <row r="550" spans="46:46" ht="21.95" customHeight="1">
      <c r="AT550"/>
    </row>
    <row r="551" spans="46:46" ht="21.95" customHeight="1">
      <c r="AT551"/>
    </row>
    <row r="552" spans="46:46" ht="21.95" customHeight="1">
      <c r="AT552"/>
    </row>
    <row r="553" spans="46:46" ht="21.95" customHeight="1">
      <c r="AT553"/>
    </row>
    <row r="554" spans="46:46" ht="21.95" customHeight="1">
      <c r="AT554"/>
    </row>
    <row r="555" spans="46:46" ht="21.95" customHeight="1">
      <c r="AT555"/>
    </row>
    <row r="556" spans="46:46" ht="21.95" customHeight="1">
      <c r="AT556"/>
    </row>
    <row r="557" spans="46:46" ht="21.95" customHeight="1">
      <c r="AT557"/>
    </row>
    <row r="558" spans="46:46" ht="21.95" customHeight="1">
      <c r="AT558"/>
    </row>
    <row r="559" spans="46:46" ht="21.95" customHeight="1">
      <c r="AT559"/>
    </row>
    <row r="560" spans="46:46" ht="21.95" customHeight="1">
      <c r="AT560"/>
    </row>
    <row r="561" spans="46:46" ht="21.95" customHeight="1">
      <c r="AT561"/>
    </row>
    <row r="562" spans="46:46" ht="21.95" customHeight="1">
      <c r="AT562"/>
    </row>
    <row r="563" spans="46:46" ht="21.95" customHeight="1">
      <c r="AT563"/>
    </row>
    <row r="564" spans="46:46" ht="21.95" customHeight="1">
      <c r="AT564"/>
    </row>
    <row r="565" spans="46:46" ht="21.95" customHeight="1">
      <c r="AT565"/>
    </row>
    <row r="566" spans="46:46" ht="21.95" customHeight="1">
      <c r="AT566"/>
    </row>
    <row r="567" spans="46:46" ht="21.95" customHeight="1">
      <c r="AT567"/>
    </row>
    <row r="568" spans="46:46" ht="21.95" customHeight="1">
      <c r="AT568"/>
    </row>
    <row r="569" spans="46:46" ht="21.95" customHeight="1">
      <c r="AT569"/>
    </row>
    <row r="570" spans="46:46" ht="21.95" customHeight="1">
      <c r="AT570"/>
    </row>
    <row r="571" spans="46:46" ht="21.95" customHeight="1">
      <c r="AT571"/>
    </row>
    <row r="572" spans="46:46" ht="21.95" customHeight="1">
      <c r="AT572"/>
    </row>
    <row r="573" spans="46:46" ht="21.95" customHeight="1">
      <c r="AT573"/>
    </row>
    <row r="574" spans="46:46" ht="21.95" customHeight="1">
      <c r="AT574"/>
    </row>
    <row r="575" spans="46:46" ht="21.95" customHeight="1">
      <c r="AT575"/>
    </row>
    <row r="576" spans="46:46" ht="21.95" customHeight="1">
      <c r="AT576"/>
    </row>
    <row r="577" spans="46:46" ht="21.95" customHeight="1">
      <c r="AT577"/>
    </row>
    <row r="578" spans="46:46" ht="21.95" customHeight="1">
      <c r="AT578"/>
    </row>
    <row r="579" spans="46:46" ht="21.95" customHeight="1">
      <c r="AT579"/>
    </row>
    <row r="580" spans="46:46" ht="21.95" customHeight="1">
      <c r="AT580"/>
    </row>
    <row r="581" spans="46:46" ht="21.95" customHeight="1">
      <c r="AT581"/>
    </row>
    <row r="582" spans="46:46" ht="21.95" customHeight="1">
      <c r="AT582"/>
    </row>
    <row r="583" spans="46:46" ht="21.95" customHeight="1">
      <c r="AT583"/>
    </row>
    <row r="584" spans="46:46" ht="21.95" customHeight="1">
      <c r="AT584"/>
    </row>
    <row r="585" spans="46:46" ht="21.95" customHeight="1">
      <c r="AT585"/>
    </row>
    <row r="586" spans="46:46" ht="21.95" customHeight="1">
      <c r="AT586"/>
    </row>
    <row r="587" spans="46:46" ht="21.95" customHeight="1">
      <c r="AT587"/>
    </row>
    <row r="588" spans="46:46" ht="21.95" customHeight="1">
      <c r="AT588"/>
    </row>
    <row r="589" spans="46:46" ht="21.95" customHeight="1">
      <c r="AT589"/>
    </row>
    <row r="590" spans="46:46" ht="21.95" customHeight="1">
      <c r="AT590"/>
    </row>
    <row r="591" spans="46:46" ht="21.95" customHeight="1">
      <c r="AT591"/>
    </row>
    <row r="592" spans="46:46" ht="21.95" customHeight="1">
      <c r="AT592"/>
    </row>
    <row r="593" spans="46:46" ht="21.95" customHeight="1">
      <c r="AT593"/>
    </row>
    <row r="594" spans="46:46" ht="21.95" customHeight="1">
      <c r="AT594"/>
    </row>
    <row r="595" spans="46:46" ht="21.95" customHeight="1">
      <c r="AT595"/>
    </row>
    <row r="596" spans="46:46" ht="21.95" customHeight="1">
      <c r="AT596"/>
    </row>
    <row r="597" spans="46:46" ht="21.95" customHeight="1">
      <c r="AT597"/>
    </row>
    <row r="598" spans="46:46" ht="21.95" customHeight="1">
      <c r="AT598"/>
    </row>
    <row r="599" spans="46:46" ht="21.95" customHeight="1">
      <c r="AT599"/>
    </row>
    <row r="600" spans="46:46" ht="21.95" customHeight="1">
      <c r="AT600"/>
    </row>
    <row r="601" spans="46:46" ht="21.95" customHeight="1">
      <c r="AT601"/>
    </row>
    <row r="602" spans="46:46" ht="21.95" customHeight="1">
      <c r="AT602"/>
    </row>
    <row r="603" spans="46:46" ht="21.95" customHeight="1">
      <c r="AT603"/>
    </row>
    <row r="604" spans="46:46" ht="21.95" customHeight="1">
      <c r="AT604"/>
    </row>
    <row r="605" spans="46:46" ht="21.95" customHeight="1">
      <c r="AT605"/>
    </row>
    <row r="606" spans="46:46" ht="21.95" customHeight="1">
      <c r="AT606"/>
    </row>
    <row r="607" spans="46:46" ht="21.95" customHeight="1">
      <c r="AT607"/>
    </row>
    <row r="608" spans="46:46" ht="21.95" customHeight="1">
      <c r="AT608"/>
    </row>
    <row r="609" spans="46:46" ht="21.95" customHeight="1">
      <c r="AT609"/>
    </row>
    <row r="610" spans="46:46" ht="21.95" customHeight="1">
      <c r="AT610"/>
    </row>
    <row r="611" spans="46:46" ht="21.95" customHeight="1">
      <c r="AT611"/>
    </row>
    <row r="612" spans="46:46" ht="21.95" customHeight="1">
      <c r="AT612"/>
    </row>
    <row r="613" spans="46:46" ht="21.95" customHeight="1">
      <c r="AT613"/>
    </row>
    <row r="614" spans="46:46" ht="21.95" customHeight="1">
      <c r="AT614"/>
    </row>
    <row r="615" spans="46:46" ht="21.95" customHeight="1">
      <c r="AT615"/>
    </row>
    <row r="616" spans="46:46" ht="21.95" customHeight="1">
      <c r="AT616"/>
    </row>
    <row r="617" spans="46:46" ht="21.95" customHeight="1">
      <c r="AT617"/>
    </row>
    <row r="618" spans="46:46" ht="21.95" customHeight="1">
      <c r="AT618"/>
    </row>
    <row r="619" spans="46:46" ht="21.95" customHeight="1">
      <c r="AT619"/>
    </row>
    <row r="620" spans="46:46" ht="21.95" customHeight="1">
      <c r="AT620"/>
    </row>
    <row r="621" spans="46:46" ht="21.95" customHeight="1">
      <c r="AT621"/>
    </row>
    <row r="622" spans="46:46" ht="21.95" customHeight="1">
      <c r="AT622"/>
    </row>
    <row r="623" spans="46:46" ht="21.95" customHeight="1">
      <c r="AT623"/>
    </row>
    <row r="624" spans="46:46" ht="21.95" customHeight="1">
      <c r="AT624"/>
    </row>
    <row r="625" spans="46:46" ht="21.95" customHeight="1">
      <c r="AT625"/>
    </row>
    <row r="626" spans="46:46" ht="21.95" customHeight="1">
      <c r="AT626"/>
    </row>
    <row r="627" spans="46:46" ht="21.95" customHeight="1">
      <c r="AT627"/>
    </row>
    <row r="628" spans="46:46" ht="21.95" customHeight="1">
      <c r="AT628"/>
    </row>
    <row r="629" spans="46:46" ht="21.95" customHeight="1">
      <c r="AT629"/>
    </row>
    <row r="630" spans="46:46" ht="21.95" customHeight="1">
      <c r="AT630"/>
    </row>
    <row r="631" spans="46:46" ht="21.95" customHeight="1">
      <c r="AT631"/>
    </row>
    <row r="632" spans="46:46" ht="21.95" customHeight="1">
      <c r="AT632"/>
    </row>
    <row r="633" spans="46:46" ht="21.95" customHeight="1">
      <c r="AT633"/>
    </row>
    <row r="634" spans="46:46" ht="21.95" customHeight="1">
      <c r="AT634"/>
    </row>
    <row r="635" spans="46:46" ht="21.95" customHeight="1">
      <c r="AT635"/>
    </row>
    <row r="636" spans="46:46" ht="21.95" customHeight="1">
      <c r="AT636"/>
    </row>
    <row r="637" spans="46:46" ht="21.95" customHeight="1">
      <c r="AT637"/>
    </row>
    <row r="638" spans="46:46" ht="21.95" customHeight="1">
      <c r="AT638"/>
    </row>
    <row r="639" spans="46:46" ht="21.95" customHeight="1">
      <c r="AT639"/>
    </row>
    <row r="640" spans="46:46" ht="21.95" customHeight="1">
      <c r="AT640"/>
    </row>
    <row r="641" spans="46:46" ht="21.95" customHeight="1">
      <c r="AT641"/>
    </row>
    <row r="642" spans="46:46" ht="21.95" customHeight="1">
      <c r="AT642"/>
    </row>
    <row r="643" spans="46:46" ht="21.95" customHeight="1">
      <c r="AT643"/>
    </row>
    <row r="644" spans="46:46" ht="21.95" customHeight="1">
      <c r="AT644"/>
    </row>
    <row r="645" spans="46:46" ht="21.95" customHeight="1">
      <c r="AT645"/>
    </row>
    <row r="646" spans="46:46" ht="21.95" customHeight="1">
      <c r="AT646"/>
    </row>
    <row r="647" spans="46:46" ht="21.95" customHeight="1">
      <c r="AT647"/>
    </row>
    <row r="648" spans="46:46" ht="21.95" customHeight="1">
      <c r="AT648"/>
    </row>
    <row r="649" spans="46:46" ht="21.95" customHeight="1">
      <c r="AT649"/>
    </row>
    <row r="650" spans="46:46" ht="21.95" customHeight="1">
      <c r="AT650"/>
    </row>
    <row r="651" spans="46:46" ht="21.95" customHeight="1">
      <c r="AT651"/>
    </row>
    <row r="652" spans="46:46" ht="21.95" customHeight="1">
      <c r="AT652"/>
    </row>
    <row r="653" spans="46:46" ht="21.95" customHeight="1">
      <c r="AT653"/>
    </row>
    <row r="654" spans="46:46" ht="21.95" customHeight="1">
      <c r="AT654"/>
    </row>
    <row r="655" spans="46:46" ht="21.95" customHeight="1">
      <c r="AT655"/>
    </row>
    <row r="656" spans="46:46" ht="21.95" customHeight="1">
      <c r="AT656"/>
    </row>
    <row r="657" spans="46:46" ht="21.95" customHeight="1">
      <c r="AT657"/>
    </row>
    <row r="658" spans="46:46" ht="21.95" customHeight="1">
      <c r="AT658"/>
    </row>
    <row r="659" spans="46:46" ht="21.95" customHeight="1">
      <c r="AT659"/>
    </row>
    <row r="660" spans="46:46" ht="21.95" customHeight="1">
      <c r="AT660"/>
    </row>
    <row r="661" spans="46:46" ht="21.95" customHeight="1">
      <c r="AT661"/>
    </row>
    <row r="662" spans="46:46" ht="21.95" customHeight="1">
      <c r="AT662"/>
    </row>
    <row r="663" spans="46:46" ht="21.95" customHeight="1">
      <c r="AT663"/>
    </row>
    <row r="664" spans="46:46" ht="21.95" customHeight="1">
      <c r="AT664"/>
    </row>
    <row r="665" spans="46:46" ht="21.95" customHeight="1">
      <c r="AT665"/>
    </row>
    <row r="666" spans="46:46" ht="21.95" customHeight="1">
      <c r="AT666"/>
    </row>
    <row r="667" spans="46:46" ht="21.95" customHeight="1">
      <c r="AT667"/>
    </row>
    <row r="668" spans="46:46" ht="21.95" customHeight="1">
      <c r="AT668"/>
    </row>
    <row r="669" spans="46:46" ht="21.95" customHeight="1">
      <c r="AT669"/>
    </row>
    <row r="670" spans="46:46" ht="21.95" customHeight="1">
      <c r="AT670"/>
    </row>
    <row r="671" spans="46:46" ht="21.95" customHeight="1">
      <c r="AT671"/>
    </row>
    <row r="672" spans="46:46" ht="21.95" customHeight="1">
      <c r="AT672"/>
    </row>
    <row r="673" spans="46:46" ht="21.95" customHeight="1">
      <c r="AT673"/>
    </row>
    <row r="674" spans="46:46" ht="21.95" customHeight="1">
      <c r="AT674"/>
    </row>
    <row r="675" spans="46:46" ht="21.95" customHeight="1">
      <c r="AT675"/>
    </row>
    <row r="676" spans="46:46" ht="21.95" customHeight="1">
      <c r="AT676"/>
    </row>
    <row r="677" spans="46:46" ht="21.95" customHeight="1">
      <c r="AT677"/>
    </row>
    <row r="678" spans="46:46" ht="21.95" customHeight="1">
      <c r="AT678"/>
    </row>
    <row r="679" spans="46:46" ht="21.95" customHeight="1">
      <c r="AT679"/>
    </row>
    <row r="680" spans="46:46" ht="21.95" customHeight="1">
      <c r="AT680"/>
    </row>
    <row r="681" spans="46:46" ht="21.95" customHeight="1">
      <c r="AT681"/>
    </row>
    <row r="682" spans="46:46" ht="21.95" customHeight="1">
      <c r="AT682"/>
    </row>
    <row r="683" spans="46:46" ht="21.95" customHeight="1">
      <c r="AT683"/>
    </row>
    <row r="684" spans="46:46" ht="21.95" customHeight="1">
      <c r="AT684"/>
    </row>
    <row r="685" spans="46:46" ht="21.95" customHeight="1">
      <c r="AT685"/>
    </row>
    <row r="686" spans="46:46" ht="21.95" customHeight="1">
      <c r="AT686"/>
    </row>
    <row r="687" spans="46:46" ht="21.95" customHeight="1">
      <c r="AT687"/>
    </row>
    <row r="688" spans="46:46" ht="21.95" customHeight="1">
      <c r="AT688"/>
    </row>
    <row r="689" spans="46:46" ht="21.95" customHeight="1">
      <c r="AT689"/>
    </row>
    <row r="690" spans="46:46" ht="21.95" customHeight="1">
      <c r="AT690"/>
    </row>
    <row r="691" spans="46:46" ht="21.95" customHeight="1">
      <c r="AT691"/>
    </row>
    <row r="692" spans="46:46" ht="21.95" customHeight="1">
      <c r="AT692"/>
    </row>
    <row r="693" spans="46:46" ht="21.95" customHeight="1">
      <c r="AT693"/>
    </row>
    <row r="694" spans="46:46" ht="21.95" customHeight="1">
      <c r="AT694"/>
    </row>
    <row r="695" spans="46:46" ht="21.95" customHeight="1">
      <c r="AT695"/>
    </row>
    <row r="696" spans="46:46" ht="21.95" customHeight="1">
      <c r="AT696"/>
    </row>
    <row r="697" spans="46:46" ht="21.95" customHeight="1">
      <c r="AT697"/>
    </row>
    <row r="698" spans="46:46" ht="21.95" customHeight="1">
      <c r="AT698"/>
    </row>
    <row r="699" spans="46:46" ht="21.95" customHeight="1">
      <c r="AT699"/>
    </row>
    <row r="700" spans="46:46" ht="21.95" customHeight="1">
      <c r="AT700"/>
    </row>
    <row r="701" spans="46:46" ht="21.95" customHeight="1">
      <c r="AT701"/>
    </row>
    <row r="702" spans="46:46" ht="21.95" customHeight="1">
      <c r="AT702"/>
    </row>
    <row r="703" spans="46:46" ht="21.95" customHeight="1">
      <c r="AT703"/>
    </row>
    <row r="704" spans="46:46" ht="21.95" customHeight="1">
      <c r="AT704"/>
    </row>
    <row r="705" spans="46:46" ht="21.95" customHeight="1">
      <c r="AT705"/>
    </row>
    <row r="706" spans="46:46" ht="21.95" customHeight="1">
      <c r="AT706"/>
    </row>
    <row r="707" spans="46:46" ht="21.95" customHeight="1">
      <c r="AT707"/>
    </row>
    <row r="708" spans="46:46" ht="21.95" customHeight="1">
      <c r="AT708"/>
    </row>
    <row r="709" spans="46:46" ht="21.95" customHeight="1">
      <c r="AT709"/>
    </row>
    <row r="710" spans="46:46" ht="21.95" customHeight="1">
      <c r="AT710"/>
    </row>
    <row r="711" spans="46:46" ht="21.95" customHeight="1">
      <c r="AT711"/>
    </row>
    <row r="712" spans="46:46" ht="21.95" customHeight="1">
      <c r="AT712"/>
    </row>
    <row r="713" spans="46:46" ht="21.95" customHeight="1">
      <c r="AT713"/>
    </row>
    <row r="714" spans="46:46" ht="21.95" customHeight="1">
      <c r="AT714"/>
    </row>
    <row r="715" spans="46:46" ht="21.95" customHeight="1">
      <c r="AT715"/>
    </row>
    <row r="716" spans="46:46" ht="21.95" customHeight="1">
      <c r="AT716"/>
    </row>
    <row r="717" spans="46:46" ht="21.95" customHeight="1">
      <c r="AT717"/>
    </row>
    <row r="718" spans="46:46" ht="21.95" customHeight="1">
      <c r="AT718"/>
    </row>
    <row r="719" spans="46:46" ht="21.95" customHeight="1">
      <c r="AT719"/>
    </row>
    <row r="720" spans="46:46" ht="21.95" customHeight="1">
      <c r="AT720"/>
    </row>
    <row r="721" spans="46:46" ht="21.95" customHeight="1">
      <c r="AT721"/>
    </row>
    <row r="722" spans="46:46" ht="21.95" customHeight="1">
      <c r="AT722"/>
    </row>
    <row r="723" spans="46:46" ht="21.95" customHeight="1">
      <c r="AT723"/>
    </row>
    <row r="724" spans="46:46" ht="21.95" customHeight="1">
      <c r="AT724"/>
    </row>
    <row r="725" spans="46:46" ht="21.95" customHeight="1">
      <c r="AT725"/>
    </row>
    <row r="726" spans="46:46" ht="21.95" customHeight="1">
      <c r="AT726"/>
    </row>
    <row r="727" spans="46:46" ht="21.95" customHeight="1">
      <c r="AT727"/>
    </row>
    <row r="728" spans="46:46" ht="21.95" customHeight="1">
      <c r="AT728"/>
    </row>
    <row r="729" spans="46:46" ht="21.95" customHeight="1">
      <c r="AT729"/>
    </row>
    <row r="730" spans="46:46" ht="21.95" customHeight="1">
      <c r="AT730"/>
    </row>
    <row r="731" spans="46:46" ht="21.95" customHeight="1">
      <c r="AT731"/>
    </row>
    <row r="732" spans="46:46" ht="21.95" customHeight="1">
      <c r="AT732"/>
    </row>
    <row r="733" spans="46:46" ht="21.95" customHeight="1">
      <c r="AT733"/>
    </row>
    <row r="734" spans="46:46" ht="21.95" customHeight="1">
      <c r="AT734"/>
    </row>
    <row r="735" spans="46:46" ht="21.95" customHeight="1">
      <c r="AT735"/>
    </row>
    <row r="736" spans="46:46" ht="21.95" customHeight="1">
      <c r="AT736"/>
    </row>
    <row r="737" spans="46:46" ht="21.95" customHeight="1">
      <c r="AT737"/>
    </row>
    <row r="738" spans="46:46" ht="21.95" customHeight="1">
      <c r="AT738"/>
    </row>
    <row r="739" spans="46:46" ht="21.95" customHeight="1">
      <c r="AT739"/>
    </row>
    <row r="740" spans="46:46" ht="21.95" customHeight="1">
      <c r="AT740"/>
    </row>
    <row r="741" spans="46:46" ht="21.95" customHeight="1">
      <c r="AT741"/>
    </row>
    <row r="742" spans="46:46" ht="21.95" customHeight="1">
      <c r="AT742"/>
    </row>
    <row r="743" spans="46:46" ht="21.95" customHeight="1">
      <c r="AT743"/>
    </row>
    <row r="744" spans="46:46" ht="21.95" customHeight="1">
      <c r="AT744"/>
    </row>
    <row r="745" spans="46:46" ht="21.95" customHeight="1">
      <c r="AT745"/>
    </row>
    <row r="746" spans="46:46" ht="21.95" customHeight="1">
      <c r="AT746"/>
    </row>
    <row r="747" spans="46:46" ht="21.95" customHeight="1">
      <c r="AT747"/>
    </row>
    <row r="748" spans="46:46" ht="21.95" customHeight="1">
      <c r="AT748"/>
    </row>
    <row r="749" spans="46:46" ht="21.95" customHeight="1">
      <c r="AT749"/>
    </row>
    <row r="750" spans="46:46" ht="21.95" customHeight="1">
      <c r="AT750"/>
    </row>
    <row r="751" spans="46:46" ht="21.95" customHeight="1">
      <c r="AT751"/>
    </row>
    <row r="752" spans="46:46" ht="21.95" customHeight="1">
      <c r="AT752"/>
    </row>
    <row r="753" spans="46:46" ht="21.95" customHeight="1">
      <c r="AT753"/>
    </row>
    <row r="754" spans="46:46" ht="21.95" customHeight="1">
      <c r="AT754"/>
    </row>
    <row r="755" spans="46:46" ht="21.95" customHeight="1">
      <c r="AT755"/>
    </row>
    <row r="756" spans="46:46" ht="21.95" customHeight="1">
      <c r="AT756"/>
    </row>
    <row r="757" spans="46:46" ht="21.95" customHeight="1">
      <c r="AT757"/>
    </row>
    <row r="758" spans="46:46" ht="21.95" customHeight="1">
      <c r="AT758"/>
    </row>
    <row r="759" spans="46:46" ht="21.95" customHeight="1">
      <c r="AT759"/>
    </row>
    <row r="760" spans="46:46" ht="21.95" customHeight="1">
      <c r="AT760"/>
    </row>
    <row r="761" spans="46:46" ht="21.95" customHeight="1">
      <c r="AT761"/>
    </row>
    <row r="762" spans="46:46" ht="21.95" customHeight="1">
      <c r="AT762"/>
    </row>
    <row r="763" spans="46:46" ht="21.95" customHeight="1">
      <c r="AT763"/>
    </row>
    <row r="764" spans="46:46" ht="21.95" customHeight="1">
      <c r="AT764"/>
    </row>
    <row r="765" spans="46:46" ht="21.95" customHeight="1">
      <c r="AT765"/>
    </row>
    <row r="766" spans="46:46" ht="21.95" customHeight="1">
      <c r="AT766"/>
    </row>
    <row r="767" spans="46:46" ht="21.95" customHeight="1">
      <c r="AT767"/>
    </row>
    <row r="768" spans="46:46" ht="21.95" customHeight="1">
      <c r="AT768"/>
    </row>
    <row r="769" spans="46:46" ht="21.95" customHeight="1">
      <c r="AT769"/>
    </row>
    <row r="770" spans="46:46" ht="21.95" customHeight="1">
      <c r="AT770"/>
    </row>
    <row r="771" spans="46:46" ht="21.95" customHeight="1">
      <c r="AT771"/>
    </row>
    <row r="772" spans="46:46" ht="21.95" customHeight="1">
      <c r="AT772"/>
    </row>
    <row r="773" spans="46:46" ht="21.95" customHeight="1">
      <c r="AT773"/>
    </row>
    <row r="774" spans="46:46" ht="21.95" customHeight="1">
      <c r="AT774"/>
    </row>
    <row r="775" spans="46:46" ht="21.95" customHeight="1">
      <c r="AT775"/>
    </row>
    <row r="776" spans="46:46" ht="21.95" customHeight="1">
      <c r="AT776"/>
    </row>
    <row r="777" spans="46:46" ht="21.95" customHeight="1">
      <c r="AT777"/>
    </row>
    <row r="778" spans="46:46" ht="21.95" customHeight="1">
      <c r="AT778"/>
    </row>
    <row r="779" spans="46:46" ht="21.95" customHeight="1">
      <c r="AT779"/>
    </row>
    <row r="780" spans="46:46" ht="21.95" customHeight="1">
      <c r="AT780"/>
    </row>
    <row r="781" spans="46:46" ht="21.95" customHeight="1">
      <c r="AT781"/>
    </row>
    <row r="782" spans="46:46" ht="21.95" customHeight="1">
      <c r="AT782"/>
    </row>
    <row r="783" spans="46:46" ht="21.95" customHeight="1">
      <c r="AT783"/>
    </row>
    <row r="784" spans="46:46" ht="21.95" customHeight="1">
      <c r="AT784"/>
    </row>
    <row r="785" spans="46:46" ht="21.95" customHeight="1">
      <c r="AT785"/>
    </row>
    <row r="786" spans="46:46" ht="21.95" customHeight="1">
      <c r="AT786"/>
    </row>
    <row r="787" spans="46:46" ht="21.95" customHeight="1">
      <c r="AT787"/>
    </row>
    <row r="788" spans="46:46" ht="21.95" customHeight="1">
      <c r="AT788"/>
    </row>
    <row r="789" spans="46:46" ht="21.95" customHeight="1">
      <c r="AT789"/>
    </row>
    <row r="790" spans="46:46" ht="21.95" customHeight="1">
      <c r="AT790"/>
    </row>
    <row r="791" spans="46:46" ht="21.95" customHeight="1">
      <c r="AT791"/>
    </row>
    <row r="792" spans="46:46" ht="21.95" customHeight="1">
      <c r="AT792"/>
    </row>
    <row r="793" spans="46:46" ht="21.95" customHeight="1">
      <c r="AT793"/>
    </row>
    <row r="794" spans="46:46" ht="21.95" customHeight="1">
      <c r="AT794"/>
    </row>
    <row r="795" spans="46:46" ht="21.95" customHeight="1">
      <c r="AT795"/>
    </row>
    <row r="796" spans="46:46" ht="21.95" customHeight="1">
      <c r="AT796"/>
    </row>
    <row r="797" spans="46:46" ht="21.95" customHeight="1">
      <c r="AT797"/>
    </row>
    <row r="798" spans="46:46" ht="21.95" customHeight="1">
      <c r="AT798"/>
    </row>
    <row r="799" spans="46:46" ht="21.95" customHeight="1">
      <c r="AT799"/>
    </row>
    <row r="800" spans="46:46" ht="21.95" customHeight="1">
      <c r="AT800"/>
    </row>
    <row r="801" spans="46:46" ht="21.95" customHeight="1">
      <c r="AT801"/>
    </row>
    <row r="802" spans="46:46" ht="21.95" customHeight="1">
      <c r="AT802"/>
    </row>
    <row r="803" spans="46:46" ht="21.95" customHeight="1">
      <c r="AT803"/>
    </row>
    <row r="804" spans="46:46" ht="21.95" customHeight="1">
      <c r="AT804"/>
    </row>
    <row r="805" spans="46:46" ht="21.95" customHeight="1">
      <c r="AT805"/>
    </row>
    <row r="806" spans="46:46" ht="21.95" customHeight="1">
      <c r="AT806"/>
    </row>
    <row r="807" spans="46:46" ht="21.95" customHeight="1">
      <c r="AT807"/>
    </row>
    <row r="808" spans="46:46" ht="21.95" customHeight="1">
      <c r="AT808"/>
    </row>
    <row r="809" spans="46:46" ht="21.95" customHeight="1">
      <c r="AT809"/>
    </row>
    <row r="810" spans="46:46" ht="21.95" customHeight="1">
      <c r="AT810"/>
    </row>
    <row r="811" spans="46:46" ht="21.95" customHeight="1">
      <c r="AT811"/>
    </row>
    <row r="812" spans="46:46" ht="21.95" customHeight="1">
      <c r="AT812"/>
    </row>
    <row r="813" spans="46:46" ht="21.95" customHeight="1">
      <c r="AT813"/>
    </row>
    <row r="814" spans="46:46" ht="21.95" customHeight="1">
      <c r="AT814"/>
    </row>
    <row r="815" spans="46:46" ht="21.95" customHeight="1">
      <c r="AT815"/>
    </row>
    <row r="816" spans="46:46" ht="21.95" customHeight="1">
      <c r="AT816"/>
    </row>
    <row r="817" spans="46:46" ht="21.95" customHeight="1">
      <c r="AT817"/>
    </row>
    <row r="818" spans="46:46" ht="21.95" customHeight="1">
      <c r="AT818"/>
    </row>
    <row r="819" spans="46:46" ht="21.95" customHeight="1">
      <c r="AT819"/>
    </row>
    <row r="820" spans="46:46" ht="21.95" customHeight="1">
      <c r="AT820"/>
    </row>
    <row r="821" spans="46:46" ht="21.95" customHeight="1">
      <c r="AT821"/>
    </row>
    <row r="822" spans="46:46" ht="21.95" customHeight="1">
      <c r="AT822"/>
    </row>
    <row r="823" spans="46:46" ht="21.95" customHeight="1">
      <c r="AT823"/>
    </row>
    <row r="824" spans="46:46" ht="21.95" customHeight="1">
      <c r="AT824"/>
    </row>
    <row r="825" spans="46:46" ht="21.95" customHeight="1">
      <c r="AT825"/>
    </row>
    <row r="826" spans="46:46" ht="21.95" customHeight="1">
      <c r="AT826"/>
    </row>
    <row r="827" spans="46:46" ht="21.95" customHeight="1">
      <c r="AT827"/>
    </row>
    <row r="828" spans="46:46" ht="21.95" customHeight="1">
      <c r="AT828"/>
    </row>
    <row r="829" spans="46:46" ht="21.95" customHeight="1">
      <c r="AT829"/>
    </row>
    <row r="830" spans="46:46" ht="21.95" customHeight="1">
      <c r="AT830"/>
    </row>
    <row r="831" spans="46:46" ht="21.95" customHeight="1">
      <c r="AT831"/>
    </row>
    <row r="832" spans="46:46" ht="21.95" customHeight="1">
      <c r="AT832"/>
    </row>
    <row r="833" spans="46:46" ht="21.95" customHeight="1">
      <c r="AT833"/>
    </row>
    <row r="834" spans="46:46">
      <c r="AT834"/>
    </row>
    <row r="835" spans="46:46">
      <c r="AT835"/>
    </row>
    <row r="836" spans="46:46">
      <c r="AT836"/>
    </row>
    <row r="837" spans="46:46">
      <c r="AT837"/>
    </row>
    <row r="838" spans="46:46">
      <c r="AT838"/>
    </row>
    <row r="839" spans="46:46">
      <c r="AT839"/>
    </row>
    <row r="840" spans="46:46">
      <c r="AT840"/>
    </row>
    <row r="841" spans="46:46">
      <c r="AT841"/>
    </row>
    <row r="842" spans="46:46">
      <c r="AT842"/>
    </row>
    <row r="843" spans="46:46">
      <c r="AT843"/>
    </row>
    <row r="844" spans="46:46">
      <c r="AT844"/>
    </row>
    <row r="845" spans="46:46">
      <c r="AT845"/>
    </row>
    <row r="846" spans="46:46">
      <c r="AT846"/>
    </row>
    <row r="847" spans="46:46">
      <c r="AT847"/>
    </row>
    <row r="848" spans="46:46">
      <c r="AT848"/>
    </row>
    <row r="849" spans="46:46">
      <c r="AT849"/>
    </row>
    <row r="850" spans="46:46">
      <c r="AT850"/>
    </row>
    <row r="851" spans="46:46">
      <c r="AT851"/>
    </row>
    <row r="852" spans="46:46">
      <c r="AT852"/>
    </row>
    <row r="853" spans="46:46">
      <c r="AT853"/>
    </row>
    <row r="854" spans="46:46">
      <c r="AT854"/>
    </row>
    <row r="855" spans="46:46">
      <c r="AT855"/>
    </row>
    <row r="856" spans="46:46">
      <c r="AT856"/>
    </row>
    <row r="857" spans="46:46">
      <c r="AT857"/>
    </row>
    <row r="858" spans="46:46">
      <c r="AT858"/>
    </row>
    <row r="859" spans="46:46">
      <c r="AT859"/>
    </row>
    <row r="860" spans="46:46">
      <c r="AT860"/>
    </row>
    <row r="861" spans="46:46">
      <c r="AT861"/>
    </row>
    <row r="862" spans="46:46">
      <c r="AT862"/>
    </row>
    <row r="863" spans="46:46">
      <c r="AT863"/>
    </row>
    <row r="864" spans="46:46">
      <c r="AT864"/>
    </row>
    <row r="865" spans="46:46">
      <c r="AT865"/>
    </row>
    <row r="866" spans="46:46">
      <c r="AT866"/>
    </row>
    <row r="867" spans="46:46">
      <c r="AT867"/>
    </row>
    <row r="868" spans="46:46">
      <c r="AT868"/>
    </row>
    <row r="869" spans="46:46">
      <c r="AT869"/>
    </row>
    <row r="870" spans="46:46">
      <c r="AT870"/>
    </row>
    <row r="871" spans="46:46">
      <c r="AT871"/>
    </row>
    <row r="872" spans="46:46">
      <c r="AT872"/>
    </row>
    <row r="873" spans="46:46">
      <c r="AT873"/>
    </row>
    <row r="874" spans="46:46">
      <c r="AT874"/>
    </row>
    <row r="875" spans="46:46">
      <c r="AT875"/>
    </row>
    <row r="876" spans="46:46">
      <c r="AT876"/>
    </row>
    <row r="877" spans="46:46">
      <c r="AT877"/>
    </row>
    <row r="878" spans="46:46">
      <c r="AT878"/>
    </row>
    <row r="879" spans="46:46">
      <c r="AT879"/>
    </row>
    <row r="880" spans="46:46">
      <c r="AT880"/>
    </row>
    <row r="881" spans="46:46">
      <c r="AT881"/>
    </row>
    <row r="882" spans="46:46">
      <c r="AT882"/>
    </row>
    <row r="883" spans="46:46">
      <c r="AT883"/>
    </row>
    <row r="884" spans="46:46">
      <c r="AT884"/>
    </row>
    <row r="885" spans="46:46">
      <c r="AT885"/>
    </row>
    <row r="886" spans="46:46">
      <c r="AT886"/>
    </row>
    <row r="887" spans="46:46">
      <c r="AT887"/>
    </row>
    <row r="888" spans="46:46">
      <c r="AT888"/>
    </row>
    <row r="889" spans="46:46">
      <c r="AT889"/>
    </row>
    <row r="890" spans="46:46">
      <c r="AT890"/>
    </row>
    <row r="891" spans="46:46">
      <c r="AT891"/>
    </row>
    <row r="892" spans="46:46">
      <c r="AT892"/>
    </row>
    <row r="893" spans="46:46">
      <c r="AT893"/>
    </row>
    <row r="894" spans="46:46">
      <c r="AT894"/>
    </row>
    <row r="895" spans="46:46">
      <c r="AT895"/>
    </row>
    <row r="896" spans="46:46">
      <c r="AT896"/>
    </row>
    <row r="897" spans="46:46">
      <c r="AT897"/>
    </row>
    <row r="898" spans="46:46">
      <c r="AT898"/>
    </row>
    <row r="899" spans="46:46">
      <c r="AT899"/>
    </row>
    <row r="900" spans="46:46">
      <c r="AT900"/>
    </row>
    <row r="901" spans="46:46">
      <c r="AT901"/>
    </row>
    <row r="902" spans="46:46">
      <c r="AT902"/>
    </row>
    <row r="903" spans="46:46">
      <c r="AT903"/>
    </row>
    <row r="904" spans="46:46">
      <c r="AT904"/>
    </row>
    <row r="905" spans="46:46">
      <c r="AT905"/>
    </row>
    <row r="906" spans="46:46">
      <c r="AT906"/>
    </row>
    <row r="907" spans="46:46">
      <c r="AT907"/>
    </row>
    <row r="908" spans="46:46">
      <c r="AT908"/>
    </row>
    <row r="909" spans="46:46">
      <c r="AT909"/>
    </row>
    <row r="910" spans="46:46">
      <c r="AT910"/>
    </row>
    <row r="911" spans="46:46">
      <c r="AT911"/>
    </row>
    <row r="912" spans="46:46">
      <c r="AT912"/>
    </row>
    <row r="913" spans="46:46">
      <c r="AT913"/>
    </row>
    <row r="914" spans="46:46">
      <c r="AT914"/>
    </row>
    <row r="915" spans="46:46">
      <c r="AT915"/>
    </row>
    <row r="916" spans="46:46">
      <c r="AT916"/>
    </row>
    <row r="917" spans="46:46">
      <c r="AT917"/>
    </row>
    <row r="918" spans="46:46">
      <c r="AT918"/>
    </row>
    <row r="919" spans="46:46">
      <c r="AT919"/>
    </row>
    <row r="920" spans="46:46">
      <c r="AT920"/>
    </row>
    <row r="921" spans="46:46">
      <c r="AT921"/>
    </row>
    <row r="922" spans="46:46">
      <c r="AT922"/>
    </row>
    <row r="923" spans="46:46">
      <c r="AT923"/>
    </row>
    <row r="924" spans="46:46">
      <c r="AT924"/>
    </row>
    <row r="925" spans="46:46">
      <c r="AT925"/>
    </row>
    <row r="926" spans="46:46">
      <c r="AT926"/>
    </row>
    <row r="927" spans="46:46">
      <c r="AT927"/>
    </row>
    <row r="928" spans="46:46">
      <c r="AT928"/>
    </row>
    <row r="929" spans="46:46">
      <c r="AT929"/>
    </row>
    <row r="930" spans="46:46">
      <c r="AT930"/>
    </row>
    <row r="931" spans="46:46">
      <c r="AT931"/>
    </row>
    <row r="932" spans="46:46">
      <c r="AT932"/>
    </row>
    <row r="933" spans="46:46">
      <c r="AT933"/>
    </row>
    <row r="934" spans="46:46">
      <c r="AT934"/>
    </row>
    <row r="935" spans="46:46">
      <c r="AT935"/>
    </row>
    <row r="936" spans="46:46">
      <c r="AT936"/>
    </row>
    <row r="937" spans="46:46">
      <c r="AT937"/>
    </row>
    <row r="938" spans="46:46">
      <c r="AT938"/>
    </row>
    <row r="939" spans="46:46">
      <c r="AT939"/>
    </row>
    <row r="940" spans="46:46">
      <c r="AT940"/>
    </row>
    <row r="941" spans="46:46">
      <c r="AT941"/>
    </row>
    <row r="942" spans="46:46">
      <c r="AT942"/>
    </row>
    <row r="943" spans="46:46">
      <c r="AT943"/>
    </row>
    <row r="944" spans="46:46">
      <c r="AT944"/>
    </row>
    <row r="945" spans="46:46">
      <c r="AT945"/>
    </row>
    <row r="946" spans="46:46">
      <c r="AT946"/>
    </row>
    <row r="947" spans="46:46">
      <c r="AT947"/>
    </row>
    <row r="948" spans="46:46">
      <c r="AT948"/>
    </row>
    <row r="949" spans="46:46">
      <c r="AT949"/>
    </row>
    <row r="950" spans="46:46">
      <c r="AT950"/>
    </row>
    <row r="951" spans="46:46">
      <c r="AT951"/>
    </row>
    <row r="952" spans="46:46">
      <c r="AT952"/>
    </row>
    <row r="953" spans="46:46">
      <c r="AT953"/>
    </row>
    <row r="954" spans="46:46">
      <c r="AT954"/>
    </row>
    <row r="955" spans="46:46">
      <c r="AT955"/>
    </row>
    <row r="956" spans="46:46">
      <c r="AT956"/>
    </row>
    <row r="957" spans="46:46">
      <c r="AT957"/>
    </row>
    <row r="958" spans="46:46">
      <c r="AT958"/>
    </row>
    <row r="959" spans="46:46">
      <c r="AT959"/>
    </row>
    <row r="960" spans="46:46">
      <c r="AT960"/>
    </row>
    <row r="961" spans="46:46">
      <c r="AT961"/>
    </row>
    <row r="962" spans="46:46">
      <c r="AT962"/>
    </row>
    <row r="963" spans="46:46">
      <c r="AT963"/>
    </row>
    <row r="964" spans="46:46">
      <c r="AT964"/>
    </row>
    <row r="965" spans="46:46">
      <c r="AT965"/>
    </row>
    <row r="966" spans="46:46">
      <c r="AT966"/>
    </row>
    <row r="967" spans="46:46">
      <c r="AT967"/>
    </row>
    <row r="968" spans="46:46">
      <c r="AT968"/>
    </row>
    <row r="969" spans="46:46">
      <c r="AT969"/>
    </row>
    <row r="970" spans="46:46">
      <c r="AT970"/>
    </row>
    <row r="971" spans="46:46">
      <c r="AT971"/>
    </row>
    <row r="972" spans="46:46">
      <c r="AT972"/>
    </row>
    <row r="973" spans="46:46">
      <c r="AT973"/>
    </row>
    <row r="974" spans="46:46">
      <c r="AT974"/>
    </row>
    <row r="975" spans="46:46">
      <c r="AT975"/>
    </row>
    <row r="976" spans="46:46">
      <c r="AT976"/>
    </row>
    <row r="977" spans="46:46">
      <c r="AT977"/>
    </row>
    <row r="978" spans="46:46">
      <c r="AT978"/>
    </row>
    <row r="979" spans="46:46">
      <c r="AT979"/>
    </row>
    <row r="980" spans="46:46">
      <c r="AT980"/>
    </row>
    <row r="981" spans="46:46">
      <c r="AT981"/>
    </row>
    <row r="982" spans="46:46">
      <c r="AT982"/>
    </row>
    <row r="983" spans="46:46">
      <c r="AT983"/>
    </row>
    <row r="984" spans="46:46">
      <c r="AT984"/>
    </row>
    <row r="985" spans="46:46">
      <c r="AT985"/>
    </row>
    <row r="986" spans="46:46">
      <c r="AT986"/>
    </row>
    <row r="987" spans="46:46">
      <c r="AT987"/>
    </row>
    <row r="988" spans="46:46">
      <c r="AT988"/>
    </row>
    <row r="989" spans="46:46">
      <c r="AT989"/>
    </row>
    <row r="990" spans="46:46">
      <c r="AT990"/>
    </row>
    <row r="991" spans="46:46">
      <c r="AT991"/>
    </row>
    <row r="992" spans="46:46">
      <c r="AT992"/>
    </row>
    <row r="993" spans="46:46">
      <c r="AT993"/>
    </row>
    <row r="994" spans="46:46">
      <c r="AT994"/>
    </row>
    <row r="995" spans="46:46">
      <c r="AT995"/>
    </row>
    <row r="996" spans="46:46">
      <c r="AT996"/>
    </row>
    <row r="997" spans="46:46">
      <c r="AT997"/>
    </row>
    <row r="998" spans="46:46">
      <c r="AT998"/>
    </row>
    <row r="999" spans="46:46">
      <c r="AT999"/>
    </row>
    <row r="1000" spans="46:46">
      <c r="AT1000"/>
    </row>
    <row r="1001" spans="46:46">
      <c r="AT1001"/>
    </row>
    <row r="1002" spans="46:46">
      <c r="AT1002"/>
    </row>
    <row r="1003" spans="46:46">
      <c r="AT1003"/>
    </row>
    <row r="1004" spans="46:46">
      <c r="AT1004"/>
    </row>
    <row r="1005" spans="46:46">
      <c r="AT1005"/>
    </row>
    <row r="1006" spans="46:46">
      <c r="AT1006"/>
    </row>
    <row r="1007" spans="46:46">
      <c r="AT1007"/>
    </row>
    <row r="1008" spans="46:46">
      <c r="AT1008"/>
    </row>
    <row r="1009" spans="46:46">
      <c r="AT1009"/>
    </row>
    <row r="1010" spans="46:46">
      <c r="AT1010"/>
    </row>
    <row r="1011" spans="46:46">
      <c r="AT1011"/>
    </row>
    <row r="1012" spans="46:46">
      <c r="AT1012"/>
    </row>
    <row r="1013" spans="46:46">
      <c r="AT1013"/>
    </row>
    <row r="1014" spans="46:46">
      <c r="AT1014"/>
    </row>
    <row r="1015" spans="46:46">
      <c r="AT1015"/>
    </row>
    <row r="1016" spans="46:46">
      <c r="AT1016"/>
    </row>
    <row r="1017" spans="46:46">
      <c r="AT1017"/>
    </row>
    <row r="1018" spans="46:46">
      <c r="AT1018"/>
    </row>
    <row r="1019" spans="46:46">
      <c r="AT1019"/>
    </row>
    <row r="1020" spans="46:46">
      <c r="AT1020"/>
    </row>
    <row r="1021" spans="46:46">
      <c r="AT1021"/>
    </row>
    <row r="1022" spans="46:46">
      <c r="AT1022"/>
    </row>
    <row r="1023" spans="46:46">
      <c r="AT1023"/>
    </row>
    <row r="1024" spans="46:46">
      <c r="AT1024"/>
    </row>
    <row r="1025" spans="46:46">
      <c r="AT1025"/>
    </row>
    <row r="1026" spans="46:46">
      <c r="AT1026"/>
    </row>
    <row r="1027" spans="46:46">
      <c r="AT1027"/>
    </row>
    <row r="1028" spans="46:46">
      <c r="AT1028"/>
    </row>
    <row r="1029" spans="46:46">
      <c r="AT1029"/>
    </row>
    <row r="1030" spans="46:46">
      <c r="AT1030"/>
    </row>
    <row r="1031" spans="46:46">
      <c r="AT1031"/>
    </row>
    <row r="1032" spans="46:46">
      <c r="AT1032"/>
    </row>
    <row r="1033" spans="46:46">
      <c r="AT1033"/>
    </row>
    <row r="1034" spans="46:46">
      <c r="AT1034"/>
    </row>
    <row r="1035" spans="46:46">
      <c r="AT1035"/>
    </row>
    <row r="1036" spans="46:46">
      <c r="AT1036"/>
    </row>
    <row r="1037" spans="46:46">
      <c r="AT1037"/>
    </row>
    <row r="1038" spans="46:46">
      <c r="AT1038"/>
    </row>
    <row r="1039" spans="46:46">
      <c r="AT1039"/>
    </row>
    <row r="1040" spans="46:46">
      <c r="AT1040"/>
    </row>
    <row r="1041" spans="46:46">
      <c r="AT1041"/>
    </row>
    <row r="1042" spans="46:46">
      <c r="AT1042"/>
    </row>
    <row r="1043" spans="46:46">
      <c r="AT1043"/>
    </row>
    <row r="1044" spans="46:46">
      <c r="AT1044"/>
    </row>
    <row r="1045" spans="46:46">
      <c r="AT1045"/>
    </row>
    <row r="1046" spans="46:46">
      <c r="AT1046"/>
    </row>
    <row r="1047" spans="46:46">
      <c r="AT1047"/>
    </row>
    <row r="1048" spans="46:46">
      <c r="AT1048"/>
    </row>
    <row r="1049" spans="46:46">
      <c r="AT1049"/>
    </row>
    <row r="1050" spans="46:46">
      <c r="AT1050"/>
    </row>
    <row r="1051" spans="46:46">
      <c r="AT1051"/>
    </row>
    <row r="1052" spans="46:46">
      <c r="AT1052"/>
    </row>
    <row r="1053" spans="46:46">
      <c r="AT1053"/>
    </row>
    <row r="1054" spans="46:46">
      <c r="AT1054"/>
    </row>
    <row r="1055" spans="46:46">
      <c r="AT1055"/>
    </row>
    <row r="1056" spans="46:46">
      <c r="AT1056"/>
    </row>
    <row r="1057" spans="46:46">
      <c r="AT1057"/>
    </row>
    <row r="1058" spans="46:46">
      <c r="AT1058"/>
    </row>
    <row r="1059" spans="46:46">
      <c r="AT1059"/>
    </row>
    <row r="1060" spans="46:46">
      <c r="AT1060"/>
    </row>
    <row r="1061" spans="46:46">
      <c r="AT1061"/>
    </row>
    <row r="1062" spans="46:46">
      <c r="AT1062"/>
    </row>
    <row r="1063" spans="46:46">
      <c r="AT1063"/>
    </row>
    <row r="1064" spans="46:46">
      <c r="AT1064"/>
    </row>
    <row r="1065" spans="46:46">
      <c r="AT1065"/>
    </row>
    <row r="1066" spans="46:46">
      <c r="AT1066"/>
    </row>
    <row r="1067" spans="46:46">
      <c r="AT1067"/>
    </row>
    <row r="1068" spans="46:46">
      <c r="AT1068"/>
    </row>
    <row r="1069" spans="46:46">
      <c r="AT1069"/>
    </row>
    <row r="1070" spans="46:46">
      <c r="AT1070"/>
    </row>
    <row r="1071" spans="46:46">
      <c r="AT1071"/>
    </row>
    <row r="1072" spans="46:46">
      <c r="AT1072"/>
    </row>
    <row r="1073" spans="46:46">
      <c r="AT1073"/>
    </row>
    <row r="1074" spans="46:46">
      <c r="AT1074"/>
    </row>
    <row r="1075" spans="46:46">
      <c r="AT1075"/>
    </row>
    <row r="1076" spans="46:46">
      <c r="AT1076"/>
    </row>
    <row r="1077" spans="46:46">
      <c r="AT1077"/>
    </row>
    <row r="1078" spans="46:46">
      <c r="AT1078"/>
    </row>
    <row r="1079" spans="46:46">
      <c r="AT1079"/>
    </row>
    <row r="1080" spans="46:46">
      <c r="AT1080"/>
    </row>
    <row r="1081" spans="46:46">
      <c r="AT1081"/>
    </row>
    <row r="1082" spans="46:46">
      <c r="AT1082"/>
    </row>
    <row r="1083" spans="46:46">
      <c r="AT1083"/>
    </row>
    <row r="1084" spans="46:46">
      <c r="AT1084"/>
    </row>
    <row r="1085" spans="46:46">
      <c r="AT1085"/>
    </row>
    <row r="1086" spans="46:46">
      <c r="AT1086"/>
    </row>
    <row r="1087" spans="46:46">
      <c r="AT1087"/>
    </row>
    <row r="1088" spans="46:46">
      <c r="AT1088"/>
    </row>
    <row r="1089" spans="46:46">
      <c r="AT1089"/>
    </row>
    <row r="1090" spans="46:46">
      <c r="AT1090"/>
    </row>
    <row r="1091" spans="46:46">
      <c r="AT1091"/>
    </row>
    <row r="1092" spans="46:46">
      <c r="AT1092"/>
    </row>
    <row r="1093" spans="46:46">
      <c r="AT1093"/>
    </row>
    <row r="1094" spans="46:46">
      <c r="AT1094"/>
    </row>
    <row r="1095" spans="46:46">
      <c r="AT1095"/>
    </row>
    <row r="1096" spans="46:46">
      <c r="AT1096"/>
    </row>
    <row r="1097" spans="46:46">
      <c r="AT1097"/>
    </row>
    <row r="1098" spans="46:46">
      <c r="AT1098"/>
    </row>
    <row r="1099" spans="46:46">
      <c r="AT1099"/>
    </row>
    <row r="1100" spans="46:46">
      <c r="AT1100"/>
    </row>
    <row r="1101" spans="46:46">
      <c r="AT1101"/>
    </row>
    <row r="1102" spans="46:46">
      <c r="AT1102"/>
    </row>
    <row r="1103" spans="46:46">
      <c r="AT1103"/>
    </row>
    <row r="1104" spans="46:46">
      <c r="AT1104"/>
    </row>
    <row r="1105" spans="46:46">
      <c r="AT1105"/>
    </row>
    <row r="1106" spans="46:46">
      <c r="AT1106"/>
    </row>
    <row r="1107" spans="46:46">
      <c r="AT1107"/>
    </row>
    <row r="1108" spans="46:46">
      <c r="AT1108"/>
    </row>
    <row r="1109" spans="46:46">
      <c r="AT1109"/>
    </row>
    <row r="1110" spans="46:46">
      <c r="AT1110"/>
    </row>
    <row r="1111" spans="46:46">
      <c r="AT1111"/>
    </row>
    <row r="1112" spans="46:46">
      <c r="AT1112"/>
    </row>
    <row r="1113" spans="46:46">
      <c r="AT1113"/>
    </row>
    <row r="1114" spans="46:46">
      <c r="AT1114"/>
    </row>
    <row r="1115" spans="46:46">
      <c r="AT1115"/>
    </row>
    <row r="1116" spans="46:46">
      <c r="AT1116"/>
    </row>
    <row r="1117" spans="46:46">
      <c r="AT1117"/>
    </row>
    <row r="1118" spans="46:46">
      <c r="AT1118"/>
    </row>
    <row r="1119" spans="46:46">
      <c r="AT1119"/>
    </row>
    <row r="1120" spans="46:46">
      <c r="AT1120"/>
    </row>
    <row r="1121" spans="46:46">
      <c r="AT1121"/>
    </row>
    <row r="1122" spans="46:46">
      <c r="AT1122"/>
    </row>
    <row r="1123" spans="46:46">
      <c r="AT1123"/>
    </row>
    <row r="1124" spans="46:46">
      <c r="AT1124"/>
    </row>
    <row r="1125" spans="46:46">
      <c r="AT1125"/>
    </row>
    <row r="1126" spans="46:46">
      <c r="AT1126"/>
    </row>
    <row r="1127" spans="46:46">
      <c r="AT1127"/>
    </row>
    <row r="1128" spans="46:46">
      <c r="AT1128"/>
    </row>
    <row r="1129" spans="46:46">
      <c r="AT1129"/>
    </row>
    <row r="1130" spans="46:46">
      <c r="AT1130"/>
    </row>
    <row r="1131" spans="46:46">
      <c r="AT1131"/>
    </row>
    <row r="1132" spans="46:46">
      <c r="AT1132"/>
    </row>
    <row r="1133" spans="46:46">
      <c r="AT1133"/>
    </row>
    <row r="1134" spans="46:46">
      <c r="AT1134"/>
    </row>
    <row r="1135" spans="46:46">
      <c r="AT1135"/>
    </row>
    <row r="1136" spans="46:46">
      <c r="AT1136"/>
    </row>
    <row r="1137" spans="46:46">
      <c r="AT1137"/>
    </row>
    <row r="1138" spans="46:46">
      <c r="AT1138"/>
    </row>
    <row r="1139" spans="46:46">
      <c r="AT1139"/>
    </row>
    <row r="1140" spans="46:46">
      <c r="AT1140"/>
    </row>
    <row r="1141" spans="46:46">
      <c r="AT1141"/>
    </row>
    <row r="1142" spans="46:46">
      <c r="AT1142"/>
    </row>
    <row r="1143" spans="46:46">
      <c r="AT1143"/>
    </row>
    <row r="1144" spans="46:46">
      <c r="AT1144"/>
    </row>
    <row r="1145" spans="46:46">
      <c r="AT1145"/>
    </row>
    <row r="1146" spans="46:46">
      <c r="AT1146"/>
    </row>
    <row r="1147" spans="46:46">
      <c r="AT1147"/>
    </row>
    <row r="1148" spans="46:46">
      <c r="AT1148"/>
    </row>
    <row r="1149" spans="46:46">
      <c r="AT1149"/>
    </row>
    <row r="1150" spans="46:46">
      <c r="AT1150"/>
    </row>
    <row r="1151" spans="46:46">
      <c r="AT1151"/>
    </row>
    <row r="1152" spans="46:46">
      <c r="AT1152"/>
    </row>
    <row r="1153" spans="46:46">
      <c r="AT1153"/>
    </row>
    <row r="1154" spans="46:46">
      <c r="AT1154"/>
    </row>
    <row r="1155" spans="46:46">
      <c r="AT1155"/>
    </row>
    <row r="1156" spans="46:46">
      <c r="AT1156"/>
    </row>
    <row r="1157" spans="46:46">
      <c r="AT1157"/>
    </row>
    <row r="1158" spans="46:46">
      <c r="AT1158"/>
    </row>
    <row r="1159" spans="46:46">
      <c r="AT1159"/>
    </row>
    <row r="1160" spans="46:46">
      <c r="AT1160"/>
    </row>
    <row r="1161" spans="46:46">
      <c r="AT1161"/>
    </row>
    <row r="1162" spans="46:46">
      <c r="AT1162"/>
    </row>
    <row r="1163" spans="46:46">
      <c r="AT1163"/>
    </row>
    <row r="1164" spans="46:46">
      <c r="AT1164"/>
    </row>
    <row r="1165" spans="46:46">
      <c r="AT1165"/>
    </row>
    <row r="1166" spans="46:46">
      <c r="AT1166"/>
    </row>
    <row r="1167" spans="46:46">
      <c r="AT1167"/>
    </row>
    <row r="1168" spans="46:46">
      <c r="AT1168"/>
    </row>
    <row r="1169" spans="46:46">
      <c r="AT1169"/>
    </row>
    <row r="1170" spans="46:46">
      <c r="AT1170"/>
    </row>
    <row r="1171" spans="46:46">
      <c r="AT1171"/>
    </row>
    <row r="1172" spans="46:46">
      <c r="AT1172"/>
    </row>
    <row r="1173" spans="46:46">
      <c r="AT1173"/>
    </row>
    <row r="1174" spans="46:46">
      <c r="AT1174"/>
    </row>
    <row r="1175" spans="46:46">
      <c r="AT1175"/>
    </row>
    <row r="1176" spans="46:46">
      <c r="AT1176"/>
    </row>
    <row r="1177" spans="46:46">
      <c r="AT1177"/>
    </row>
    <row r="1178" spans="46:46">
      <c r="AT1178"/>
    </row>
    <row r="1179" spans="46:46">
      <c r="AT1179"/>
    </row>
    <row r="1180" spans="46:46">
      <c r="AT1180"/>
    </row>
    <row r="1181" spans="46:46">
      <c r="AT1181"/>
    </row>
    <row r="1182" spans="46:46">
      <c r="AT1182"/>
    </row>
    <row r="1183" spans="46:46">
      <c r="AT1183"/>
    </row>
    <row r="1184" spans="46:46">
      <c r="AT1184"/>
    </row>
    <row r="1185" spans="46:46">
      <c r="AT1185"/>
    </row>
    <row r="1186" spans="46:46">
      <c r="AT1186"/>
    </row>
    <row r="1187" spans="46:46">
      <c r="AT1187"/>
    </row>
    <row r="1188" spans="46:46">
      <c r="AT1188"/>
    </row>
    <row r="1189" spans="46:46">
      <c r="AT1189"/>
    </row>
    <row r="1190" spans="46:46">
      <c r="AT1190"/>
    </row>
    <row r="1191" spans="46:46">
      <c r="AT1191"/>
    </row>
    <row r="1192" spans="46:46">
      <c r="AT1192"/>
    </row>
    <row r="1193" spans="46:46">
      <c r="AT1193"/>
    </row>
    <row r="1194" spans="46:46">
      <c r="AT1194"/>
    </row>
    <row r="1195" spans="46:46">
      <c r="AT1195"/>
    </row>
    <row r="1196" spans="46:46">
      <c r="AT1196"/>
    </row>
    <row r="1197" spans="46:46">
      <c r="AT1197"/>
    </row>
    <row r="1198" spans="46:46">
      <c r="AT1198"/>
    </row>
    <row r="1199" spans="46:46">
      <c r="AT1199"/>
    </row>
    <row r="1200" spans="46:46">
      <c r="AT1200"/>
    </row>
    <row r="1201" spans="46:46">
      <c r="AT1201"/>
    </row>
    <row r="1202" spans="46:46">
      <c r="AT1202"/>
    </row>
    <row r="1203" spans="46:46">
      <c r="AT1203"/>
    </row>
    <row r="1204" spans="46:46">
      <c r="AT1204"/>
    </row>
    <row r="1205" spans="46:46">
      <c r="AT1205"/>
    </row>
    <row r="1206" spans="46:46">
      <c r="AT1206"/>
    </row>
    <row r="1207" spans="46:46">
      <c r="AT1207"/>
    </row>
    <row r="1208" spans="46:46">
      <c r="AT1208"/>
    </row>
    <row r="1209" spans="46:46">
      <c r="AT1209"/>
    </row>
    <row r="1210" spans="46:46">
      <c r="AT1210"/>
    </row>
    <row r="1211" spans="46:46">
      <c r="AT1211"/>
    </row>
    <row r="1212" spans="46:46">
      <c r="AT1212"/>
    </row>
    <row r="1213" spans="46:46">
      <c r="AT1213"/>
    </row>
    <row r="1214" spans="46:46">
      <c r="AT1214"/>
    </row>
    <row r="1215" spans="46:46">
      <c r="AT1215"/>
    </row>
    <row r="1216" spans="46:46">
      <c r="AT1216"/>
    </row>
    <row r="1217" spans="46:46">
      <c r="AT1217"/>
    </row>
    <row r="1218" spans="46:46">
      <c r="AT1218"/>
    </row>
    <row r="1219" spans="46:46">
      <c r="AT1219"/>
    </row>
    <row r="1220" spans="46:46">
      <c r="AT1220"/>
    </row>
    <row r="1221" spans="46:46">
      <c r="AT1221"/>
    </row>
    <row r="1222" spans="46:46">
      <c r="AT1222"/>
    </row>
    <row r="1223" spans="46:46">
      <c r="AT1223"/>
    </row>
    <row r="1224" spans="46:46">
      <c r="AT1224"/>
    </row>
    <row r="1225" spans="46:46">
      <c r="AT1225"/>
    </row>
    <row r="1226" spans="46:46">
      <c r="AT1226"/>
    </row>
    <row r="1227" spans="46:46">
      <c r="AT1227"/>
    </row>
    <row r="1228" spans="46:46">
      <c r="AT1228"/>
    </row>
    <row r="1229" spans="46:46">
      <c r="AT1229"/>
    </row>
    <row r="1230" spans="46:46">
      <c r="AT1230"/>
    </row>
    <row r="1231" spans="46:46">
      <c r="AT1231"/>
    </row>
    <row r="1232" spans="46:46">
      <c r="AT1232"/>
    </row>
    <row r="1233" spans="46:46">
      <c r="AT1233"/>
    </row>
    <row r="1234" spans="46:46">
      <c r="AT1234"/>
    </row>
    <row r="1235" spans="46:46">
      <c r="AT1235"/>
    </row>
    <row r="1236" spans="46:46">
      <c r="AT1236"/>
    </row>
    <row r="1237" spans="46:46">
      <c r="AT1237"/>
    </row>
    <row r="1238" spans="46:46">
      <c r="AT1238"/>
    </row>
    <row r="1239" spans="46:46">
      <c r="AT1239"/>
    </row>
    <row r="1240" spans="46:46">
      <c r="AT1240"/>
    </row>
    <row r="1241" spans="46:46">
      <c r="AT1241"/>
    </row>
    <row r="1242" spans="46:46">
      <c r="AT1242"/>
    </row>
    <row r="1243" spans="46:46">
      <c r="AT1243"/>
    </row>
    <row r="1244" spans="46:46">
      <c r="AT1244"/>
    </row>
    <row r="1245" spans="46:46">
      <c r="AT1245"/>
    </row>
    <row r="1246" spans="46:46">
      <c r="AT1246"/>
    </row>
    <row r="1247" spans="46:46">
      <c r="AT1247"/>
    </row>
    <row r="1248" spans="46:46">
      <c r="AT1248"/>
    </row>
    <row r="1249" spans="46:46">
      <c r="AT1249"/>
    </row>
    <row r="1250" spans="46:46">
      <c r="AT1250"/>
    </row>
    <row r="1251" spans="46:46">
      <c r="AT1251"/>
    </row>
    <row r="1252" spans="46:46">
      <c r="AT1252"/>
    </row>
    <row r="1253" spans="46:46">
      <c r="AT1253"/>
    </row>
    <row r="1254" spans="46:46">
      <c r="AT1254"/>
    </row>
    <row r="1255" spans="46:46">
      <c r="AT1255"/>
    </row>
    <row r="1256" spans="46:46">
      <c r="AT1256"/>
    </row>
    <row r="1257" spans="46:46">
      <c r="AT1257"/>
    </row>
    <row r="1258" spans="46:46">
      <c r="AT1258"/>
    </row>
    <row r="1259" spans="46:46">
      <c r="AT1259"/>
    </row>
    <row r="1260" spans="46:46">
      <c r="AT1260"/>
    </row>
    <row r="1261" spans="46:46">
      <c r="AT1261"/>
    </row>
    <row r="1262" spans="46:46">
      <c r="AT1262"/>
    </row>
    <row r="1263" spans="46:46">
      <c r="AT1263"/>
    </row>
    <row r="1264" spans="46:46">
      <c r="AT1264"/>
    </row>
    <row r="1265" spans="46:46">
      <c r="AT1265"/>
    </row>
    <row r="1266" spans="46:46">
      <c r="AT1266"/>
    </row>
    <row r="1267" spans="46:46">
      <c r="AT1267"/>
    </row>
    <row r="1268" spans="46:46">
      <c r="AT1268"/>
    </row>
    <row r="1269" spans="46:46">
      <c r="AT1269"/>
    </row>
    <row r="1270" spans="46:46">
      <c r="AT1270"/>
    </row>
    <row r="1271" spans="46:46">
      <c r="AT1271"/>
    </row>
    <row r="1272" spans="46:46">
      <c r="AT1272"/>
    </row>
    <row r="1273" spans="46:46">
      <c r="AT1273"/>
    </row>
    <row r="1274" spans="46:46">
      <c r="AT1274"/>
    </row>
    <row r="1275" spans="46:46">
      <c r="AT1275"/>
    </row>
    <row r="1276" spans="46:46">
      <c r="AT1276"/>
    </row>
    <row r="1277" spans="46:46">
      <c r="AT1277"/>
    </row>
    <row r="1278" spans="46:46">
      <c r="AT1278"/>
    </row>
    <row r="1279" spans="46:46">
      <c r="AT1279"/>
    </row>
    <row r="1280" spans="46:46">
      <c r="AT1280"/>
    </row>
    <row r="1281" spans="46:46">
      <c r="AT1281"/>
    </row>
    <row r="1282" spans="46:46">
      <c r="AT1282"/>
    </row>
    <row r="1283" spans="46:46">
      <c r="AT1283"/>
    </row>
    <row r="1284" spans="46:46">
      <c r="AT1284"/>
    </row>
    <row r="1285" spans="46:46">
      <c r="AT1285"/>
    </row>
    <row r="1286" spans="46:46">
      <c r="AT1286"/>
    </row>
    <row r="1287" spans="46:46">
      <c r="AT1287"/>
    </row>
    <row r="1288" spans="46:46">
      <c r="AT1288"/>
    </row>
    <row r="1289" spans="46:46">
      <c r="AT1289"/>
    </row>
    <row r="1290" spans="46:46">
      <c r="AT1290"/>
    </row>
    <row r="1291" spans="46:46">
      <c r="AT1291"/>
    </row>
    <row r="1292" spans="46:46">
      <c r="AT1292"/>
    </row>
    <row r="1293" spans="46:46">
      <c r="AT1293"/>
    </row>
    <row r="1294" spans="46:46">
      <c r="AT1294"/>
    </row>
    <row r="1295" spans="46:46">
      <c r="AT1295"/>
    </row>
    <row r="1296" spans="46:46">
      <c r="AT1296"/>
    </row>
    <row r="1297" spans="46:46">
      <c r="AT1297"/>
    </row>
    <row r="1298" spans="46:46">
      <c r="AT1298"/>
    </row>
    <row r="1299" spans="46:46">
      <c r="AT1299"/>
    </row>
    <row r="1300" spans="46:46">
      <c r="AT1300"/>
    </row>
    <row r="1301" spans="46:46">
      <c r="AT1301"/>
    </row>
    <row r="1302" spans="46:46">
      <c r="AT1302"/>
    </row>
    <row r="1303" spans="46:46">
      <c r="AT1303"/>
    </row>
    <row r="1304" spans="46:46">
      <c r="AT1304"/>
    </row>
    <row r="1305" spans="46:46">
      <c r="AT1305"/>
    </row>
    <row r="1306" spans="46:46">
      <c r="AT1306"/>
    </row>
    <row r="1307" spans="46:46">
      <c r="AT1307"/>
    </row>
    <row r="1308" spans="46:46">
      <c r="AT1308"/>
    </row>
    <row r="1309" spans="46:46">
      <c r="AT1309"/>
    </row>
    <row r="1310" spans="46:46">
      <c r="AT1310"/>
    </row>
    <row r="1311" spans="46:46">
      <c r="AT1311"/>
    </row>
    <row r="1312" spans="46:46">
      <c r="AT1312"/>
    </row>
    <row r="1313" spans="46:46">
      <c r="AT1313"/>
    </row>
    <row r="1314" spans="46:46">
      <c r="AT1314"/>
    </row>
    <row r="1315" spans="46:46">
      <c r="AT1315"/>
    </row>
    <row r="1316" spans="46:46">
      <c r="AT1316"/>
    </row>
    <row r="1317" spans="46:46">
      <c r="AT1317"/>
    </row>
    <row r="1318" spans="46:46">
      <c r="AT1318"/>
    </row>
    <row r="1319" spans="46:46">
      <c r="AT1319"/>
    </row>
    <row r="1320" spans="46:46">
      <c r="AT1320"/>
    </row>
    <row r="1321" spans="46:46">
      <c r="AT1321"/>
    </row>
    <row r="1322" spans="46:46">
      <c r="AT1322"/>
    </row>
    <row r="1323" spans="46:46">
      <c r="AT1323"/>
    </row>
    <row r="1324" spans="46:46">
      <c r="AT1324"/>
    </row>
    <row r="1325" spans="46:46">
      <c r="AT1325"/>
    </row>
    <row r="1326" spans="46:46">
      <c r="AT1326"/>
    </row>
    <row r="1327" spans="46:46">
      <c r="AT1327"/>
    </row>
    <row r="1328" spans="46:46">
      <c r="AT1328"/>
    </row>
    <row r="1329" spans="46:46">
      <c r="AT1329"/>
    </row>
    <row r="1330" spans="46:46">
      <c r="AT1330"/>
    </row>
    <row r="1331" spans="46:46">
      <c r="AT1331"/>
    </row>
    <row r="1332" spans="46:46">
      <c r="AT1332"/>
    </row>
    <row r="1333" spans="46:46">
      <c r="AT1333"/>
    </row>
    <row r="1334" spans="46:46">
      <c r="AT1334"/>
    </row>
    <row r="1335" spans="46:46">
      <c r="AT1335"/>
    </row>
    <row r="1336" spans="46:46">
      <c r="AT1336"/>
    </row>
    <row r="1337" spans="46:46">
      <c r="AT1337"/>
    </row>
    <row r="1338" spans="46:46">
      <c r="AT1338"/>
    </row>
    <row r="1339" spans="46:46">
      <c r="AT1339"/>
    </row>
    <row r="1340" spans="46:46">
      <c r="AT1340"/>
    </row>
    <row r="1341" spans="46:46">
      <c r="AT1341"/>
    </row>
    <row r="1342" spans="46:46">
      <c r="AT1342"/>
    </row>
    <row r="1343" spans="46:46">
      <c r="AT1343"/>
    </row>
    <row r="1344" spans="46:46">
      <c r="AT1344"/>
    </row>
    <row r="1345" spans="46:46">
      <c r="AT1345"/>
    </row>
    <row r="1346" spans="46:46">
      <c r="AT1346"/>
    </row>
    <row r="1347" spans="46:46">
      <c r="AT1347"/>
    </row>
    <row r="1348" spans="46:46">
      <c r="AT1348"/>
    </row>
    <row r="1349" spans="46:46">
      <c r="AT1349"/>
    </row>
    <row r="1350" spans="46:46">
      <c r="AT1350"/>
    </row>
    <row r="1351" spans="46:46">
      <c r="AT1351"/>
    </row>
    <row r="1352" spans="46:46">
      <c r="AT1352"/>
    </row>
    <row r="1353" spans="46:46">
      <c r="AT1353"/>
    </row>
    <row r="1354" spans="46:46">
      <c r="AT1354"/>
    </row>
    <row r="1355" spans="46:46">
      <c r="AT1355"/>
    </row>
    <row r="1356" spans="46:46">
      <c r="AT1356"/>
    </row>
    <row r="1357" spans="46:46">
      <c r="AT1357"/>
    </row>
    <row r="1358" spans="46:46">
      <c r="AT1358"/>
    </row>
    <row r="1359" spans="46:46">
      <c r="AT1359"/>
    </row>
    <row r="1360" spans="46:46">
      <c r="AT1360"/>
    </row>
    <row r="1361" spans="46:46">
      <c r="AT1361"/>
    </row>
    <row r="1362" spans="46:46">
      <c r="AT1362"/>
    </row>
    <row r="1363" spans="46:46">
      <c r="AT1363"/>
    </row>
    <row r="1364" spans="46:46">
      <c r="AT1364"/>
    </row>
    <row r="1365" spans="46:46">
      <c r="AT1365"/>
    </row>
    <row r="1366" spans="46:46">
      <c r="AT1366"/>
    </row>
    <row r="1367" spans="46:46">
      <c r="AT1367"/>
    </row>
    <row r="1368" spans="46:46">
      <c r="AT1368"/>
    </row>
    <row r="1369" spans="46:46">
      <c r="AT1369"/>
    </row>
    <row r="1370" spans="46:46">
      <c r="AT1370"/>
    </row>
    <row r="1371" spans="46:46">
      <c r="AT1371"/>
    </row>
    <row r="1372" spans="46:46">
      <c r="AT1372"/>
    </row>
    <row r="1373" spans="46:46">
      <c r="AT1373"/>
    </row>
    <row r="1374" spans="46:46">
      <c r="AT1374"/>
    </row>
    <row r="1375" spans="46:46">
      <c r="AT1375"/>
    </row>
    <row r="1376" spans="46:46">
      <c r="AT1376"/>
    </row>
    <row r="1377" spans="46:46">
      <c r="AT1377"/>
    </row>
    <row r="1378" spans="46:46">
      <c r="AT1378"/>
    </row>
    <row r="1379" spans="46:46">
      <c r="AT1379"/>
    </row>
    <row r="1380" spans="46:46">
      <c r="AT1380"/>
    </row>
    <row r="1381" spans="46:46">
      <c r="AT1381"/>
    </row>
    <row r="1382" spans="46:46">
      <c r="AT1382"/>
    </row>
    <row r="1383" spans="46:46">
      <c r="AT1383"/>
    </row>
    <row r="1384" spans="46:46">
      <c r="AT1384"/>
    </row>
    <row r="1385" spans="46:46">
      <c r="AT1385"/>
    </row>
    <row r="1386" spans="46:46">
      <c r="AT1386"/>
    </row>
    <row r="1387" spans="46:46">
      <c r="AT1387"/>
    </row>
    <row r="1388" spans="46:46">
      <c r="AT1388"/>
    </row>
    <row r="1389" spans="46:46">
      <c r="AT1389"/>
    </row>
    <row r="1390" spans="46:46">
      <c r="AT1390"/>
    </row>
    <row r="1391" spans="46:46">
      <c r="AT1391"/>
    </row>
    <row r="1392" spans="46:46">
      <c r="AT1392"/>
    </row>
    <row r="1393" spans="46:46">
      <c r="AT1393"/>
    </row>
    <row r="1394" spans="46:46">
      <c r="AT1394"/>
    </row>
    <row r="1395" spans="46:46">
      <c r="AT1395"/>
    </row>
    <row r="1396" spans="46:46">
      <c r="AT1396"/>
    </row>
    <row r="1397" spans="46:46">
      <c r="AT1397"/>
    </row>
    <row r="1398" spans="46:46">
      <c r="AT1398"/>
    </row>
    <row r="1399" spans="46:46">
      <c r="AT1399"/>
    </row>
    <row r="1400" spans="46:46">
      <c r="AT1400"/>
    </row>
    <row r="1401" spans="46:46">
      <c r="AT1401"/>
    </row>
    <row r="1402" spans="46:46">
      <c r="AT1402"/>
    </row>
    <row r="1403" spans="46:46">
      <c r="AT1403"/>
    </row>
    <row r="1404" spans="46:46">
      <c r="AT1404"/>
    </row>
    <row r="1405" spans="46:46">
      <c r="AT1405"/>
    </row>
    <row r="1406" spans="46:46">
      <c r="AT1406"/>
    </row>
    <row r="1407" spans="46:46">
      <c r="AT1407"/>
    </row>
    <row r="1408" spans="46:46">
      <c r="AT1408"/>
    </row>
    <row r="1409" spans="46:46">
      <c r="AT1409"/>
    </row>
    <row r="1410" spans="46:46">
      <c r="AT1410"/>
    </row>
    <row r="1411" spans="46:46">
      <c r="AT1411"/>
    </row>
    <row r="1412" spans="46:46">
      <c r="AT1412"/>
    </row>
    <row r="1413" spans="46:46">
      <c r="AT1413"/>
    </row>
    <row r="1414" spans="46:46">
      <c r="AT1414"/>
    </row>
    <row r="1415" spans="46:46">
      <c r="AT1415"/>
    </row>
    <row r="1416" spans="46:46">
      <c r="AT1416"/>
    </row>
    <row r="1417" spans="46:46">
      <c r="AT1417"/>
    </row>
    <row r="1418" spans="46:46">
      <c r="AT1418"/>
    </row>
    <row r="1419" spans="46:46">
      <c r="AT1419"/>
    </row>
    <row r="1420" spans="46:46">
      <c r="AT1420"/>
    </row>
    <row r="1421" spans="46:46">
      <c r="AT1421"/>
    </row>
    <row r="1422" spans="46:46">
      <c r="AT1422"/>
    </row>
    <row r="1423" spans="46:46">
      <c r="AT1423"/>
    </row>
    <row r="1424" spans="46:46">
      <c r="AT1424"/>
    </row>
    <row r="1425" spans="46:46">
      <c r="AT1425"/>
    </row>
    <row r="1426" spans="46:46">
      <c r="AT1426"/>
    </row>
    <row r="1427" spans="46:46">
      <c r="AT1427"/>
    </row>
    <row r="1428" spans="46:46">
      <c r="AT1428"/>
    </row>
    <row r="1429" spans="46:46">
      <c r="AT1429"/>
    </row>
    <row r="1430" spans="46:46">
      <c r="AT1430"/>
    </row>
    <row r="1431" spans="46:46">
      <c r="AT1431"/>
    </row>
    <row r="1432" spans="46:46">
      <c r="AT1432"/>
    </row>
    <row r="1433" spans="46:46">
      <c r="AT1433"/>
    </row>
    <row r="1434" spans="46:46">
      <c r="AT1434"/>
    </row>
    <row r="1435" spans="46:46">
      <c r="AT1435"/>
    </row>
    <row r="1436" spans="46:46">
      <c r="AT1436"/>
    </row>
    <row r="1437" spans="46:46">
      <c r="AT1437"/>
    </row>
    <row r="1438" spans="46:46">
      <c r="AT1438"/>
    </row>
    <row r="1439" spans="46:46">
      <c r="AT1439"/>
    </row>
    <row r="1440" spans="46:46">
      <c r="AT1440"/>
    </row>
    <row r="1441" spans="46:46">
      <c r="AT1441"/>
    </row>
    <row r="1442" spans="46:46">
      <c r="AT1442"/>
    </row>
    <row r="1443" spans="46:46">
      <c r="AT1443"/>
    </row>
    <row r="1444" spans="46:46">
      <c r="AT1444"/>
    </row>
    <row r="1445" spans="46:46">
      <c r="AT1445"/>
    </row>
    <row r="1446" spans="46:46">
      <c r="AT1446"/>
    </row>
    <row r="1447" spans="46:46">
      <c r="AT1447"/>
    </row>
    <row r="1448" spans="46:46">
      <c r="AT1448"/>
    </row>
    <row r="1449" spans="46:46">
      <c r="AT1449"/>
    </row>
    <row r="1450" spans="46:46">
      <c r="AT1450"/>
    </row>
    <row r="1451" spans="46:46">
      <c r="AT1451"/>
    </row>
    <row r="1452" spans="46:46">
      <c r="AT1452"/>
    </row>
    <row r="1453" spans="46:46">
      <c r="AT1453"/>
    </row>
    <row r="1454" spans="46:46">
      <c r="AT1454"/>
    </row>
    <row r="1455" spans="46:46">
      <c r="AT1455"/>
    </row>
    <row r="1456" spans="46:46">
      <c r="AT1456"/>
    </row>
    <row r="1457" spans="46:46">
      <c r="AT1457"/>
    </row>
    <row r="1458" spans="46:46">
      <c r="AT1458"/>
    </row>
    <row r="1459" spans="46:46">
      <c r="AT1459"/>
    </row>
    <row r="1460" spans="46:46">
      <c r="AT1460"/>
    </row>
    <row r="1461" spans="46:46">
      <c r="AT1461"/>
    </row>
    <row r="1462" spans="46:46">
      <c r="AT1462"/>
    </row>
    <row r="1463" spans="46:46">
      <c r="AT1463"/>
    </row>
    <row r="1464" spans="46:46">
      <c r="AT1464"/>
    </row>
    <row r="1465" spans="46:46">
      <c r="AT1465"/>
    </row>
    <row r="1466" spans="46:46">
      <c r="AT1466"/>
    </row>
    <row r="1467" spans="46:46">
      <c r="AT1467"/>
    </row>
    <row r="1468" spans="46:46">
      <c r="AT1468"/>
    </row>
    <row r="1469" spans="46:46">
      <c r="AT1469"/>
    </row>
    <row r="1470" spans="46:46">
      <c r="AT1470"/>
    </row>
    <row r="1471" spans="46:46">
      <c r="AT1471"/>
    </row>
    <row r="1472" spans="46:46">
      <c r="AT1472"/>
    </row>
    <row r="1473" spans="46:46">
      <c r="AT1473"/>
    </row>
    <row r="1474" spans="46:46">
      <c r="AT1474"/>
    </row>
    <row r="1475" spans="46:46">
      <c r="AT1475"/>
    </row>
    <row r="1476" spans="46:46">
      <c r="AT1476"/>
    </row>
    <row r="1477" spans="46:46">
      <c r="AT1477"/>
    </row>
    <row r="1478" spans="46:46">
      <c r="AT1478"/>
    </row>
    <row r="1479" spans="46:46">
      <c r="AT1479"/>
    </row>
    <row r="1480" spans="46:46">
      <c r="AT1480"/>
    </row>
    <row r="1481" spans="46:46">
      <c r="AT1481"/>
    </row>
    <row r="1482" spans="46:46">
      <c r="AT1482"/>
    </row>
    <row r="1483" spans="46:46">
      <c r="AT1483"/>
    </row>
    <row r="1484" spans="46:46">
      <c r="AT1484"/>
    </row>
    <row r="1485" spans="46:46">
      <c r="AT1485"/>
    </row>
    <row r="1486" spans="46:46">
      <c r="AT1486"/>
    </row>
    <row r="1487" spans="46:46">
      <c r="AT1487"/>
    </row>
    <row r="1488" spans="46:46">
      <c r="AT1488"/>
    </row>
    <row r="1489" spans="46:46">
      <c r="AT1489"/>
    </row>
    <row r="1490" spans="46:46">
      <c r="AT1490"/>
    </row>
    <row r="1491" spans="46:46">
      <c r="AT1491"/>
    </row>
    <row r="1492" spans="46:46">
      <c r="AT1492"/>
    </row>
    <row r="1493" spans="46:46">
      <c r="AT1493"/>
    </row>
    <row r="1494" spans="46:46">
      <c r="AT1494"/>
    </row>
    <row r="1495" spans="46:46">
      <c r="AT1495"/>
    </row>
    <row r="1496" spans="46:46">
      <c r="AT1496"/>
    </row>
    <row r="1497" spans="46:46">
      <c r="AT1497"/>
    </row>
    <row r="1498" spans="46:46">
      <c r="AT1498"/>
    </row>
    <row r="1499" spans="46:46">
      <c r="AT1499"/>
    </row>
    <row r="1500" spans="46:46">
      <c r="AT1500"/>
    </row>
    <row r="1501" spans="46:46">
      <c r="AT1501"/>
    </row>
    <row r="1502" spans="46:46">
      <c r="AT1502"/>
    </row>
    <row r="1503" spans="46:46">
      <c r="AT1503"/>
    </row>
    <row r="1504" spans="46:46">
      <c r="AT1504"/>
    </row>
    <row r="1505" spans="46:46">
      <c r="AT1505"/>
    </row>
    <row r="1506" spans="46:46">
      <c r="AT1506"/>
    </row>
    <row r="1507" spans="46:46">
      <c r="AT1507"/>
    </row>
    <row r="1508" spans="46:46">
      <c r="AT1508"/>
    </row>
    <row r="1509" spans="46:46">
      <c r="AT1509"/>
    </row>
    <row r="1510" spans="46:46">
      <c r="AT1510"/>
    </row>
    <row r="1511" spans="46:46">
      <c r="AT1511"/>
    </row>
    <row r="1512" spans="46:46">
      <c r="AT1512"/>
    </row>
    <row r="1513" spans="46:46">
      <c r="AT1513"/>
    </row>
    <row r="1514" spans="46:46">
      <c r="AT1514"/>
    </row>
    <row r="1515" spans="46:46">
      <c r="AT1515"/>
    </row>
    <row r="1516" spans="46:46">
      <c r="AT1516"/>
    </row>
    <row r="1517" spans="46:46">
      <c r="AT1517"/>
    </row>
    <row r="1518" spans="46:46">
      <c r="AT1518"/>
    </row>
    <row r="1519" spans="46:46">
      <c r="AT1519"/>
    </row>
    <row r="1520" spans="46:46">
      <c r="AT1520"/>
    </row>
    <row r="1521" spans="46:46">
      <c r="AT1521"/>
    </row>
    <row r="1522" spans="46:46">
      <c r="AT1522"/>
    </row>
    <row r="1523" spans="46:46">
      <c r="AT1523"/>
    </row>
    <row r="1524" spans="46:46">
      <c r="AT1524"/>
    </row>
    <row r="1525" spans="46:46">
      <c r="AT1525"/>
    </row>
    <row r="1526" spans="46:46">
      <c r="AT1526"/>
    </row>
    <row r="1527" spans="46:46">
      <c r="AT1527"/>
    </row>
    <row r="1528" spans="46:46">
      <c r="AT1528"/>
    </row>
    <row r="1529" spans="46:46">
      <c r="AT1529"/>
    </row>
    <row r="1530" spans="46:46">
      <c r="AT1530"/>
    </row>
    <row r="1531" spans="46:46">
      <c r="AT1531"/>
    </row>
    <row r="1532" spans="46:46">
      <c r="AT1532"/>
    </row>
    <row r="1533" spans="46:46">
      <c r="AT1533"/>
    </row>
    <row r="1534" spans="46:46">
      <c r="AT1534"/>
    </row>
    <row r="1535" spans="46:46">
      <c r="AT1535"/>
    </row>
    <row r="1536" spans="46:46">
      <c r="AT1536"/>
    </row>
    <row r="1537" spans="46:46">
      <c r="AT1537"/>
    </row>
    <row r="1538" spans="46:46">
      <c r="AT1538"/>
    </row>
    <row r="1539" spans="46:46">
      <c r="AT1539"/>
    </row>
    <row r="1540" spans="46:46">
      <c r="AT1540"/>
    </row>
    <row r="1541" spans="46:46">
      <c r="AT1541"/>
    </row>
    <row r="1542" spans="46:46">
      <c r="AT1542"/>
    </row>
    <row r="1543" spans="46:46">
      <c r="AT1543"/>
    </row>
    <row r="1544" spans="46:46">
      <c r="AT1544"/>
    </row>
    <row r="1545" spans="46:46">
      <c r="AT1545"/>
    </row>
    <row r="1546" spans="46:46">
      <c r="AT1546"/>
    </row>
    <row r="1547" spans="46:46">
      <c r="AT1547"/>
    </row>
    <row r="1548" spans="46:46">
      <c r="AT1548"/>
    </row>
    <row r="1549" spans="46:46">
      <c r="AT1549"/>
    </row>
    <row r="1550" spans="46:46">
      <c r="AT1550"/>
    </row>
    <row r="1551" spans="46:46">
      <c r="AT1551"/>
    </row>
    <row r="1552" spans="46:46">
      <c r="AT1552"/>
    </row>
    <row r="1553" spans="46:46">
      <c r="AT1553"/>
    </row>
    <row r="1554" spans="46:46">
      <c r="AT1554"/>
    </row>
    <row r="1555" spans="46:46">
      <c r="AT1555"/>
    </row>
    <row r="1556" spans="46:46">
      <c r="AT1556"/>
    </row>
    <row r="1557" spans="46:46">
      <c r="AT1557"/>
    </row>
    <row r="1558" spans="46:46">
      <c r="AT1558"/>
    </row>
    <row r="1559" spans="46:46">
      <c r="AT1559"/>
    </row>
    <row r="1560" spans="46:46">
      <c r="AT1560"/>
    </row>
    <row r="1561" spans="46:46">
      <c r="AT1561"/>
    </row>
    <row r="1562" spans="46:46">
      <c r="AT1562"/>
    </row>
    <row r="1563" spans="46:46">
      <c r="AT1563"/>
    </row>
    <row r="1564" spans="46:46">
      <c r="AT1564"/>
    </row>
    <row r="1565" spans="46:46">
      <c r="AT1565"/>
    </row>
    <row r="1566" spans="46:46">
      <c r="AT1566"/>
    </row>
    <row r="1567" spans="46:46">
      <c r="AT1567"/>
    </row>
    <row r="1568" spans="46:46">
      <c r="AT1568"/>
    </row>
    <row r="1569" spans="46:46">
      <c r="AT1569"/>
    </row>
    <row r="1570" spans="46:46">
      <c r="AT1570"/>
    </row>
    <row r="1571" spans="46:46">
      <c r="AT1571"/>
    </row>
    <row r="1572" spans="46:46">
      <c r="AT1572"/>
    </row>
    <row r="1573" spans="46:46">
      <c r="AT1573"/>
    </row>
    <row r="1574" spans="46:46">
      <c r="AT1574"/>
    </row>
    <row r="1575" spans="46:46">
      <c r="AT1575"/>
    </row>
    <row r="1576" spans="46:46">
      <c r="AT1576"/>
    </row>
    <row r="1577" spans="46:46">
      <c r="AT1577"/>
    </row>
    <row r="1578" spans="46:46">
      <c r="AT1578"/>
    </row>
    <row r="1579" spans="46:46">
      <c r="AT1579"/>
    </row>
    <row r="1580" spans="46:46">
      <c r="AT1580"/>
    </row>
    <row r="1581" spans="46:46">
      <c r="AT1581"/>
    </row>
    <row r="1582" spans="46:46">
      <c r="AT1582"/>
    </row>
    <row r="1583" spans="46:46">
      <c r="AT1583"/>
    </row>
    <row r="1584" spans="46:46">
      <c r="AT1584"/>
    </row>
    <row r="1585" spans="46:46">
      <c r="AT1585"/>
    </row>
    <row r="1586" spans="46:46">
      <c r="AT1586"/>
    </row>
    <row r="1587" spans="46:46">
      <c r="AT1587"/>
    </row>
    <row r="1588" spans="46:46">
      <c r="AT1588"/>
    </row>
    <row r="1589" spans="46:46">
      <c r="AT1589"/>
    </row>
    <row r="1590" spans="46:46">
      <c r="AT1590"/>
    </row>
    <row r="1591" spans="46:46">
      <c r="AT1591"/>
    </row>
    <row r="1592" spans="46:46">
      <c r="AT1592"/>
    </row>
    <row r="1593" spans="46:46">
      <c r="AT1593"/>
    </row>
    <row r="1594" spans="46:46">
      <c r="AT1594"/>
    </row>
    <row r="1595" spans="46:46">
      <c r="AT1595"/>
    </row>
    <row r="1596" spans="46:46">
      <c r="AT1596"/>
    </row>
    <row r="1597" spans="46:46">
      <c r="AT1597"/>
    </row>
    <row r="1598" spans="46:46">
      <c r="AT1598"/>
    </row>
    <row r="1599" spans="46:46">
      <c r="AT1599"/>
    </row>
    <row r="1600" spans="46:46">
      <c r="AT1600"/>
    </row>
    <row r="1601" spans="46:46">
      <c r="AT1601"/>
    </row>
    <row r="1602" spans="46:46">
      <c r="AT1602"/>
    </row>
    <row r="1603" spans="46:46">
      <c r="AT1603"/>
    </row>
    <row r="1604" spans="46:46">
      <c r="AT1604"/>
    </row>
    <row r="1605" spans="46:46">
      <c r="AT1605"/>
    </row>
    <row r="1606" spans="46:46">
      <c r="AT1606"/>
    </row>
    <row r="1607" spans="46:46">
      <c r="AT1607"/>
    </row>
    <row r="1608" spans="46:46">
      <c r="AT1608"/>
    </row>
    <row r="1609" spans="46:46">
      <c r="AT1609"/>
    </row>
    <row r="1610" spans="46:46">
      <c r="AT1610"/>
    </row>
    <row r="1611" spans="46:46">
      <c r="AT1611"/>
    </row>
    <row r="1612" spans="46:46">
      <c r="AT1612"/>
    </row>
    <row r="1613" spans="46:46">
      <c r="AT1613"/>
    </row>
    <row r="1614" spans="46:46">
      <c r="AT1614"/>
    </row>
    <row r="1615" spans="46:46">
      <c r="AT1615"/>
    </row>
    <row r="1616" spans="46:46">
      <c r="AT1616"/>
    </row>
    <row r="1617" spans="46:46">
      <c r="AT1617"/>
    </row>
    <row r="1618" spans="46:46">
      <c r="AT1618"/>
    </row>
    <row r="1619" spans="46:46">
      <c r="AT1619"/>
    </row>
    <row r="1620" spans="46:46">
      <c r="AT1620"/>
    </row>
    <row r="1621" spans="46:46">
      <c r="AT1621"/>
    </row>
    <row r="1622" spans="46:46">
      <c r="AT1622"/>
    </row>
    <row r="1623" spans="46:46">
      <c r="AT1623"/>
    </row>
    <row r="1624" spans="46:46">
      <c r="AT1624"/>
    </row>
    <row r="1625" spans="46:46">
      <c r="AT1625"/>
    </row>
    <row r="1626" spans="46:46">
      <c r="AT1626"/>
    </row>
    <row r="1627" spans="46:46">
      <c r="AT1627"/>
    </row>
    <row r="1628" spans="46:46">
      <c r="AT1628"/>
    </row>
    <row r="1629" spans="46:46">
      <c r="AT1629"/>
    </row>
    <row r="1630" spans="46:46">
      <c r="AT1630"/>
    </row>
    <row r="1631" spans="46:46">
      <c r="AT1631"/>
    </row>
    <row r="1632" spans="46:46">
      <c r="AT1632"/>
    </row>
    <row r="1633" spans="46:46">
      <c r="AT1633"/>
    </row>
    <row r="1634" spans="46:46">
      <c r="AT1634"/>
    </row>
    <row r="1635" spans="46:46">
      <c r="AT1635"/>
    </row>
    <row r="1636" spans="46:46">
      <c r="AT1636"/>
    </row>
    <row r="1637" spans="46:46">
      <c r="AT1637"/>
    </row>
    <row r="1638" spans="46:46">
      <c r="AT1638"/>
    </row>
    <row r="1639" spans="46:46">
      <c r="AT1639"/>
    </row>
    <row r="1640" spans="46:46">
      <c r="AT1640"/>
    </row>
    <row r="1641" spans="46:46">
      <c r="AT1641"/>
    </row>
    <row r="1642" spans="46:46">
      <c r="AT1642"/>
    </row>
    <row r="1643" spans="46:46">
      <c r="AT1643"/>
    </row>
    <row r="1644" spans="46:46">
      <c r="AT1644"/>
    </row>
    <row r="1645" spans="46:46">
      <c r="AT1645"/>
    </row>
    <row r="1646" spans="46:46">
      <c r="AT1646"/>
    </row>
    <row r="1647" spans="46:46">
      <c r="AT1647"/>
    </row>
    <row r="1648" spans="46:46">
      <c r="AT1648"/>
    </row>
    <row r="1649" spans="46:46">
      <c r="AT1649"/>
    </row>
    <row r="1650" spans="46:46">
      <c r="AT1650"/>
    </row>
    <row r="1651" spans="46:46">
      <c r="AT1651"/>
    </row>
    <row r="1652" spans="46:46">
      <c r="AT1652"/>
    </row>
    <row r="1653" spans="46:46">
      <c r="AT1653"/>
    </row>
    <row r="1654" spans="46:46">
      <c r="AT1654"/>
    </row>
    <row r="1655" spans="46:46">
      <c r="AT1655"/>
    </row>
    <row r="1656" spans="46:46">
      <c r="AT1656"/>
    </row>
    <row r="1657" spans="46:46">
      <c r="AT1657"/>
    </row>
    <row r="1658" spans="46:46">
      <c r="AT1658"/>
    </row>
    <row r="1659" spans="46:46">
      <c r="AT1659"/>
    </row>
    <row r="1660" spans="46:46">
      <c r="AT1660"/>
    </row>
    <row r="1661" spans="46:46">
      <c r="AT1661"/>
    </row>
    <row r="1662" spans="46:46">
      <c r="AT1662"/>
    </row>
    <row r="1663" spans="46:46">
      <c r="AT1663"/>
    </row>
    <row r="1664" spans="46:46">
      <c r="AT1664"/>
    </row>
    <row r="1665" spans="46:46">
      <c r="AT1665"/>
    </row>
    <row r="1666" spans="46:46">
      <c r="AT1666"/>
    </row>
    <row r="1667" spans="46:46">
      <c r="AT1667"/>
    </row>
    <row r="1668" spans="46:46">
      <c r="AT1668"/>
    </row>
    <row r="1669" spans="46:46">
      <c r="AT1669"/>
    </row>
    <row r="1670" spans="46:46">
      <c r="AT1670"/>
    </row>
    <row r="1671" spans="46:46">
      <c r="AT1671"/>
    </row>
    <row r="1672" spans="46:46">
      <c r="AT1672"/>
    </row>
    <row r="1673" spans="46:46">
      <c r="AT1673"/>
    </row>
    <row r="1674" spans="46:46">
      <c r="AT1674"/>
    </row>
    <row r="1675" spans="46:46">
      <c r="AT1675"/>
    </row>
    <row r="1676" spans="46:46">
      <c r="AT1676"/>
    </row>
    <row r="1677" spans="46:46">
      <c r="AT1677"/>
    </row>
    <row r="1678" spans="46:46">
      <c r="AT1678"/>
    </row>
    <row r="1679" spans="46:46">
      <c r="AT1679"/>
    </row>
    <row r="1680" spans="46:46">
      <c r="AT1680"/>
    </row>
    <row r="1681" spans="46:46">
      <c r="AT1681"/>
    </row>
    <row r="1682" spans="46:46">
      <c r="AT1682"/>
    </row>
    <row r="1683" spans="46:46">
      <c r="AT1683"/>
    </row>
    <row r="1684" spans="46:46">
      <c r="AT1684"/>
    </row>
    <row r="1685" spans="46:46">
      <c r="AT1685"/>
    </row>
    <row r="1686" spans="46:46">
      <c r="AT1686"/>
    </row>
    <row r="1687" spans="46:46">
      <c r="AT1687"/>
    </row>
    <row r="1688" spans="46:46">
      <c r="AT1688"/>
    </row>
    <row r="1689" spans="46:46">
      <c r="AT1689"/>
    </row>
    <row r="1690" spans="46:46">
      <c r="AT1690"/>
    </row>
    <row r="1691" spans="46:46">
      <c r="AT1691"/>
    </row>
    <row r="1692" spans="46:46">
      <c r="AT1692"/>
    </row>
    <row r="1693" spans="46:46">
      <c r="AT1693"/>
    </row>
    <row r="1694" spans="46:46">
      <c r="AT1694"/>
    </row>
    <row r="1695" spans="46:46">
      <c r="AT1695"/>
    </row>
    <row r="1696" spans="46:46">
      <c r="AT1696"/>
    </row>
    <row r="1697" spans="46:46">
      <c r="AT1697"/>
    </row>
    <row r="1698" spans="46:46">
      <c r="AT1698"/>
    </row>
    <row r="1699" spans="46:46">
      <c r="AT1699"/>
    </row>
    <row r="1700" spans="46:46">
      <c r="AT1700"/>
    </row>
    <row r="1701" spans="46:46">
      <c r="AT1701"/>
    </row>
    <row r="1702" spans="46:46">
      <c r="AT1702"/>
    </row>
    <row r="1703" spans="46:46">
      <c r="AT1703"/>
    </row>
    <row r="1704" spans="46:46">
      <c r="AT1704"/>
    </row>
    <row r="1705" spans="46:46">
      <c r="AT1705"/>
    </row>
    <row r="1706" spans="46:46">
      <c r="AT1706"/>
    </row>
    <row r="1707" spans="46:46">
      <c r="AT1707"/>
    </row>
    <row r="1708" spans="46:46">
      <c r="AT1708"/>
    </row>
    <row r="1709" spans="46:46">
      <c r="AT1709"/>
    </row>
    <row r="1710" spans="46:46">
      <c r="AT1710"/>
    </row>
    <row r="1711" spans="46:46">
      <c r="AT1711"/>
    </row>
    <row r="1712" spans="46:46">
      <c r="AT1712"/>
    </row>
    <row r="1713" spans="46:46">
      <c r="AT1713"/>
    </row>
    <row r="1714" spans="46:46">
      <c r="AT1714"/>
    </row>
    <row r="1715" spans="46:46">
      <c r="AT1715"/>
    </row>
    <row r="1716" spans="46:46">
      <c r="AT1716"/>
    </row>
    <row r="1717" spans="46:46">
      <c r="AT1717"/>
    </row>
    <row r="1718" spans="46:46">
      <c r="AT1718"/>
    </row>
    <row r="1719" spans="46:46">
      <c r="AT1719"/>
    </row>
    <row r="1720" spans="46:46">
      <c r="AT1720"/>
    </row>
    <row r="1721" spans="46:46">
      <c r="AT1721"/>
    </row>
    <row r="1722" spans="46:46">
      <c r="AT1722"/>
    </row>
    <row r="1723" spans="46:46">
      <c r="AT1723"/>
    </row>
    <row r="1724" spans="46:46">
      <c r="AT1724"/>
    </row>
    <row r="1725" spans="46:46">
      <c r="AT1725"/>
    </row>
    <row r="1726" spans="46:46">
      <c r="AT1726"/>
    </row>
    <row r="1727" spans="46:46">
      <c r="AT1727"/>
    </row>
    <row r="1728" spans="46:46">
      <c r="AT1728"/>
    </row>
    <row r="1729" spans="46:46">
      <c r="AT1729"/>
    </row>
    <row r="1730" spans="46:46">
      <c r="AT1730"/>
    </row>
    <row r="1731" spans="46:46">
      <c r="AT1731"/>
    </row>
    <row r="1732" spans="46:46">
      <c r="AT1732"/>
    </row>
    <row r="1733" spans="46:46">
      <c r="AT1733"/>
    </row>
    <row r="1734" spans="46:46">
      <c r="AT1734"/>
    </row>
    <row r="1735" spans="46:46">
      <c r="AT1735"/>
    </row>
    <row r="1736" spans="46:46">
      <c r="AT1736"/>
    </row>
    <row r="1737" spans="46:46">
      <c r="AT1737"/>
    </row>
    <row r="1738" spans="46:46">
      <c r="AT1738"/>
    </row>
    <row r="1739" spans="46:46">
      <c r="AT1739"/>
    </row>
    <row r="1740" spans="46:46">
      <c r="AT1740"/>
    </row>
    <row r="1741" spans="46:46">
      <c r="AT1741"/>
    </row>
    <row r="1742" spans="46:46">
      <c r="AT1742"/>
    </row>
    <row r="1743" spans="46:46">
      <c r="AT1743"/>
    </row>
    <row r="1744" spans="46:46">
      <c r="AT1744"/>
    </row>
    <row r="1745" spans="46:46">
      <c r="AT1745"/>
    </row>
    <row r="1746" spans="46:46">
      <c r="AT1746"/>
    </row>
    <row r="1747" spans="46:46">
      <c r="AT1747"/>
    </row>
    <row r="1748" spans="46:46">
      <c r="AT1748"/>
    </row>
    <row r="1749" spans="46:46">
      <c r="AT1749"/>
    </row>
    <row r="1750" spans="46:46">
      <c r="AT1750"/>
    </row>
    <row r="1751" spans="46:46">
      <c r="AT1751"/>
    </row>
    <row r="1752" spans="46:46">
      <c r="AT1752"/>
    </row>
    <row r="1753" spans="46:46">
      <c r="AT1753"/>
    </row>
    <row r="1754" spans="46:46">
      <c r="AT1754"/>
    </row>
    <row r="1755" spans="46:46">
      <c r="AT1755"/>
    </row>
    <row r="1756" spans="46:46">
      <c r="AT1756"/>
    </row>
    <row r="1757" spans="46:46">
      <c r="AT1757"/>
    </row>
    <row r="1758" spans="46:46">
      <c r="AT1758"/>
    </row>
    <row r="1759" spans="46:46">
      <c r="AT1759"/>
    </row>
    <row r="1760" spans="46:46">
      <c r="AT1760"/>
    </row>
    <row r="1761" spans="46:46">
      <c r="AT1761"/>
    </row>
    <row r="1762" spans="46:46">
      <c r="AT1762"/>
    </row>
    <row r="1763" spans="46:46">
      <c r="AT1763"/>
    </row>
    <row r="1764" spans="46:46">
      <c r="AT1764"/>
    </row>
    <row r="1765" spans="46:46">
      <c r="AT1765"/>
    </row>
    <row r="1766" spans="46:46">
      <c r="AT1766"/>
    </row>
    <row r="1767" spans="46:46">
      <c r="AT1767"/>
    </row>
    <row r="1768" spans="46:46">
      <c r="AT1768"/>
    </row>
    <row r="1769" spans="46:46">
      <c r="AT1769"/>
    </row>
    <row r="1770" spans="46:46">
      <c r="AT1770"/>
    </row>
    <row r="1771" spans="46:46">
      <c r="AT1771"/>
    </row>
    <row r="1772" spans="46:46">
      <c r="AT1772"/>
    </row>
    <row r="1773" spans="46:46">
      <c r="AT1773"/>
    </row>
    <row r="1774" spans="46:46">
      <c r="AT1774"/>
    </row>
    <row r="1775" spans="46:46">
      <c r="AT1775"/>
    </row>
    <row r="1776" spans="46:46">
      <c r="AT1776"/>
    </row>
    <row r="1777" spans="46:46">
      <c r="AT1777"/>
    </row>
    <row r="1778" spans="46:46">
      <c r="AT1778"/>
    </row>
    <row r="1779" spans="46:46">
      <c r="AT1779"/>
    </row>
    <row r="1780" spans="46:46">
      <c r="AT1780"/>
    </row>
    <row r="1781" spans="46:46">
      <c r="AT1781"/>
    </row>
    <row r="1782" spans="46:46">
      <c r="AT1782"/>
    </row>
    <row r="1783" spans="46:46">
      <c r="AT1783"/>
    </row>
    <row r="1784" spans="46:46">
      <c r="AT1784"/>
    </row>
    <row r="1785" spans="46:46">
      <c r="AT1785"/>
    </row>
    <row r="1786" spans="46:46">
      <c r="AT1786"/>
    </row>
    <row r="1787" spans="46:46">
      <c r="AT1787"/>
    </row>
    <row r="1788" spans="46:46">
      <c r="AT1788"/>
    </row>
    <row r="1789" spans="46:46">
      <c r="AT1789"/>
    </row>
    <row r="1790" spans="46:46">
      <c r="AT1790"/>
    </row>
    <row r="1791" spans="46:46">
      <c r="AT1791"/>
    </row>
    <row r="1792" spans="46:46">
      <c r="AT1792"/>
    </row>
    <row r="1793" spans="46:46">
      <c r="AT1793"/>
    </row>
    <row r="1794" spans="46:46">
      <c r="AT1794"/>
    </row>
    <row r="1795" spans="46:46">
      <c r="AT1795"/>
    </row>
    <row r="1796" spans="46:46">
      <c r="AT1796"/>
    </row>
    <row r="1797" spans="46:46">
      <c r="AT1797"/>
    </row>
    <row r="1798" spans="46:46">
      <c r="AT1798"/>
    </row>
    <row r="1799" spans="46:46">
      <c r="AT1799"/>
    </row>
    <row r="1800" spans="46:46">
      <c r="AT1800"/>
    </row>
    <row r="1801" spans="46:46">
      <c r="AT1801"/>
    </row>
    <row r="1802" spans="46:46">
      <c r="AT1802"/>
    </row>
    <row r="1803" spans="46:46">
      <c r="AT1803"/>
    </row>
    <row r="1804" spans="46:46">
      <c r="AT1804"/>
    </row>
    <row r="1805" spans="46:46">
      <c r="AT1805"/>
    </row>
    <row r="1806" spans="46:46">
      <c r="AT1806"/>
    </row>
    <row r="1807" spans="46:46">
      <c r="AT1807"/>
    </row>
    <row r="1808" spans="46:46">
      <c r="AT1808"/>
    </row>
    <row r="1809" spans="46:46">
      <c r="AT1809"/>
    </row>
    <row r="1810" spans="46:46">
      <c r="AT1810"/>
    </row>
    <row r="1811" spans="46:46">
      <c r="AT1811"/>
    </row>
    <row r="1812" spans="46:46">
      <c r="AT1812"/>
    </row>
    <row r="1813" spans="46:46">
      <c r="AT1813"/>
    </row>
    <row r="1814" spans="46:46">
      <c r="AT1814"/>
    </row>
    <row r="1815" spans="46:46">
      <c r="AT1815"/>
    </row>
    <row r="1816" spans="46:46">
      <c r="AT1816"/>
    </row>
    <row r="1817" spans="46:46">
      <c r="AT1817"/>
    </row>
    <row r="1818" spans="46:46">
      <c r="AT1818"/>
    </row>
    <row r="1819" spans="46:46">
      <c r="AT1819"/>
    </row>
    <row r="1820" spans="46:46">
      <c r="AT1820"/>
    </row>
    <row r="1821" spans="46:46">
      <c r="AT1821"/>
    </row>
    <row r="1822" spans="46:46">
      <c r="AT1822"/>
    </row>
    <row r="1823" spans="46:46">
      <c r="AT1823"/>
    </row>
    <row r="1824" spans="46:46">
      <c r="AT1824"/>
    </row>
    <row r="1825" spans="46:46">
      <c r="AT1825"/>
    </row>
    <row r="1826" spans="46:46">
      <c r="AT1826"/>
    </row>
    <row r="1827" spans="46:46">
      <c r="AT1827"/>
    </row>
    <row r="1828" spans="46:46">
      <c r="AT1828"/>
    </row>
    <row r="1829" spans="46:46">
      <c r="AT1829"/>
    </row>
    <row r="1830" spans="46:46">
      <c r="AT1830"/>
    </row>
    <row r="1831" spans="46:46">
      <c r="AT1831"/>
    </row>
    <row r="1832" spans="46:46">
      <c r="AT1832"/>
    </row>
    <row r="1833" spans="46:46">
      <c r="AT1833"/>
    </row>
    <row r="1834" spans="46:46">
      <c r="AT1834"/>
    </row>
    <row r="1835" spans="46:46">
      <c r="AT1835"/>
    </row>
    <row r="1836" spans="46:46">
      <c r="AT1836"/>
    </row>
    <row r="1837" spans="46:46">
      <c r="AT1837"/>
    </row>
    <row r="1838" spans="46:46">
      <c r="AT1838"/>
    </row>
    <row r="1839" spans="46:46">
      <c r="AT1839"/>
    </row>
    <row r="1840" spans="46:46">
      <c r="AT1840"/>
    </row>
    <row r="1841" spans="46:46">
      <c r="AT1841"/>
    </row>
    <row r="1842" spans="46:46">
      <c r="AT1842"/>
    </row>
    <row r="1843" spans="46:46">
      <c r="AT1843"/>
    </row>
    <row r="1844" spans="46:46">
      <c r="AT1844"/>
    </row>
    <row r="1845" spans="46:46">
      <c r="AT1845"/>
    </row>
    <row r="1846" spans="46:46">
      <c r="AT1846"/>
    </row>
    <row r="1847" spans="46:46">
      <c r="AT1847"/>
    </row>
    <row r="1848" spans="46:46">
      <c r="AT1848"/>
    </row>
    <row r="1849" spans="46:46">
      <c r="AT1849"/>
    </row>
    <row r="1850" spans="46:46">
      <c r="AT1850"/>
    </row>
    <row r="1851" spans="46:46">
      <c r="AT1851"/>
    </row>
    <row r="1852" spans="46:46">
      <c r="AT1852"/>
    </row>
    <row r="1853" spans="46:46">
      <c r="AT1853"/>
    </row>
    <row r="1854" spans="46:46">
      <c r="AT1854"/>
    </row>
    <row r="1855" spans="46:46">
      <c r="AT1855"/>
    </row>
    <row r="1856" spans="46:46">
      <c r="AT1856"/>
    </row>
    <row r="1857" spans="46:46">
      <c r="AT1857"/>
    </row>
    <row r="1858" spans="46:46">
      <c r="AT1858"/>
    </row>
    <row r="1859" spans="46:46">
      <c r="AT1859"/>
    </row>
    <row r="1860" spans="46:46">
      <c r="AT1860"/>
    </row>
    <row r="1861" spans="46:46">
      <c r="AT1861"/>
    </row>
    <row r="1862" spans="46:46">
      <c r="AT1862"/>
    </row>
    <row r="1863" spans="46:46">
      <c r="AT1863"/>
    </row>
    <row r="1864" spans="46:46">
      <c r="AT1864"/>
    </row>
    <row r="1865" spans="46:46">
      <c r="AT1865"/>
    </row>
    <row r="1866" spans="46:46">
      <c r="AT1866"/>
    </row>
    <row r="1867" spans="46:46">
      <c r="AT1867"/>
    </row>
    <row r="1868" spans="46:46">
      <c r="AT1868"/>
    </row>
    <row r="1869" spans="46:46">
      <c r="AT1869"/>
    </row>
    <row r="1870" spans="46:46">
      <c r="AT1870"/>
    </row>
    <row r="1871" spans="46:46">
      <c r="AT1871"/>
    </row>
    <row r="1872" spans="46:46">
      <c r="AT1872"/>
    </row>
    <row r="1873" spans="46:46">
      <c r="AT1873"/>
    </row>
    <row r="1874" spans="46:46">
      <c r="AT1874"/>
    </row>
    <row r="1875" spans="46:46">
      <c r="AT1875"/>
    </row>
    <row r="1876" spans="46:46">
      <c r="AT1876"/>
    </row>
    <row r="1877" spans="46:46">
      <c r="AT1877"/>
    </row>
    <row r="1878" spans="46:46">
      <c r="AT1878"/>
    </row>
    <row r="1879" spans="46:46">
      <c r="AT1879"/>
    </row>
    <row r="1880" spans="46:46">
      <c r="AT1880"/>
    </row>
    <row r="1881" spans="46:46">
      <c r="AT1881"/>
    </row>
    <row r="1882" spans="46:46">
      <c r="AT1882"/>
    </row>
    <row r="1883" spans="46:46">
      <c r="AT1883"/>
    </row>
    <row r="1884" spans="46:46">
      <c r="AT1884"/>
    </row>
    <row r="1885" spans="46:46">
      <c r="AT1885"/>
    </row>
    <row r="1886" spans="46:46">
      <c r="AT1886"/>
    </row>
    <row r="1887" spans="46:46">
      <c r="AT1887"/>
    </row>
    <row r="1888" spans="46:46">
      <c r="AT1888"/>
    </row>
    <row r="1889" spans="46:46">
      <c r="AT1889"/>
    </row>
    <row r="1890" spans="46:46">
      <c r="AT1890"/>
    </row>
    <row r="1891" spans="46:46">
      <c r="AT1891"/>
    </row>
    <row r="1892" spans="46:46">
      <c r="AT1892"/>
    </row>
    <row r="1893" spans="46:46">
      <c r="AT1893"/>
    </row>
    <row r="1894" spans="46:46">
      <c r="AT1894"/>
    </row>
    <row r="1895" spans="46:46">
      <c r="AT1895"/>
    </row>
    <row r="1896" spans="46:46">
      <c r="AT1896"/>
    </row>
    <row r="1897" spans="46:46">
      <c r="AT1897"/>
    </row>
    <row r="1898" spans="46:46">
      <c r="AT1898"/>
    </row>
    <row r="1899" spans="46:46">
      <c r="AT1899"/>
    </row>
    <row r="1900" spans="46:46">
      <c r="AT1900"/>
    </row>
    <row r="1901" spans="46:46">
      <c r="AT1901"/>
    </row>
    <row r="1902" spans="46:46">
      <c r="AT1902"/>
    </row>
    <row r="1903" spans="46:46">
      <c r="AT1903"/>
    </row>
    <row r="1904" spans="46:46">
      <c r="AT1904"/>
    </row>
    <row r="1905" spans="46:46">
      <c r="AT1905"/>
    </row>
    <row r="1906" spans="46:46">
      <c r="AT1906"/>
    </row>
    <row r="1907" spans="46:46">
      <c r="AT1907"/>
    </row>
    <row r="1908" spans="46:46">
      <c r="AT1908"/>
    </row>
    <row r="1909" spans="46:46">
      <c r="AT1909"/>
    </row>
    <row r="1910" spans="46:46">
      <c r="AT1910"/>
    </row>
    <row r="1911" spans="46:46">
      <c r="AT1911"/>
    </row>
    <row r="1912" spans="46:46">
      <c r="AT1912"/>
    </row>
    <row r="1913" spans="46:46">
      <c r="AT1913"/>
    </row>
    <row r="1914" spans="46:46">
      <c r="AT1914"/>
    </row>
    <row r="1915" spans="46:46">
      <c r="AT1915"/>
    </row>
    <row r="1916" spans="46:46">
      <c r="AT1916"/>
    </row>
    <row r="1917" spans="46:46">
      <c r="AT1917"/>
    </row>
    <row r="1918" spans="46:46">
      <c r="AT1918"/>
    </row>
    <row r="1919" spans="46:46">
      <c r="AT1919"/>
    </row>
    <row r="1920" spans="46:46">
      <c r="AT1920"/>
    </row>
    <row r="1921" spans="46:46">
      <c r="AT1921"/>
    </row>
    <row r="1922" spans="46:46">
      <c r="AT1922"/>
    </row>
    <row r="1923" spans="46:46">
      <c r="AT1923"/>
    </row>
    <row r="1924" spans="46:46">
      <c r="AT1924"/>
    </row>
    <row r="1925" spans="46:46">
      <c r="AT1925"/>
    </row>
    <row r="1926" spans="46:46">
      <c r="AT1926"/>
    </row>
    <row r="1927" spans="46:46">
      <c r="AT1927"/>
    </row>
    <row r="1928" spans="46:46">
      <c r="AT1928"/>
    </row>
    <row r="1929" spans="46:46">
      <c r="AT1929"/>
    </row>
    <row r="1930" spans="46:46">
      <c r="AT1930"/>
    </row>
    <row r="1931" spans="46:46">
      <c r="AT1931"/>
    </row>
    <row r="1932" spans="46:46">
      <c r="AT1932"/>
    </row>
    <row r="1933" spans="46:46">
      <c r="AT1933"/>
    </row>
    <row r="1934" spans="46:46">
      <c r="AT1934"/>
    </row>
    <row r="1935" spans="46:46">
      <c r="AT1935"/>
    </row>
    <row r="1936" spans="46:46">
      <c r="AT1936"/>
    </row>
    <row r="1937" spans="46:46">
      <c r="AT1937"/>
    </row>
    <row r="1938" spans="46:46">
      <c r="AT1938"/>
    </row>
    <row r="1939" spans="46:46">
      <c r="AT1939"/>
    </row>
    <row r="1940" spans="46:46">
      <c r="AT1940"/>
    </row>
    <row r="1941" spans="46:46">
      <c r="AT1941"/>
    </row>
    <row r="1942" spans="46:46">
      <c r="AT1942"/>
    </row>
    <row r="1943" spans="46:46">
      <c r="AT1943"/>
    </row>
    <row r="1944" spans="46:46">
      <c r="AT1944"/>
    </row>
    <row r="1945" spans="46:46">
      <c r="AT1945"/>
    </row>
    <row r="1946" spans="46:46">
      <c r="AT1946"/>
    </row>
    <row r="1947" spans="46:46">
      <c r="AT1947"/>
    </row>
    <row r="1948" spans="46:46">
      <c r="AT1948"/>
    </row>
    <row r="1949" spans="46:46">
      <c r="AT1949"/>
    </row>
    <row r="1950" spans="46:46">
      <c r="AT1950"/>
    </row>
    <row r="1951" spans="46:46">
      <c r="AT1951"/>
    </row>
    <row r="1952" spans="46:46">
      <c r="AT1952"/>
    </row>
    <row r="1953" spans="46:46">
      <c r="AT1953"/>
    </row>
    <row r="1954" spans="46:46">
      <c r="AT1954"/>
    </row>
    <row r="1955" spans="46:46">
      <c r="AT1955"/>
    </row>
    <row r="1956" spans="46:46">
      <c r="AT1956"/>
    </row>
    <row r="1957" spans="46:46">
      <c r="AT1957"/>
    </row>
    <row r="1958" spans="46:46">
      <c r="AT1958"/>
    </row>
    <row r="1959" spans="46:46">
      <c r="AT1959"/>
    </row>
    <row r="1960" spans="46:46">
      <c r="AT1960"/>
    </row>
    <row r="1961" spans="46:46">
      <c r="AT1961"/>
    </row>
    <row r="1962" spans="46:46">
      <c r="AT1962"/>
    </row>
    <row r="1963" spans="46:46">
      <c r="AT1963"/>
    </row>
    <row r="1964" spans="46:46">
      <c r="AT1964"/>
    </row>
    <row r="1965" spans="46:46">
      <c r="AT1965"/>
    </row>
    <row r="1966" spans="46:46">
      <c r="AT1966"/>
    </row>
    <row r="1967" spans="46:46">
      <c r="AT1967"/>
    </row>
    <row r="1968" spans="46:46">
      <c r="AT1968"/>
    </row>
    <row r="1969" spans="46:46">
      <c r="AT1969"/>
    </row>
    <row r="1970" spans="46:46">
      <c r="AT1970"/>
    </row>
    <row r="1971" spans="46:46">
      <c r="AT1971"/>
    </row>
    <row r="1972" spans="46:46">
      <c r="AT1972"/>
    </row>
    <row r="1973" spans="46:46">
      <c r="AT1973"/>
    </row>
    <row r="1974" spans="46:46">
      <c r="AT1974"/>
    </row>
    <row r="1975" spans="46:46">
      <c r="AT1975"/>
    </row>
    <row r="1976" spans="46:46">
      <c r="AT1976"/>
    </row>
    <row r="1977" spans="46:46">
      <c r="AT1977"/>
    </row>
    <row r="1978" spans="46:46">
      <c r="AT1978"/>
    </row>
    <row r="1979" spans="46:46">
      <c r="AT1979"/>
    </row>
    <row r="1980" spans="46:46">
      <c r="AT1980"/>
    </row>
    <row r="1981" spans="46:46">
      <c r="AT1981"/>
    </row>
    <row r="1982" spans="46:46">
      <c r="AT1982"/>
    </row>
    <row r="1983" spans="46:46">
      <c r="AT1983"/>
    </row>
    <row r="1984" spans="46:46">
      <c r="AT1984"/>
    </row>
    <row r="1985" spans="46:46">
      <c r="AT1985"/>
    </row>
    <row r="1986" spans="46:46">
      <c r="AT1986"/>
    </row>
    <row r="1987" spans="46:46">
      <c r="AT1987"/>
    </row>
    <row r="1988" spans="46:46">
      <c r="AT1988"/>
    </row>
    <row r="1989" spans="46:46">
      <c r="AT1989"/>
    </row>
    <row r="1990" spans="46:46">
      <c r="AT1990"/>
    </row>
    <row r="1991" spans="46:46">
      <c r="AT1991"/>
    </row>
    <row r="1992" spans="46:46">
      <c r="AT1992"/>
    </row>
    <row r="1993" spans="46:46">
      <c r="AT1993"/>
    </row>
    <row r="1994" spans="46:46">
      <c r="AT1994"/>
    </row>
    <row r="1995" spans="46:46">
      <c r="AT1995"/>
    </row>
    <row r="1996" spans="46:46">
      <c r="AT1996"/>
    </row>
    <row r="1997" spans="46:46">
      <c r="AT1997"/>
    </row>
    <row r="1998" spans="46:46">
      <c r="AT1998"/>
    </row>
    <row r="1999" spans="46:46">
      <c r="AT1999"/>
    </row>
    <row r="2000" spans="46:46">
      <c r="AT2000"/>
    </row>
    <row r="2001" spans="46:46">
      <c r="AT2001"/>
    </row>
    <row r="2002" spans="46:46">
      <c r="AT2002"/>
    </row>
    <row r="2003" spans="46:46">
      <c r="AT2003"/>
    </row>
    <row r="2004" spans="46:46">
      <c r="AT2004"/>
    </row>
    <row r="2005" spans="46:46">
      <c r="AT2005"/>
    </row>
    <row r="2006" spans="46:46">
      <c r="AT2006"/>
    </row>
    <row r="2007" spans="46:46">
      <c r="AT2007"/>
    </row>
    <row r="2008" spans="46:46">
      <c r="AT2008"/>
    </row>
    <row r="2009" spans="46:46">
      <c r="AT2009"/>
    </row>
    <row r="2010" spans="46:46">
      <c r="AT2010"/>
    </row>
    <row r="2011" spans="46:46">
      <c r="AT2011"/>
    </row>
    <row r="2012" spans="46:46">
      <c r="AT2012"/>
    </row>
    <row r="2013" spans="46:46">
      <c r="AT2013"/>
    </row>
    <row r="2014" spans="46:46">
      <c r="AT2014"/>
    </row>
    <row r="2015" spans="46:46">
      <c r="AT2015"/>
    </row>
    <row r="2016" spans="46:46">
      <c r="AT2016"/>
    </row>
    <row r="2017" spans="46:46">
      <c r="AT2017"/>
    </row>
    <row r="2018" spans="46:46">
      <c r="AT2018"/>
    </row>
    <row r="2019" spans="46:46">
      <c r="AT2019"/>
    </row>
    <row r="2020" spans="46:46">
      <c r="AT2020"/>
    </row>
    <row r="2021" spans="46:46">
      <c r="AT2021"/>
    </row>
    <row r="2022" spans="46:46">
      <c r="AT2022"/>
    </row>
    <row r="2023" spans="46:46">
      <c r="AT2023"/>
    </row>
    <row r="2024" spans="46:46">
      <c r="AT2024"/>
    </row>
    <row r="2025" spans="46:46">
      <c r="AT2025"/>
    </row>
    <row r="2026" spans="46:46">
      <c r="AT2026"/>
    </row>
    <row r="2027" spans="46:46">
      <c r="AT2027"/>
    </row>
    <row r="2028" spans="46:46">
      <c r="AT2028"/>
    </row>
    <row r="2029" spans="46:46">
      <c r="AT2029"/>
    </row>
    <row r="2030" spans="46:46">
      <c r="AT2030"/>
    </row>
    <row r="2031" spans="46:46">
      <c r="AT2031"/>
    </row>
    <row r="2032" spans="46:46">
      <c r="AT2032"/>
    </row>
    <row r="2033" spans="46:46">
      <c r="AT2033"/>
    </row>
    <row r="2034" spans="46:46">
      <c r="AT2034"/>
    </row>
    <row r="2035" spans="46:46">
      <c r="AT2035"/>
    </row>
    <row r="2036" spans="46:46">
      <c r="AT2036"/>
    </row>
    <row r="2037" spans="46:46">
      <c r="AT2037"/>
    </row>
    <row r="2038" spans="46:46">
      <c r="AT2038"/>
    </row>
    <row r="2039" spans="46:46">
      <c r="AT2039"/>
    </row>
    <row r="2040" spans="46:46">
      <c r="AT2040"/>
    </row>
    <row r="2041" spans="46:46">
      <c r="AT2041"/>
    </row>
    <row r="2042" spans="46:46">
      <c r="AT2042"/>
    </row>
    <row r="2043" spans="46:46">
      <c r="AT2043"/>
    </row>
    <row r="2044" spans="46:46">
      <c r="AT2044"/>
    </row>
    <row r="2045" spans="46:46">
      <c r="AT2045"/>
    </row>
    <row r="2046" spans="46:46">
      <c r="AT2046"/>
    </row>
    <row r="2047" spans="46:46">
      <c r="AT2047"/>
    </row>
    <row r="2048" spans="46:46">
      <c r="AT2048"/>
    </row>
    <row r="2049" spans="46:46">
      <c r="AT2049"/>
    </row>
    <row r="2050" spans="46:46">
      <c r="AT2050"/>
    </row>
    <row r="2051" spans="46:46">
      <c r="AT2051"/>
    </row>
    <row r="2052" spans="46:46">
      <c r="AT2052"/>
    </row>
    <row r="2053" spans="46:46">
      <c r="AT2053"/>
    </row>
    <row r="2054" spans="46:46">
      <c r="AT2054"/>
    </row>
    <row r="2055" spans="46:46">
      <c r="AT2055"/>
    </row>
    <row r="2056" spans="46:46">
      <c r="AT2056"/>
    </row>
    <row r="2057" spans="46:46">
      <c r="AT2057"/>
    </row>
    <row r="2058" spans="46:46">
      <c r="AT2058"/>
    </row>
    <row r="2059" spans="46:46">
      <c r="AT2059"/>
    </row>
    <row r="2060" spans="46:46">
      <c r="AT2060"/>
    </row>
    <row r="2061" spans="46:46">
      <c r="AT2061"/>
    </row>
    <row r="2062" spans="46:46">
      <c r="AT2062"/>
    </row>
    <row r="2063" spans="46:46">
      <c r="AT2063"/>
    </row>
    <row r="2064" spans="46:46">
      <c r="AT2064"/>
    </row>
    <row r="2065" spans="46:46">
      <c r="AT2065"/>
    </row>
    <row r="2066" spans="46:46">
      <c r="AT2066"/>
    </row>
    <row r="2067" spans="46:46">
      <c r="AT2067"/>
    </row>
    <row r="2068" spans="46:46">
      <c r="AT2068"/>
    </row>
    <row r="2069" spans="46:46">
      <c r="AT2069"/>
    </row>
    <row r="2070" spans="46:46">
      <c r="AT2070"/>
    </row>
    <row r="2071" spans="46:46">
      <c r="AT2071"/>
    </row>
    <row r="2072" spans="46:46">
      <c r="AT2072"/>
    </row>
    <row r="2073" spans="46:46">
      <c r="AT2073"/>
    </row>
    <row r="2074" spans="46:46">
      <c r="AT2074"/>
    </row>
    <row r="2075" spans="46:46">
      <c r="AT2075"/>
    </row>
    <row r="2076" spans="46:46">
      <c r="AT2076"/>
    </row>
    <row r="2077" spans="46:46">
      <c r="AT2077"/>
    </row>
    <row r="2078" spans="46:46">
      <c r="AT2078"/>
    </row>
    <row r="2079" spans="46:46">
      <c r="AT2079"/>
    </row>
    <row r="2080" spans="46:46">
      <c r="AT2080"/>
    </row>
    <row r="2081" spans="46:46">
      <c r="AT2081"/>
    </row>
    <row r="2082" spans="46:46">
      <c r="AT2082"/>
    </row>
    <row r="2083" spans="46:46">
      <c r="AT2083"/>
    </row>
    <row r="2084" spans="46:46">
      <c r="AT2084"/>
    </row>
    <row r="2085" spans="46:46">
      <c r="AT2085"/>
    </row>
    <row r="2086" spans="46:46">
      <c r="AT2086"/>
    </row>
    <row r="2087" spans="46:46">
      <c r="AT2087"/>
    </row>
    <row r="2088" spans="46:46">
      <c r="AT2088"/>
    </row>
    <row r="2089" spans="46:46">
      <c r="AT2089"/>
    </row>
    <row r="2090" spans="46:46">
      <c r="AT2090"/>
    </row>
    <row r="2091" spans="46:46">
      <c r="AT2091"/>
    </row>
    <row r="2092" spans="46:46">
      <c r="AT2092"/>
    </row>
    <row r="2093" spans="46:46">
      <c r="AT2093"/>
    </row>
    <row r="2094" spans="46:46">
      <c r="AT2094"/>
    </row>
    <row r="2095" spans="46:46">
      <c r="AT2095"/>
    </row>
    <row r="2096" spans="46:46">
      <c r="AT2096"/>
    </row>
    <row r="2097" spans="46:46">
      <c r="AT2097"/>
    </row>
    <row r="2098" spans="46:46">
      <c r="AT2098"/>
    </row>
    <row r="2099" spans="46:46">
      <c r="AT2099"/>
    </row>
    <row r="2100" spans="46:46">
      <c r="AT2100"/>
    </row>
    <row r="2101" spans="46:46">
      <c r="AT2101"/>
    </row>
    <row r="2102" spans="46:46">
      <c r="AT2102"/>
    </row>
    <row r="2103" spans="46:46">
      <c r="AT2103"/>
    </row>
    <row r="2104" spans="46:46">
      <c r="AT2104"/>
    </row>
    <row r="2105" spans="46:46">
      <c r="AT2105"/>
    </row>
    <row r="2106" spans="46:46">
      <c r="AT2106"/>
    </row>
    <row r="2107" spans="46:46">
      <c r="AT2107"/>
    </row>
    <row r="2108" spans="46:46">
      <c r="AT2108"/>
    </row>
    <row r="2109" spans="46:46">
      <c r="AT2109"/>
    </row>
    <row r="2110" spans="46:46">
      <c r="AT2110"/>
    </row>
    <row r="2111" spans="46:46">
      <c r="AT2111"/>
    </row>
    <row r="2112" spans="46:46">
      <c r="AT2112"/>
    </row>
    <row r="2113" spans="46:46">
      <c r="AT2113"/>
    </row>
    <row r="2114" spans="46:46">
      <c r="AT2114"/>
    </row>
    <row r="2115" spans="46:46">
      <c r="AT2115"/>
    </row>
    <row r="2116" spans="46:46">
      <c r="AT2116"/>
    </row>
    <row r="2117" spans="46:46">
      <c r="AT2117"/>
    </row>
    <row r="2118" spans="46:46">
      <c r="AT2118"/>
    </row>
    <row r="2119" spans="46:46">
      <c r="AT2119"/>
    </row>
    <row r="2120" spans="46:46">
      <c r="AT2120"/>
    </row>
    <row r="2121" spans="46:46">
      <c r="AT2121"/>
    </row>
    <row r="2122" spans="46:46">
      <c r="AT2122"/>
    </row>
    <row r="2123" spans="46:46">
      <c r="AT2123"/>
    </row>
    <row r="2124" spans="46:46">
      <c r="AT2124"/>
    </row>
    <row r="2125" spans="46:46">
      <c r="AT2125"/>
    </row>
    <row r="2126" spans="46:46">
      <c r="AT2126"/>
    </row>
    <row r="2127" spans="46:46">
      <c r="AT2127"/>
    </row>
    <row r="2128" spans="46:46">
      <c r="AT2128"/>
    </row>
    <row r="2129" spans="46:46">
      <c r="AT2129"/>
    </row>
    <row r="2130" spans="46:46">
      <c r="AT2130"/>
    </row>
    <row r="2131" spans="46:46">
      <c r="AT2131"/>
    </row>
    <row r="2132" spans="46:46">
      <c r="AT2132"/>
    </row>
    <row r="2133" spans="46:46">
      <c r="AT2133"/>
    </row>
    <row r="2134" spans="46:46">
      <c r="AT2134"/>
    </row>
    <row r="2135" spans="46:46">
      <c r="AT2135"/>
    </row>
    <row r="2136" spans="46:46">
      <c r="AT2136"/>
    </row>
    <row r="2137" spans="46:46">
      <c r="AT2137"/>
    </row>
    <row r="2138" spans="46:46">
      <c r="AT2138"/>
    </row>
    <row r="2139" spans="46:46">
      <c r="AT2139"/>
    </row>
    <row r="2140" spans="46:46">
      <c r="AT2140"/>
    </row>
    <row r="2141" spans="46:46">
      <c r="AT2141"/>
    </row>
    <row r="2142" spans="46:46">
      <c r="AT2142"/>
    </row>
    <row r="2143" spans="46:46">
      <c r="AT2143"/>
    </row>
    <row r="2144" spans="46:46">
      <c r="AT2144"/>
    </row>
    <row r="2145" spans="46:46">
      <c r="AT2145"/>
    </row>
    <row r="2146" spans="46:46">
      <c r="AT2146"/>
    </row>
    <row r="2147" spans="46:46">
      <c r="AT2147"/>
    </row>
    <row r="2148" spans="46:46">
      <c r="AT2148"/>
    </row>
    <row r="2149" spans="46:46">
      <c r="AT2149"/>
    </row>
    <row r="2150" spans="46:46">
      <c r="AT2150"/>
    </row>
    <row r="2151" spans="46:46">
      <c r="AT2151"/>
    </row>
    <row r="2152" spans="46:46">
      <c r="AT2152"/>
    </row>
    <row r="2153" spans="46:46">
      <c r="AT2153"/>
    </row>
    <row r="2154" spans="46:46">
      <c r="AT2154"/>
    </row>
    <row r="2155" spans="46:46">
      <c r="AT2155"/>
    </row>
    <row r="2156" spans="46:46">
      <c r="AT2156"/>
    </row>
    <row r="2157" spans="46:46">
      <c r="AT2157"/>
    </row>
    <row r="2158" spans="46:46">
      <c r="AT2158"/>
    </row>
    <row r="2159" spans="46:46">
      <c r="AT2159"/>
    </row>
    <row r="2160" spans="46:46">
      <c r="AT2160"/>
    </row>
    <row r="2161" spans="46:46">
      <c r="AT2161"/>
    </row>
    <row r="2162" spans="46:46">
      <c r="AT2162"/>
    </row>
    <row r="2163" spans="46:46">
      <c r="AT2163"/>
    </row>
    <row r="2164" spans="46:46">
      <c r="AT2164"/>
    </row>
    <row r="2165" spans="46:46">
      <c r="AT2165"/>
    </row>
    <row r="2166" spans="46:46">
      <c r="AT2166"/>
    </row>
    <row r="2167" spans="46:46">
      <c r="AT2167"/>
    </row>
    <row r="2168" spans="46:46">
      <c r="AT2168"/>
    </row>
    <row r="2169" spans="46:46">
      <c r="AT2169"/>
    </row>
    <row r="2170" spans="46:46">
      <c r="AT2170"/>
    </row>
    <row r="2171" spans="46:46">
      <c r="AT2171"/>
    </row>
    <row r="2172" spans="46:46">
      <c r="AT2172"/>
    </row>
    <row r="2173" spans="46:46">
      <c r="AT2173"/>
    </row>
    <row r="2174" spans="46:46">
      <c r="AT2174"/>
    </row>
    <row r="2175" spans="46:46">
      <c r="AT2175"/>
    </row>
    <row r="2176" spans="46:46">
      <c r="AT2176"/>
    </row>
    <row r="2177" spans="46:46">
      <c r="AT2177"/>
    </row>
    <row r="2178" spans="46:46">
      <c r="AT2178"/>
    </row>
    <row r="2179" spans="46:46">
      <c r="AT2179"/>
    </row>
    <row r="2180" spans="46:46">
      <c r="AT2180"/>
    </row>
    <row r="2181" spans="46:46">
      <c r="AT2181"/>
    </row>
    <row r="2182" spans="46:46">
      <c r="AT2182"/>
    </row>
    <row r="2183" spans="46:46">
      <c r="AT2183"/>
    </row>
    <row r="2184" spans="46:46">
      <c r="AT2184"/>
    </row>
    <row r="2185" spans="46:46">
      <c r="AT2185"/>
    </row>
    <row r="2186" spans="46:46">
      <c r="AT2186"/>
    </row>
    <row r="2187" spans="46:46">
      <c r="AT2187"/>
    </row>
    <row r="2188" spans="46:46">
      <c r="AT2188"/>
    </row>
    <row r="2189" spans="46:46">
      <c r="AT2189"/>
    </row>
    <row r="2190" spans="46:46">
      <c r="AT2190"/>
    </row>
    <row r="2191" spans="46:46">
      <c r="AT2191"/>
    </row>
    <row r="2192" spans="46:46">
      <c r="AT2192"/>
    </row>
    <row r="2193" spans="46:46">
      <c r="AT2193"/>
    </row>
    <row r="2194" spans="46:46">
      <c r="AT2194"/>
    </row>
    <row r="2195" spans="46:46">
      <c r="AT2195"/>
    </row>
    <row r="2196" spans="46:46">
      <c r="AT2196"/>
    </row>
    <row r="2197" spans="46:46">
      <c r="AT2197"/>
    </row>
    <row r="2198" spans="46:46">
      <c r="AT2198"/>
    </row>
    <row r="2199" spans="46:46">
      <c r="AT2199"/>
    </row>
    <row r="2200" spans="46:46">
      <c r="AT2200"/>
    </row>
    <row r="2201" spans="46:46">
      <c r="AT2201"/>
    </row>
    <row r="2202" spans="46:46">
      <c r="AT2202"/>
    </row>
    <row r="2203" spans="46:46">
      <c r="AT2203"/>
    </row>
    <row r="2204" spans="46:46">
      <c r="AT2204"/>
    </row>
    <row r="2205" spans="46:46">
      <c r="AT2205"/>
    </row>
    <row r="2206" spans="46:46">
      <c r="AT2206"/>
    </row>
    <row r="2207" spans="46:46">
      <c r="AT2207"/>
    </row>
    <row r="2208" spans="46:46">
      <c r="AT2208"/>
    </row>
    <row r="2209" spans="46:46">
      <c r="AT2209"/>
    </row>
    <row r="2210" spans="46:46">
      <c r="AT2210"/>
    </row>
    <row r="2211" spans="46:46">
      <c r="AT2211"/>
    </row>
    <row r="2212" spans="46:46">
      <c r="AT2212"/>
    </row>
    <row r="2213" spans="46:46">
      <c r="AT2213"/>
    </row>
    <row r="2214" spans="46:46">
      <c r="AT2214"/>
    </row>
    <row r="2215" spans="46:46">
      <c r="AT2215"/>
    </row>
    <row r="2216" spans="46:46">
      <c r="AT2216"/>
    </row>
    <row r="2217" spans="46:46">
      <c r="AT2217"/>
    </row>
    <row r="2218" spans="46:46">
      <c r="AT2218"/>
    </row>
    <row r="2219" spans="46:46">
      <c r="AT2219"/>
    </row>
    <row r="2220" spans="46:46">
      <c r="AT2220"/>
    </row>
    <row r="2221" spans="46:46">
      <c r="AT2221"/>
    </row>
    <row r="2222" spans="46:46">
      <c r="AT2222"/>
    </row>
    <row r="2223" spans="46:46">
      <c r="AT2223"/>
    </row>
    <row r="2224" spans="46:46">
      <c r="AT2224"/>
    </row>
    <row r="2225" spans="46:46">
      <c r="AT2225"/>
    </row>
    <row r="2226" spans="46:46">
      <c r="AT2226"/>
    </row>
    <row r="2227" spans="46:46">
      <c r="AT2227"/>
    </row>
    <row r="2228" spans="46:46">
      <c r="AT2228"/>
    </row>
    <row r="2229" spans="46:46">
      <c r="AT2229"/>
    </row>
    <row r="2230" spans="46:46">
      <c r="AT2230"/>
    </row>
    <row r="2231" spans="46:46">
      <c r="AT2231"/>
    </row>
    <row r="2232" spans="46:46">
      <c r="AT2232"/>
    </row>
    <row r="2233" spans="46:46">
      <c r="AT2233"/>
    </row>
    <row r="2234" spans="46:46">
      <c r="AT2234"/>
    </row>
    <row r="2235" spans="46:46">
      <c r="AT2235"/>
    </row>
    <row r="2236" spans="46:46">
      <c r="AT2236"/>
    </row>
    <row r="2237" spans="46:46">
      <c r="AT2237"/>
    </row>
    <row r="2238" spans="46:46">
      <c r="AT2238"/>
    </row>
    <row r="2239" spans="46:46">
      <c r="AT2239"/>
    </row>
    <row r="2240" spans="46:46">
      <c r="AT2240"/>
    </row>
    <row r="2241" spans="46:46">
      <c r="AT2241"/>
    </row>
    <row r="2242" spans="46:46">
      <c r="AT2242"/>
    </row>
    <row r="2243" spans="46:46">
      <c r="AT2243"/>
    </row>
    <row r="2244" spans="46:46">
      <c r="AT2244"/>
    </row>
    <row r="2245" spans="46:46">
      <c r="AT2245"/>
    </row>
    <row r="2246" spans="46:46">
      <c r="AT2246"/>
    </row>
    <row r="2247" spans="46:46">
      <c r="AT2247"/>
    </row>
    <row r="2248" spans="46:46">
      <c r="AT2248"/>
    </row>
    <row r="2249" spans="46:46">
      <c r="AT2249"/>
    </row>
    <row r="2250" spans="46:46">
      <c r="AT2250"/>
    </row>
    <row r="2251" spans="46:46">
      <c r="AT2251"/>
    </row>
    <row r="2252" spans="46:46">
      <c r="AT2252"/>
    </row>
    <row r="2253" spans="46:46">
      <c r="AT2253"/>
    </row>
    <row r="2254" spans="46:46">
      <c r="AT2254"/>
    </row>
    <row r="2255" spans="46:46">
      <c r="AT2255"/>
    </row>
    <row r="2256" spans="46:46">
      <c r="AT2256"/>
    </row>
    <row r="2257" spans="46:46">
      <c r="AT2257"/>
    </row>
    <row r="2258" spans="46:46">
      <c r="AT2258"/>
    </row>
    <row r="2259" spans="46:46">
      <c r="AT2259"/>
    </row>
    <row r="2260" spans="46:46">
      <c r="AT2260"/>
    </row>
    <row r="2261" spans="46:46">
      <c r="AT2261"/>
    </row>
    <row r="2262" spans="46:46">
      <c r="AT2262"/>
    </row>
    <row r="2263" spans="46:46">
      <c r="AT2263"/>
    </row>
    <row r="2264" spans="46:46">
      <c r="AT2264"/>
    </row>
    <row r="2265" spans="46:46">
      <c r="AT2265"/>
    </row>
    <row r="2266" spans="46:46">
      <c r="AT2266"/>
    </row>
    <row r="2267" spans="46:46">
      <c r="AT2267"/>
    </row>
    <row r="2268" spans="46:46">
      <c r="AT2268"/>
    </row>
    <row r="2269" spans="46:46">
      <c r="AT2269"/>
    </row>
    <row r="2270" spans="46:46">
      <c r="AT2270"/>
    </row>
    <row r="2271" spans="46:46">
      <c r="AT2271"/>
    </row>
    <row r="2272" spans="46:46">
      <c r="AT2272"/>
    </row>
    <row r="2273" spans="46:46">
      <c r="AT2273"/>
    </row>
    <row r="2274" spans="46:46">
      <c r="AT2274"/>
    </row>
    <row r="2275" spans="46:46">
      <c r="AT2275"/>
    </row>
    <row r="2276" spans="46:46">
      <c r="AT2276"/>
    </row>
    <row r="2277" spans="46:46">
      <c r="AT2277"/>
    </row>
    <row r="2278" spans="46:46">
      <c r="AT2278"/>
    </row>
    <row r="2279" spans="46:46">
      <c r="AT2279"/>
    </row>
    <row r="2280" spans="46:46">
      <c r="AT2280"/>
    </row>
    <row r="2281" spans="46:46">
      <c r="AT2281"/>
    </row>
    <row r="2282" spans="46:46">
      <c r="AT2282"/>
    </row>
    <row r="2283" spans="46:46">
      <c r="AT2283"/>
    </row>
    <row r="2284" spans="46:46">
      <c r="AT2284"/>
    </row>
    <row r="2285" spans="46:46">
      <c r="AT2285"/>
    </row>
    <row r="2286" spans="46:46">
      <c r="AT2286"/>
    </row>
    <row r="2287" spans="46:46">
      <c r="AT2287"/>
    </row>
    <row r="2288" spans="46:46">
      <c r="AT2288"/>
    </row>
    <row r="2289" spans="46:46">
      <c r="AT2289"/>
    </row>
    <row r="2290" spans="46:46">
      <c r="AT2290"/>
    </row>
    <row r="2291" spans="46:46">
      <c r="AT2291"/>
    </row>
    <row r="2292" spans="46:46">
      <c r="AT2292"/>
    </row>
    <row r="2293" spans="46:46">
      <c r="AT2293"/>
    </row>
    <row r="2294" spans="46:46">
      <c r="AT2294"/>
    </row>
    <row r="2295" spans="46:46">
      <c r="AT2295"/>
    </row>
    <row r="2296" spans="46:46">
      <c r="AT2296"/>
    </row>
    <row r="2297" spans="46:46">
      <c r="AT2297"/>
    </row>
    <row r="2298" spans="46:46">
      <c r="AT2298"/>
    </row>
    <row r="2299" spans="46:46">
      <c r="AT2299"/>
    </row>
    <row r="2300" spans="46:46">
      <c r="AT2300"/>
    </row>
    <row r="2301" spans="46:46">
      <c r="AT2301"/>
    </row>
    <row r="2302" spans="46:46">
      <c r="AT2302"/>
    </row>
    <row r="2303" spans="46:46">
      <c r="AT2303"/>
    </row>
    <row r="2304" spans="46:46">
      <c r="AT2304"/>
    </row>
    <row r="2305" spans="46:46">
      <c r="AT2305"/>
    </row>
    <row r="2306" spans="46:46">
      <c r="AT2306"/>
    </row>
    <row r="2307" spans="46:46">
      <c r="AT2307"/>
    </row>
    <row r="2308" spans="46:46">
      <c r="AT2308"/>
    </row>
    <row r="2309" spans="46:46">
      <c r="AT2309"/>
    </row>
    <row r="2310" spans="46:46">
      <c r="AT2310"/>
    </row>
    <row r="2311" spans="46:46">
      <c r="AT2311"/>
    </row>
    <row r="2312" spans="46:46">
      <c r="AT2312"/>
    </row>
    <row r="2313" spans="46:46">
      <c r="AT2313"/>
    </row>
    <row r="2314" spans="46:46">
      <c r="AT2314"/>
    </row>
    <row r="2315" spans="46:46">
      <c r="AT2315"/>
    </row>
    <row r="2316" spans="46:46">
      <c r="AT2316"/>
    </row>
    <row r="2317" spans="46:46">
      <c r="AT2317"/>
    </row>
    <row r="2318" spans="46:46">
      <c r="AT2318"/>
    </row>
    <row r="2319" spans="46:46">
      <c r="AT2319"/>
    </row>
    <row r="2320" spans="46:46">
      <c r="AT2320"/>
    </row>
    <row r="2321" spans="46:46">
      <c r="AT2321"/>
    </row>
    <row r="2322" spans="46:46">
      <c r="AT2322"/>
    </row>
    <row r="2323" spans="46:46">
      <c r="AT2323"/>
    </row>
    <row r="2324" spans="46:46">
      <c r="AT2324"/>
    </row>
    <row r="2325" spans="46:46">
      <c r="AT2325"/>
    </row>
    <row r="2326" spans="46:46">
      <c r="AT2326"/>
    </row>
    <row r="2327" spans="46:46">
      <c r="AT2327"/>
    </row>
    <row r="2328" spans="46:46">
      <c r="AT2328"/>
    </row>
    <row r="2329" spans="46:46">
      <c r="AT2329"/>
    </row>
    <row r="2330" spans="46:46">
      <c r="AT2330"/>
    </row>
    <row r="2331" spans="46:46">
      <c r="AT2331"/>
    </row>
    <row r="2332" spans="46:46">
      <c r="AT2332"/>
    </row>
    <row r="2333" spans="46:46">
      <c r="AT2333"/>
    </row>
    <row r="2334" spans="46:46">
      <c r="AT2334"/>
    </row>
    <row r="2335" spans="46:46">
      <c r="AT2335"/>
    </row>
    <row r="2336" spans="46:46">
      <c r="AT2336"/>
    </row>
    <row r="2337" spans="46:46">
      <c r="AT2337"/>
    </row>
    <row r="2338" spans="46:46">
      <c r="AT2338"/>
    </row>
    <row r="2339" spans="46:46">
      <c r="AT2339"/>
    </row>
    <row r="2340" spans="46:46">
      <c r="AT2340"/>
    </row>
    <row r="2341" spans="46:46">
      <c r="AT2341"/>
    </row>
    <row r="2342" spans="46:46">
      <c r="AT2342"/>
    </row>
    <row r="2343" spans="46:46">
      <c r="AT2343"/>
    </row>
    <row r="2344" spans="46:46">
      <c r="AT2344"/>
    </row>
    <row r="2345" spans="46:46">
      <c r="AT2345"/>
    </row>
    <row r="2346" spans="46:46">
      <c r="AT2346"/>
    </row>
    <row r="2347" spans="46:46">
      <c r="AT2347"/>
    </row>
    <row r="2348" spans="46:46">
      <c r="AT2348"/>
    </row>
    <row r="2349" spans="46:46">
      <c r="AT2349"/>
    </row>
    <row r="2350" spans="46:46">
      <c r="AT2350"/>
    </row>
    <row r="2351" spans="46:46">
      <c r="AT2351"/>
    </row>
    <row r="2352" spans="46:46">
      <c r="AT2352"/>
    </row>
    <row r="2353" spans="46:46">
      <c r="AT2353"/>
    </row>
    <row r="2354" spans="46:46">
      <c r="AT2354"/>
    </row>
    <row r="2355" spans="46:46">
      <c r="AT2355"/>
    </row>
    <row r="2356" spans="46:46">
      <c r="AT2356"/>
    </row>
    <row r="2357" spans="46:46">
      <c r="AT2357"/>
    </row>
    <row r="2358" spans="46:46">
      <c r="AT2358"/>
    </row>
    <row r="2359" spans="46:46">
      <c r="AT2359"/>
    </row>
    <row r="2360" spans="46:46">
      <c r="AT2360"/>
    </row>
    <row r="2361" spans="46:46">
      <c r="AT2361"/>
    </row>
    <row r="2362" spans="46:46">
      <c r="AT2362"/>
    </row>
    <row r="2363" spans="46:46">
      <c r="AT2363"/>
    </row>
    <row r="2364" spans="46:46">
      <c r="AT2364"/>
    </row>
    <row r="2365" spans="46:46">
      <c r="AT2365"/>
    </row>
    <row r="2366" spans="46:46">
      <c r="AT2366"/>
    </row>
    <row r="2367" spans="46:46">
      <c r="AT2367"/>
    </row>
    <row r="2368" spans="46:46">
      <c r="AT2368"/>
    </row>
    <row r="2369" spans="46:46">
      <c r="AT2369"/>
    </row>
    <row r="2370" spans="46:46">
      <c r="AT2370"/>
    </row>
    <row r="2371" spans="46:46">
      <c r="AT2371"/>
    </row>
    <row r="2372" spans="46:46">
      <c r="AT2372"/>
    </row>
    <row r="2373" spans="46:46">
      <c r="AT2373"/>
    </row>
    <row r="2374" spans="46:46">
      <c r="AT2374"/>
    </row>
    <row r="2375" spans="46:46">
      <c r="AT2375"/>
    </row>
    <row r="2376" spans="46:46">
      <c r="AT2376"/>
    </row>
    <row r="2377" spans="46:46">
      <c r="AT2377"/>
    </row>
    <row r="2378" spans="46:46">
      <c r="AT2378"/>
    </row>
    <row r="2379" spans="46:46">
      <c r="AT2379"/>
    </row>
    <row r="2380" spans="46:46">
      <c r="AT2380"/>
    </row>
    <row r="2381" spans="46:46">
      <c r="AT2381"/>
    </row>
    <row r="2382" spans="46:46">
      <c r="AT2382"/>
    </row>
    <row r="2383" spans="46:46">
      <c r="AT2383"/>
    </row>
    <row r="2384" spans="46:46">
      <c r="AT2384"/>
    </row>
    <row r="2385" spans="46:46">
      <c r="AT2385"/>
    </row>
    <row r="2386" spans="46:46">
      <c r="AT2386"/>
    </row>
    <row r="2387" spans="46:46">
      <c r="AT2387"/>
    </row>
    <row r="2388" spans="46:46">
      <c r="AT2388"/>
    </row>
    <row r="2389" spans="46:46">
      <c r="AT2389"/>
    </row>
    <row r="2390" spans="46:46">
      <c r="AT2390"/>
    </row>
    <row r="2391" spans="46:46">
      <c r="AT2391"/>
    </row>
    <row r="2392" spans="46:46">
      <c r="AT2392"/>
    </row>
    <row r="2393" spans="46:46">
      <c r="AT2393"/>
    </row>
    <row r="2394" spans="46:46">
      <c r="AT2394"/>
    </row>
    <row r="2395" spans="46:46">
      <c r="AT2395"/>
    </row>
    <row r="2396" spans="46:46">
      <c r="AT2396"/>
    </row>
    <row r="2397" spans="46:46">
      <c r="AT2397"/>
    </row>
    <row r="2398" spans="46:46">
      <c r="AT2398"/>
    </row>
    <row r="2399" spans="46:46">
      <c r="AT2399"/>
    </row>
    <row r="2400" spans="46:46">
      <c r="AT2400"/>
    </row>
    <row r="2401" spans="46:46">
      <c r="AT2401"/>
    </row>
    <row r="2402" spans="46:46">
      <c r="AT2402"/>
    </row>
    <row r="2403" spans="46:46">
      <c r="AT2403"/>
    </row>
    <row r="2404" spans="46:46">
      <c r="AT2404"/>
    </row>
    <row r="2405" spans="46:46">
      <c r="AT2405"/>
    </row>
    <row r="2406" spans="46:46">
      <c r="AT2406"/>
    </row>
    <row r="2407" spans="46:46">
      <c r="AT2407"/>
    </row>
    <row r="2408" spans="46:46">
      <c r="AT2408"/>
    </row>
    <row r="2409" spans="46:46">
      <c r="AT2409"/>
    </row>
    <row r="2410" spans="46:46">
      <c r="AT2410"/>
    </row>
    <row r="2411" spans="46:46">
      <c r="AT2411"/>
    </row>
    <row r="2412" spans="46:46">
      <c r="AT2412"/>
    </row>
    <row r="2413" spans="46:46">
      <c r="AT2413"/>
    </row>
    <row r="2414" spans="46:46">
      <c r="AT2414"/>
    </row>
    <row r="2415" spans="46:46">
      <c r="AT2415"/>
    </row>
    <row r="2416" spans="46:46">
      <c r="AT2416"/>
    </row>
    <row r="2417" spans="46:46">
      <c r="AT2417"/>
    </row>
    <row r="2418" spans="46:46">
      <c r="AT2418"/>
    </row>
    <row r="2419" spans="46:46">
      <c r="AT2419"/>
    </row>
    <row r="2420" spans="46:46">
      <c r="AT2420"/>
    </row>
    <row r="2421" spans="46:46">
      <c r="AT2421"/>
    </row>
    <row r="2422" spans="46:46">
      <c r="AT2422"/>
    </row>
    <row r="2423" spans="46:46">
      <c r="AT2423"/>
    </row>
    <row r="2424" spans="46:46">
      <c r="AT2424"/>
    </row>
    <row r="2425" spans="46:46">
      <c r="AT2425"/>
    </row>
    <row r="2426" spans="46:46">
      <c r="AT2426"/>
    </row>
    <row r="2427" spans="46:46">
      <c r="AT2427"/>
    </row>
    <row r="2428" spans="46:46">
      <c r="AT2428"/>
    </row>
    <row r="2429" spans="46:46">
      <c r="AT2429"/>
    </row>
    <row r="2430" spans="46:46">
      <c r="AT2430"/>
    </row>
    <row r="2431" spans="46:46">
      <c r="AT2431"/>
    </row>
    <row r="2432" spans="46:46">
      <c r="AT2432"/>
    </row>
    <row r="2433" spans="46:46">
      <c r="AT2433"/>
    </row>
    <row r="2434" spans="46:46">
      <c r="AT2434"/>
    </row>
    <row r="2435" spans="46:46">
      <c r="AT2435"/>
    </row>
    <row r="2436" spans="46:46">
      <c r="AT2436"/>
    </row>
    <row r="2437" spans="46:46">
      <c r="AT2437"/>
    </row>
    <row r="2438" spans="46:46">
      <c r="AT2438"/>
    </row>
    <row r="2439" spans="46:46">
      <c r="AT2439"/>
    </row>
    <row r="2440" spans="46:46">
      <c r="AT2440"/>
    </row>
    <row r="2441" spans="46:46">
      <c r="AT2441"/>
    </row>
    <row r="2442" spans="46:46">
      <c r="AT2442"/>
    </row>
    <row r="2443" spans="46:46">
      <c r="AT2443"/>
    </row>
    <row r="2444" spans="46:46">
      <c r="AT2444"/>
    </row>
    <row r="2445" spans="46:46">
      <c r="AT2445"/>
    </row>
    <row r="2446" spans="46:46">
      <c r="AT2446"/>
    </row>
    <row r="2447" spans="46:46">
      <c r="AT2447"/>
    </row>
    <row r="2448" spans="46:46">
      <c r="AT2448"/>
    </row>
    <row r="2449" spans="46:46">
      <c r="AT2449"/>
    </row>
    <row r="2450" spans="46:46">
      <c r="AT2450"/>
    </row>
    <row r="2451" spans="46:46">
      <c r="AT2451"/>
    </row>
    <row r="2452" spans="46:46">
      <c r="AT2452"/>
    </row>
    <row r="2453" spans="46:46">
      <c r="AT2453"/>
    </row>
    <row r="2454" spans="46:46">
      <c r="AT2454"/>
    </row>
    <row r="2455" spans="46:46">
      <c r="AT2455"/>
    </row>
    <row r="2456" spans="46:46">
      <c r="AT2456"/>
    </row>
    <row r="2457" spans="46:46">
      <c r="AT2457"/>
    </row>
    <row r="2458" spans="46:46">
      <c r="AT2458"/>
    </row>
    <row r="2459" spans="46:46">
      <c r="AT2459"/>
    </row>
    <row r="2460" spans="46:46">
      <c r="AT2460"/>
    </row>
    <row r="2461" spans="46:46">
      <c r="AT2461"/>
    </row>
    <row r="2462" spans="46:46">
      <c r="AT2462"/>
    </row>
    <row r="2463" spans="46:46">
      <c r="AT2463"/>
    </row>
    <row r="2464" spans="46:46">
      <c r="AT2464"/>
    </row>
    <row r="2465" spans="46:46">
      <c r="AT2465"/>
    </row>
    <row r="2466" spans="46:46">
      <c r="AT2466"/>
    </row>
    <row r="2467" spans="46:46">
      <c r="AT2467"/>
    </row>
    <row r="2468" spans="46:46">
      <c r="AT2468"/>
    </row>
    <row r="2469" spans="46:46">
      <c r="AT2469"/>
    </row>
    <row r="2470" spans="46:46">
      <c r="AT2470"/>
    </row>
    <row r="2471" spans="46:46">
      <c r="AT2471"/>
    </row>
    <row r="2472" spans="46:46">
      <c r="AT2472"/>
    </row>
    <row r="2473" spans="46:46">
      <c r="AT2473"/>
    </row>
    <row r="2474" spans="46:46">
      <c r="AT2474"/>
    </row>
    <row r="2475" spans="46:46">
      <c r="AT2475"/>
    </row>
    <row r="2476" spans="46:46">
      <c r="AT2476"/>
    </row>
    <row r="2477" spans="46:46">
      <c r="AT2477"/>
    </row>
    <row r="2478" spans="46:46">
      <c r="AT2478"/>
    </row>
    <row r="2479" spans="46:46">
      <c r="AT2479"/>
    </row>
    <row r="2480" spans="46:46">
      <c r="AT2480"/>
    </row>
    <row r="2481" spans="46:46">
      <c r="AT2481"/>
    </row>
    <row r="2482" spans="46:46">
      <c r="AT2482"/>
    </row>
    <row r="2483" spans="46:46">
      <c r="AT2483"/>
    </row>
    <row r="2484" spans="46:46">
      <c r="AT2484"/>
    </row>
    <row r="2485" spans="46:46">
      <c r="AT2485"/>
    </row>
    <row r="2486" spans="46:46">
      <c r="AT2486"/>
    </row>
    <row r="2487" spans="46:46">
      <c r="AT2487"/>
    </row>
    <row r="2488" spans="46:46">
      <c r="AT2488"/>
    </row>
    <row r="2489" spans="46:46">
      <c r="AT2489"/>
    </row>
    <row r="2490" spans="46:46">
      <c r="AT2490"/>
    </row>
    <row r="2491" spans="46:46">
      <c r="AT2491"/>
    </row>
    <row r="2492" spans="46:46">
      <c r="AT2492"/>
    </row>
    <row r="2493" spans="46:46">
      <c r="AT2493"/>
    </row>
    <row r="2494" spans="46:46">
      <c r="AT2494"/>
    </row>
    <row r="2495" spans="46:46">
      <c r="AT2495"/>
    </row>
    <row r="2496" spans="46:46">
      <c r="AT2496"/>
    </row>
    <row r="2497" spans="46:46">
      <c r="AT2497"/>
    </row>
    <row r="2498" spans="46:46">
      <c r="AT2498"/>
    </row>
    <row r="2499" spans="46:46">
      <c r="AT2499"/>
    </row>
    <row r="2500" spans="46:46">
      <c r="AT2500"/>
    </row>
    <row r="2501" spans="46:46">
      <c r="AT2501"/>
    </row>
    <row r="2502" spans="46:46">
      <c r="AT2502"/>
    </row>
    <row r="2503" spans="46:46">
      <c r="AT2503"/>
    </row>
    <row r="2504" spans="46:46">
      <c r="AT2504"/>
    </row>
    <row r="2505" spans="46:46">
      <c r="AT2505"/>
    </row>
    <row r="2506" spans="46:46">
      <c r="AT2506"/>
    </row>
    <row r="2507" spans="46:46">
      <c r="AT2507"/>
    </row>
    <row r="2508" spans="46:46">
      <c r="AT2508"/>
    </row>
    <row r="2509" spans="46:46">
      <c r="AT2509"/>
    </row>
    <row r="2510" spans="46:46">
      <c r="AT2510"/>
    </row>
    <row r="2511" spans="46:46">
      <c r="AT2511"/>
    </row>
    <row r="2512" spans="46:46">
      <c r="AT2512"/>
    </row>
    <row r="2513" spans="46:46">
      <c r="AT2513"/>
    </row>
    <row r="2514" spans="46:46">
      <c r="AT2514"/>
    </row>
    <row r="2515" spans="46:46">
      <c r="AT2515"/>
    </row>
    <row r="2516" spans="46:46">
      <c r="AT2516"/>
    </row>
    <row r="2517" spans="46:46">
      <c r="AT2517"/>
    </row>
    <row r="2518" spans="46:46">
      <c r="AT2518"/>
    </row>
    <row r="2519" spans="46:46">
      <c r="AT2519"/>
    </row>
    <row r="2520" spans="46:46">
      <c r="AT2520"/>
    </row>
    <row r="2521" spans="46:46">
      <c r="AT2521"/>
    </row>
    <row r="2522" spans="46:46">
      <c r="AT2522"/>
    </row>
    <row r="2523" spans="46:46">
      <c r="AT2523"/>
    </row>
    <row r="2524" spans="46:46">
      <c r="AT2524"/>
    </row>
    <row r="2525" spans="46:46">
      <c r="AT2525"/>
    </row>
    <row r="2526" spans="46:46">
      <c r="AT2526"/>
    </row>
    <row r="2527" spans="46:46">
      <c r="AT2527"/>
    </row>
    <row r="2528" spans="46:46">
      <c r="AT2528"/>
    </row>
    <row r="2529" spans="46:46">
      <c r="AT2529"/>
    </row>
    <row r="2530" spans="46:46">
      <c r="AT2530"/>
    </row>
    <row r="2531" spans="46:46">
      <c r="AT2531"/>
    </row>
    <row r="2532" spans="46:46">
      <c r="AT2532"/>
    </row>
    <row r="2533" spans="46:46">
      <c r="AT2533"/>
    </row>
    <row r="2534" spans="46:46">
      <c r="AT2534"/>
    </row>
    <row r="2535" spans="46:46">
      <c r="AT2535"/>
    </row>
    <row r="2536" spans="46:46">
      <c r="AT2536"/>
    </row>
    <row r="2537" spans="46:46">
      <c r="AT2537"/>
    </row>
    <row r="2538" spans="46:46">
      <c r="AT2538"/>
    </row>
    <row r="2539" spans="46:46">
      <c r="AT2539"/>
    </row>
    <row r="2540" spans="46:46">
      <c r="AT2540"/>
    </row>
    <row r="2541" spans="46:46">
      <c r="AT2541"/>
    </row>
    <row r="2542" spans="46:46">
      <c r="AT2542"/>
    </row>
    <row r="2543" spans="46:46">
      <c r="AT2543"/>
    </row>
    <row r="2544" spans="46:46">
      <c r="AT2544"/>
    </row>
    <row r="2545" spans="46:46">
      <c r="AT2545"/>
    </row>
    <row r="2546" spans="46:46">
      <c r="AT2546"/>
    </row>
    <row r="2547" spans="46:46">
      <c r="AT2547"/>
    </row>
    <row r="2548" spans="46:46">
      <c r="AT2548"/>
    </row>
    <row r="2549" spans="46:46">
      <c r="AT2549"/>
    </row>
    <row r="2550" spans="46:46">
      <c r="AT2550"/>
    </row>
    <row r="2551" spans="46:46">
      <c r="AT2551"/>
    </row>
    <row r="2552" spans="46:46">
      <c r="AT2552"/>
    </row>
    <row r="2553" spans="46:46">
      <c r="AT2553"/>
    </row>
    <row r="2554" spans="46:46">
      <c r="AT2554"/>
    </row>
    <row r="2555" spans="46:46">
      <c r="AT2555"/>
    </row>
    <row r="2556" spans="46:46">
      <c r="AT2556"/>
    </row>
    <row r="2557" spans="46:46">
      <c r="AT2557"/>
    </row>
    <row r="2558" spans="46:46">
      <c r="AT2558"/>
    </row>
    <row r="2559" spans="46:46">
      <c r="AT2559"/>
    </row>
    <row r="2560" spans="46:46">
      <c r="AT2560"/>
    </row>
    <row r="2561" spans="46:46">
      <c r="AT2561"/>
    </row>
    <row r="2562" spans="46:46">
      <c r="AT2562"/>
    </row>
    <row r="2563" spans="46:46">
      <c r="AT2563"/>
    </row>
    <row r="2564" spans="46:46">
      <c r="AT2564"/>
    </row>
    <row r="2565" spans="46:46">
      <c r="AT2565"/>
    </row>
    <row r="2566" spans="46:46">
      <c r="AT2566"/>
    </row>
    <row r="2567" spans="46:46">
      <c r="AT2567"/>
    </row>
    <row r="2568" spans="46:46">
      <c r="AT2568"/>
    </row>
    <row r="2569" spans="46:46">
      <c r="AT2569"/>
    </row>
    <row r="2570" spans="46:46">
      <c r="AT2570"/>
    </row>
    <row r="2571" spans="46:46">
      <c r="AT2571"/>
    </row>
    <row r="2572" spans="46:46">
      <c r="AT2572"/>
    </row>
    <row r="2573" spans="46:46">
      <c r="AT2573"/>
    </row>
    <row r="2574" spans="46:46">
      <c r="AT2574"/>
    </row>
    <row r="2575" spans="46:46">
      <c r="AT2575"/>
    </row>
    <row r="2576" spans="46:46">
      <c r="AT2576"/>
    </row>
    <row r="2577" spans="46:46">
      <c r="AT2577"/>
    </row>
    <row r="2578" spans="46:46">
      <c r="AT2578"/>
    </row>
    <row r="2579" spans="46:46">
      <c r="AT2579"/>
    </row>
    <row r="2580" spans="46:46">
      <c r="AT2580"/>
    </row>
    <row r="2581" spans="46:46">
      <c r="AT2581"/>
    </row>
    <row r="2582" spans="46:46">
      <c r="AT2582"/>
    </row>
    <row r="2583" spans="46:46">
      <c r="AT2583"/>
    </row>
    <row r="2584" spans="46:46">
      <c r="AT2584"/>
    </row>
    <row r="2585" spans="46:46">
      <c r="AT2585"/>
    </row>
    <row r="2586" spans="46:46">
      <c r="AT2586"/>
    </row>
    <row r="2587" spans="46:46">
      <c r="AT2587"/>
    </row>
    <row r="2588" spans="46:46">
      <c r="AT2588"/>
    </row>
    <row r="2589" spans="46:46">
      <c r="AT2589"/>
    </row>
    <row r="2590" spans="46:46">
      <c r="AT2590"/>
    </row>
    <row r="2591" spans="46:46">
      <c r="AT2591"/>
    </row>
    <row r="2592" spans="46:46">
      <c r="AT2592"/>
    </row>
    <row r="2593" spans="46:46">
      <c r="AT2593"/>
    </row>
    <row r="2594" spans="46:46">
      <c r="AT2594"/>
    </row>
    <row r="2595" spans="46:46">
      <c r="AT2595"/>
    </row>
    <row r="2596" spans="46:46">
      <c r="AT2596"/>
    </row>
    <row r="2597" spans="46:46">
      <c r="AT2597"/>
    </row>
    <row r="2598" spans="46:46">
      <c r="AT2598"/>
    </row>
    <row r="2599" spans="46:46">
      <c r="AT2599"/>
    </row>
    <row r="2600" spans="46:46">
      <c r="AT2600"/>
    </row>
    <row r="2601" spans="46:46">
      <c r="AT2601"/>
    </row>
    <row r="2602" spans="46:46">
      <c r="AT2602"/>
    </row>
    <row r="2603" spans="46:46">
      <c r="AT2603"/>
    </row>
    <row r="2604" spans="46:46">
      <c r="AT2604"/>
    </row>
    <row r="2605" spans="46:46">
      <c r="AT2605"/>
    </row>
    <row r="2606" spans="46:46">
      <c r="AT2606"/>
    </row>
    <row r="2607" spans="46:46">
      <c r="AT2607"/>
    </row>
    <row r="2608" spans="46:46">
      <c r="AT2608"/>
    </row>
    <row r="2609" spans="46:46">
      <c r="AT2609"/>
    </row>
    <row r="2610" spans="46:46">
      <c r="AT2610"/>
    </row>
    <row r="2611" spans="46:46">
      <c r="AT2611"/>
    </row>
    <row r="2612" spans="46:46">
      <c r="AT2612"/>
    </row>
    <row r="2613" spans="46:46">
      <c r="AT2613"/>
    </row>
    <row r="2614" spans="46:46">
      <c r="AT2614"/>
    </row>
    <row r="2615" spans="46:46">
      <c r="AT2615"/>
    </row>
    <row r="2616" spans="46:46">
      <c r="AT2616"/>
    </row>
    <row r="2617" spans="46:46">
      <c r="AT2617"/>
    </row>
    <row r="2618" spans="46:46">
      <c r="AT2618"/>
    </row>
    <row r="2619" spans="46:46">
      <c r="AT2619"/>
    </row>
    <row r="2620" spans="46:46">
      <c r="AT2620"/>
    </row>
    <row r="2621" spans="46:46">
      <c r="AT2621"/>
    </row>
    <row r="2622" spans="46:46">
      <c r="AT2622"/>
    </row>
    <row r="2623" spans="46:46">
      <c r="AT2623"/>
    </row>
    <row r="2624" spans="46:46">
      <c r="AT2624"/>
    </row>
    <row r="2625" spans="46:46">
      <c r="AT2625"/>
    </row>
    <row r="2626" spans="46:46">
      <c r="AT2626"/>
    </row>
    <row r="2627" spans="46:46">
      <c r="AT2627"/>
    </row>
    <row r="2628" spans="46:46">
      <c r="AT2628"/>
    </row>
    <row r="2629" spans="46:46">
      <c r="AT2629"/>
    </row>
    <row r="2630" spans="46:46">
      <c r="AT2630"/>
    </row>
    <row r="2631" spans="46:46">
      <c r="AT2631"/>
    </row>
    <row r="2632" spans="46:46">
      <c r="AT2632"/>
    </row>
    <row r="2633" spans="46:46">
      <c r="AT2633"/>
    </row>
    <row r="2634" spans="46:46">
      <c r="AT2634"/>
    </row>
    <row r="2635" spans="46:46">
      <c r="AT2635"/>
    </row>
    <row r="2636" spans="46:46">
      <c r="AT2636"/>
    </row>
    <row r="2637" spans="46:46">
      <c r="AT2637"/>
    </row>
    <row r="2638" spans="46:46">
      <c r="AT2638"/>
    </row>
    <row r="2639" spans="46:46">
      <c r="AT2639"/>
    </row>
    <row r="2640" spans="46:46">
      <c r="AT2640"/>
    </row>
    <row r="2641" spans="46:46">
      <c r="AT2641"/>
    </row>
    <row r="2642" spans="46:46">
      <c r="AT2642"/>
    </row>
    <row r="2643" spans="46:46">
      <c r="AT2643"/>
    </row>
    <row r="2644" spans="46:46">
      <c r="AT2644"/>
    </row>
    <row r="2645" spans="46:46">
      <c r="AT2645"/>
    </row>
    <row r="2646" spans="46:46">
      <c r="AT2646"/>
    </row>
    <row r="2647" spans="46:46">
      <c r="AT2647"/>
    </row>
    <row r="2648" spans="46:46">
      <c r="AT2648"/>
    </row>
    <row r="2649" spans="46:46">
      <c r="AT2649"/>
    </row>
    <row r="2650" spans="46:46">
      <c r="AT2650"/>
    </row>
    <row r="2651" spans="46:46">
      <c r="AT2651"/>
    </row>
    <row r="2652" spans="46:46">
      <c r="AT2652"/>
    </row>
    <row r="2653" spans="46:46">
      <c r="AT2653"/>
    </row>
    <row r="2654" spans="46:46">
      <c r="AT2654"/>
    </row>
    <row r="2655" spans="46:46">
      <c r="AT2655"/>
    </row>
    <row r="2656" spans="46:46">
      <c r="AT2656"/>
    </row>
    <row r="2657" spans="46:46">
      <c r="AT2657"/>
    </row>
    <row r="2658" spans="46:46">
      <c r="AT2658"/>
    </row>
    <row r="2659" spans="46:46">
      <c r="AT2659"/>
    </row>
    <row r="2660" spans="46:46">
      <c r="AT2660"/>
    </row>
    <row r="2661" spans="46:46">
      <c r="AT2661"/>
    </row>
    <row r="2662" spans="46:46">
      <c r="AT2662"/>
    </row>
    <row r="2663" spans="46:46">
      <c r="AT2663"/>
    </row>
    <row r="2664" spans="46:46">
      <c r="AT2664"/>
    </row>
    <row r="2665" spans="46:46">
      <c r="AT2665"/>
    </row>
    <row r="2666" spans="46:46">
      <c r="AT2666"/>
    </row>
    <row r="2667" spans="46:46">
      <c r="AT2667"/>
    </row>
    <row r="2668" spans="46:46">
      <c r="AT2668"/>
    </row>
    <row r="2669" spans="46:46">
      <c r="AT2669"/>
    </row>
    <row r="2670" spans="46:46">
      <c r="AT2670"/>
    </row>
    <row r="2671" spans="46:46">
      <c r="AT2671"/>
    </row>
    <row r="2672" spans="46:46">
      <c r="AT2672"/>
    </row>
    <row r="2673" spans="46:46">
      <c r="AT2673"/>
    </row>
    <row r="2674" spans="46:46">
      <c r="AT2674"/>
    </row>
    <row r="2675" spans="46:46">
      <c r="AT2675"/>
    </row>
    <row r="2676" spans="46:46">
      <c r="AT2676"/>
    </row>
    <row r="2677" spans="46:46">
      <c r="AT2677"/>
    </row>
    <row r="2678" spans="46:46">
      <c r="AT2678"/>
    </row>
    <row r="2679" spans="46:46">
      <c r="AT2679"/>
    </row>
    <row r="2680" spans="46:46">
      <c r="AT2680"/>
    </row>
    <row r="2681" spans="46:46">
      <c r="AT2681"/>
    </row>
    <row r="2682" spans="46:46">
      <c r="AT2682"/>
    </row>
    <row r="2683" spans="46:46">
      <c r="AT2683"/>
    </row>
    <row r="2684" spans="46:46">
      <c r="AT2684"/>
    </row>
    <row r="2685" spans="46:46">
      <c r="AT2685"/>
    </row>
    <row r="2686" spans="46:46">
      <c r="AT2686"/>
    </row>
    <row r="2687" spans="46:46">
      <c r="AT2687"/>
    </row>
    <row r="2688" spans="46:46">
      <c r="AT2688"/>
    </row>
    <row r="2689" spans="46:46">
      <c r="AT2689"/>
    </row>
    <row r="2690" spans="46:46">
      <c r="AT2690"/>
    </row>
    <row r="2691" spans="46:46">
      <c r="AT2691"/>
    </row>
    <row r="2692" spans="46:46">
      <c r="AT2692"/>
    </row>
    <row r="2693" spans="46:46">
      <c r="AT2693"/>
    </row>
    <row r="2694" spans="46:46">
      <c r="AT2694"/>
    </row>
    <row r="2695" spans="46:46">
      <c r="AT2695"/>
    </row>
    <row r="2696" spans="46:46">
      <c r="AT2696"/>
    </row>
    <row r="2697" spans="46:46">
      <c r="AT2697"/>
    </row>
    <row r="2698" spans="46:46">
      <c r="AT2698"/>
    </row>
    <row r="2699" spans="46:46">
      <c r="AT2699"/>
    </row>
    <row r="2700" spans="46:46">
      <c r="AT2700"/>
    </row>
    <row r="2701" spans="46:46">
      <c r="AT2701"/>
    </row>
    <row r="2702" spans="46:46">
      <c r="AT2702"/>
    </row>
    <row r="2703" spans="46:46">
      <c r="AT2703"/>
    </row>
    <row r="2704" spans="46:46">
      <c r="AT2704"/>
    </row>
    <row r="2705" spans="46:46">
      <c r="AT2705"/>
    </row>
    <row r="2706" spans="46:46">
      <c r="AT2706"/>
    </row>
    <row r="2707" spans="46:46">
      <c r="AT2707"/>
    </row>
    <row r="2708" spans="46:46">
      <c r="AT2708"/>
    </row>
    <row r="2709" spans="46:46">
      <c r="AT2709"/>
    </row>
    <row r="2710" spans="46:46">
      <c r="AT2710"/>
    </row>
    <row r="2711" spans="46:46">
      <c r="AT2711"/>
    </row>
    <row r="2712" spans="46:46">
      <c r="AT2712"/>
    </row>
    <row r="2713" spans="46:46">
      <c r="AT2713"/>
    </row>
    <row r="2714" spans="46:46">
      <c r="AT2714"/>
    </row>
    <row r="2715" spans="46:46">
      <c r="AT2715"/>
    </row>
    <row r="2716" spans="46:46">
      <c r="AT2716"/>
    </row>
    <row r="2717" spans="46:46">
      <c r="AT2717"/>
    </row>
    <row r="2718" spans="46:46">
      <c r="AT2718"/>
    </row>
    <row r="2719" spans="46:46">
      <c r="AT2719"/>
    </row>
    <row r="2720" spans="46:46">
      <c r="AT2720"/>
    </row>
    <row r="2721" spans="46:46">
      <c r="AT2721"/>
    </row>
    <row r="2722" spans="46:46">
      <c r="AT2722"/>
    </row>
    <row r="2723" spans="46:46">
      <c r="AT2723"/>
    </row>
    <row r="2724" spans="46:46">
      <c r="AT2724"/>
    </row>
    <row r="2725" spans="46:46">
      <c r="AT2725"/>
    </row>
    <row r="2726" spans="46:46">
      <c r="AT2726"/>
    </row>
    <row r="2727" spans="46:46">
      <c r="AT2727"/>
    </row>
    <row r="2728" spans="46:46">
      <c r="AT2728"/>
    </row>
    <row r="2729" spans="46:46">
      <c r="AT2729"/>
    </row>
    <row r="2730" spans="46:46">
      <c r="AT2730"/>
    </row>
    <row r="2731" spans="46:46">
      <c r="AT2731"/>
    </row>
    <row r="2732" spans="46:46">
      <c r="AT2732"/>
    </row>
    <row r="2733" spans="46:46">
      <c r="AT2733"/>
    </row>
    <row r="2734" spans="46:46">
      <c r="AT2734"/>
    </row>
    <row r="2735" spans="46:46">
      <c r="AT2735"/>
    </row>
    <row r="2736" spans="46:46">
      <c r="AT2736"/>
    </row>
    <row r="2737" spans="46:46">
      <c r="AT2737"/>
    </row>
    <row r="2738" spans="46:46">
      <c r="AT2738"/>
    </row>
    <row r="2739" spans="46:46">
      <c r="AT2739"/>
    </row>
    <row r="2740" spans="46:46">
      <c r="AT2740"/>
    </row>
    <row r="2741" spans="46:46">
      <c r="AT2741"/>
    </row>
    <row r="2742" spans="46:46">
      <c r="AT2742"/>
    </row>
    <row r="2743" spans="46:46">
      <c r="AT2743"/>
    </row>
    <row r="2744" spans="46:46">
      <c r="AT2744"/>
    </row>
    <row r="2745" spans="46:46">
      <c r="AT2745"/>
    </row>
    <row r="2746" spans="46:46">
      <c r="AT2746"/>
    </row>
    <row r="2747" spans="46:46">
      <c r="AT2747"/>
    </row>
    <row r="2748" spans="46:46">
      <c r="AT2748"/>
    </row>
    <row r="2749" spans="46:46">
      <c r="AT2749"/>
    </row>
    <row r="2750" spans="46:46">
      <c r="AT2750"/>
    </row>
    <row r="2751" spans="46:46">
      <c r="AT2751"/>
    </row>
    <row r="2752" spans="46:46">
      <c r="AT2752"/>
    </row>
    <row r="2753" spans="46:46">
      <c r="AT2753"/>
    </row>
    <row r="2754" spans="46:46">
      <c r="AT2754"/>
    </row>
    <row r="2755" spans="46:46">
      <c r="AT2755"/>
    </row>
    <row r="2756" spans="46:46">
      <c r="AT2756"/>
    </row>
    <row r="2757" spans="46:46">
      <c r="AT2757"/>
    </row>
    <row r="2758" spans="46:46">
      <c r="AT2758"/>
    </row>
    <row r="2759" spans="46:46">
      <c r="AT2759"/>
    </row>
    <row r="2760" spans="46:46">
      <c r="AT2760"/>
    </row>
    <row r="2761" spans="46:46">
      <c r="AT2761"/>
    </row>
    <row r="2762" spans="46:46">
      <c r="AT2762"/>
    </row>
    <row r="2763" spans="46:46">
      <c r="AT2763"/>
    </row>
    <row r="2764" spans="46:46">
      <c r="AT2764"/>
    </row>
    <row r="2765" spans="46:46">
      <c r="AT2765"/>
    </row>
    <row r="2766" spans="46:46">
      <c r="AT2766"/>
    </row>
    <row r="2767" spans="46:46">
      <c r="AT2767"/>
    </row>
    <row r="2768" spans="46:46">
      <c r="AT2768"/>
    </row>
    <row r="2769" spans="46:46">
      <c r="AT2769"/>
    </row>
    <row r="2770" spans="46:46">
      <c r="AT2770"/>
    </row>
    <row r="2771" spans="46:46">
      <c r="AT2771"/>
    </row>
    <row r="2772" spans="46:46">
      <c r="AT2772"/>
    </row>
    <row r="2773" spans="46:46">
      <c r="AT2773"/>
    </row>
    <row r="2774" spans="46:46">
      <c r="AT2774"/>
    </row>
    <row r="2775" spans="46:46">
      <c r="AT2775"/>
    </row>
    <row r="2776" spans="46:46">
      <c r="AT2776"/>
    </row>
    <row r="2777" spans="46:46">
      <c r="AT2777"/>
    </row>
    <row r="2778" spans="46:46">
      <c r="AT2778"/>
    </row>
    <row r="2779" spans="46:46">
      <c r="AT2779"/>
    </row>
    <row r="2780" spans="46:46">
      <c r="AT2780"/>
    </row>
    <row r="2781" spans="46:46">
      <c r="AT2781"/>
    </row>
    <row r="2782" spans="46:46">
      <c r="AT2782"/>
    </row>
    <row r="2783" spans="46:46">
      <c r="AT2783"/>
    </row>
    <row r="2784" spans="46:46">
      <c r="AT2784"/>
    </row>
    <row r="2785" spans="46:46">
      <c r="AT2785"/>
    </row>
    <row r="2786" spans="46:46">
      <c r="AT2786"/>
    </row>
    <row r="2787" spans="46:46">
      <c r="AT2787"/>
    </row>
    <row r="2788" spans="46:46">
      <c r="AT2788"/>
    </row>
    <row r="2789" spans="46:46">
      <c r="AT2789"/>
    </row>
    <row r="2790" spans="46:46">
      <c r="AT2790"/>
    </row>
    <row r="2791" spans="46:46">
      <c r="AT2791"/>
    </row>
    <row r="2792" spans="46:46">
      <c r="AT2792"/>
    </row>
    <row r="2793" spans="46:46">
      <c r="AT2793"/>
    </row>
    <row r="2794" spans="46:46">
      <c r="AT2794"/>
    </row>
    <row r="2795" spans="46:46">
      <c r="AT2795"/>
    </row>
    <row r="2796" spans="46:46">
      <c r="AT2796"/>
    </row>
    <row r="2797" spans="46:46">
      <c r="AT2797"/>
    </row>
    <row r="2798" spans="46:46">
      <c r="AT2798"/>
    </row>
    <row r="2799" spans="46:46">
      <c r="AT2799"/>
    </row>
    <row r="2800" spans="46:46">
      <c r="AT2800"/>
    </row>
    <row r="2801" spans="46:46">
      <c r="AT2801"/>
    </row>
    <row r="2802" spans="46:46">
      <c r="AT2802"/>
    </row>
    <row r="2803" spans="46:46">
      <c r="AT2803"/>
    </row>
    <row r="2804" spans="46:46">
      <c r="AT2804"/>
    </row>
    <row r="2805" spans="46:46">
      <c r="AT2805"/>
    </row>
    <row r="2806" spans="46:46">
      <c r="AT2806"/>
    </row>
    <row r="2807" spans="46:46">
      <c r="AT2807"/>
    </row>
    <row r="2808" spans="46:46">
      <c r="AT2808"/>
    </row>
    <row r="2809" spans="46:46">
      <c r="AT2809"/>
    </row>
    <row r="2810" spans="46:46">
      <c r="AT2810"/>
    </row>
    <row r="2811" spans="46:46">
      <c r="AT2811"/>
    </row>
    <row r="2812" spans="46:46">
      <c r="AT2812"/>
    </row>
    <row r="2813" spans="46:46">
      <c r="AT2813"/>
    </row>
    <row r="2814" spans="46:46">
      <c r="AT2814"/>
    </row>
    <row r="2815" spans="46:46">
      <c r="AT2815"/>
    </row>
    <row r="2816" spans="46:46">
      <c r="AT2816"/>
    </row>
    <row r="2817" spans="46:46">
      <c r="AT2817"/>
    </row>
    <row r="2818" spans="46:46">
      <c r="AT2818"/>
    </row>
    <row r="2819" spans="46:46">
      <c r="AT2819"/>
    </row>
    <row r="2820" spans="46:46">
      <c r="AT2820"/>
    </row>
    <row r="2821" spans="46:46">
      <c r="AT2821"/>
    </row>
    <row r="2822" spans="46:46">
      <c r="AT2822"/>
    </row>
    <row r="2823" spans="46:46">
      <c r="AT2823"/>
    </row>
    <row r="2824" spans="46:46">
      <c r="AT2824"/>
    </row>
    <row r="2825" spans="46:46">
      <c r="AT2825"/>
    </row>
    <row r="2826" spans="46:46">
      <c r="AT2826"/>
    </row>
    <row r="2827" spans="46:46">
      <c r="AT2827"/>
    </row>
    <row r="2828" spans="46:46">
      <c r="AT2828"/>
    </row>
    <row r="2829" spans="46:46">
      <c r="AT2829"/>
    </row>
    <row r="2830" spans="46:46">
      <c r="AT2830"/>
    </row>
    <row r="2831" spans="46:46">
      <c r="AT2831"/>
    </row>
    <row r="2832" spans="46:46">
      <c r="AT2832"/>
    </row>
    <row r="2833" spans="46:46">
      <c r="AT2833"/>
    </row>
    <row r="2834" spans="46:46">
      <c r="AT2834"/>
    </row>
    <row r="2835" spans="46:46">
      <c r="AT2835"/>
    </row>
    <row r="2836" spans="46:46">
      <c r="AT2836"/>
    </row>
    <row r="2837" spans="46:46">
      <c r="AT2837"/>
    </row>
    <row r="2838" spans="46:46">
      <c r="AT2838"/>
    </row>
    <row r="2839" spans="46:46">
      <c r="AT2839"/>
    </row>
    <row r="2840" spans="46:46">
      <c r="AT2840"/>
    </row>
    <row r="2841" spans="46:46">
      <c r="AT2841"/>
    </row>
    <row r="2842" spans="46:46">
      <c r="AT2842"/>
    </row>
    <row r="2843" spans="46:46">
      <c r="AT2843"/>
    </row>
    <row r="2844" spans="46:46">
      <c r="AT2844"/>
    </row>
    <row r="2845" spans="46:46">
      <c r="AT2845"/>
    </row>
    <row r="2846" spans="46:46">
      <c r="AT2846"/>
    </row>
    <row r="2847" spans="46:46">
      <c r="AT2847"/>
    </row>
    <row r="2848" spans="46:46">
      <c r="AT2848"/>
    </row>
    <row r="2849" spans="46:46">
      <c r="AT2849"/>
    </row>
    <row r="2850" spans="46:46">
      <c r="AT2850"/>
    </row>
    <row r="2851" spans="46:46">
      <c r="AT2851"/>
    </row>
    <row r="2852" spans="46:46">
      <c r="AT2852"/>
    </row>
    <row r="2853" spans="46:46">
      <c r="AT2853"/>
    </row>
    <row r="2854" spans="46:46">
      <c r="AT2854"/>
    </row>
    <row r="2855" spans="46:46">
      <c r="AT2855"/>
    </row>
    <row r="2856" spans="46:46">
      <c r="AT2856"/>
    </row>
    <row r="2857" spans="46:46">
      <c r="AT2857"/>
    </row>
    <row r="2858" spans="46:46">
      <c r="AT2858"/>
    </row>
    <row r="2859" spans="46:46">
      <c r="AT2859"/>
    </row>
    <row r="2860" spans="46:46">
      <c r="AT2860"/>
    </row>
    <row r="2861" spans="46:46">
      <c r="AT2861"/>
    </row>
    <row r="2862" spans="46:46">
      <c r="AT2862"/>
    </row>
    <row r="2863" spans="46:46">
      <c r="AT2863"/>
    </row>
    <row r="2864" spans="46:46">
      <c r="AT2864"/>
    </row>
    <row r="2865" spans="46:46">
      <c r="AT2865"/>
    </row>
    <row r="2866" spans="46:46">
      <c r="AT2866"/>
    </row>
    <row r="2867" spans="46:46">
      <c r="AT2867"/>
    </row>
    <row r="2868" spans="46:46">
      <c r="AT2868"/>
    </row>
    <row r="2869" spans="46:46">
      <c r="AT2869"/>
    </row>
    <row r="2870" spans="46:46">
      <c r="AT2870"/>
    </row>
    <row r="2871" spans="46:46">
      <c r="AT2871"/>
    </row>
    <row r="2872" spans="46:46">
      <c r="AT2872"/>
    </row>
    <row r="2873" spans="46:46">
      <c r="AT2873"/>
    </row>
    <row r="2874" spans="46:46">
      <c r="AT2874"/>
    </row>
    <row r="2875" spans="46:46">
      <c r="AT2875"/>
    </row>
    <row r="2876" spans="46:46">
      <c r="AT2876"/>
    </row>
    <row r="2877" spans="46:46">
      <c r="AT2877"/>
    </row>
    <row r="2878" spans="46:46">
      <c r="AT2878"/>
    </row>
    <row r="2879" spans="46:46">
      <c r="AT2879"/>
    </row>
    <row r="2880" spans="46:46">
      <c r="AT2880"/>
    </row>
    <row r="2881" spans="46:46">
      <c r="AT2881"/>
    </row>
    <row r="2882" spans="46:46">
      <c r="AT2882"/>
    </row>
    <row r="2883" spans="46:46">
      <c r="AT2883"/>
    </row>
    <row r="2884" spans="46:46">
      <c r="AT2884"/>
    </row>
    <row r="2885" spans="46:46">
      <c r="AT2885"/>
    </row>
    <row r="2886" spans="46:46">
      <c r="AT2886"/>
    </row>
    <row r="2887" spans="46:46">
      <c r="AT2887"/>
    </row>
    <row r="2888" spans="46:46">
      <c r="AT2888"/>
    </row>
    <row r="2889" spans="46:46">
      <c r="AT2889"/>
    </row>
    <row r="2890" spans="46:46">
      <c r="AT2890"/>
    </row>
    <row r="2891" spans="46:46">
      <c r="AT2891"/>
    </row>
    <row r="2892" spans="46:46">
      <c r="AT2892"/>
    </row>
    <row r="2893" spans="46:46">
      <c r="AT2893"/>
    </row>
    <row r="2894" spans="46:46">
      <c r="AT2894"/>
    </row>
    <row r="2895" spans="46:46">
      <c r="AT2895"/>
    </row>
    <row r="2896" spans="46:46">
      <c r="AT2896"/>
    </row>
    <row r="2897" spans="46:46">
      <c r="AT2897"/>
    </row>
    <row r="2898" spans="46:46">
      <c r="AT2898"/>
    </row>
    <row r="2899" spans="46:46">
      <c r="AT2899"/>
    </row>
    <row r="2900" spans="46:46">
      <c r="AT2900"/>
    </row>
    <row r="2901" spans="46:46">
      <c r="AT2901"/>
    </row>
    <row r="2902" spans="46:46">
      <c r="AT2902"/>
    </row>
    <row r="2903" spans="46:46">
      <c r="AT2903"/>
    </row>
    <row r="2904" spans="46:46">
      <c r="AT2904"/>
    </row>
    <row r="2905" spans="46:46">
      <c r="AT2905"/>
    </row>
    <row r="2906" spans="46:46">
      <c r="AT2906"/>
    </row>
    <row r="2907" spans="46:46">
      <c r="AT2907"/>
    </row>
    <row r="2908" spans="46:46">
      <c r="AT2908"/>
    </row>
    <row r="2909" spans="46:46">
      <c r="AT2909"/>
    </row>
    <row r="2910" spans="46:46">
      <c r="AT2910"/>
    </row>
    <row r="2911" spans="46:46">
      <c r="AT2911"/>
    </row>
    <row r="2912" spans="46:46">
      <c r="AT2912"/>
    </row>
    <row r="2913" spans="46:46">
      <c r="AT2913"/>
    </row>
    <row r="2914" spans="46:46">
      <c r="AT2914"/>
    </row>
    <row r="2915" spans="46:46">
      <c r="AT2915"/>
    </row>
    <row r="2916" spans="46:46">
      <c r="AT2916"/>
    </row>
    <row r="2917" spans="46:46">
      <c r="AT2917"/>
    </row>
    <row r="2918" spans="46:46">
      <c r="AT2918"/>
    </row>
    <row r="2919" spans="46:46">
      <c r="AT2919"/>
    </row>
    <row r="2920" spans="46:46">
      <c r="AT2920"/>
    </row>
    <row r="2921" spans="46:46">
      <c r="AT2921"/>
    </row>
    <row r="2922" spans="46:46">
      <c r="AT2922"/>
    </row>
    <row r="2923" spans="46:46">
      <c r="AT2923"/>
    </row>
    <row r="2924" spans="46:46">
      <c r="AT2924"/>
    </row>
    <row r="2925" spans="46:46">
      <c r="AT2925"/>
    </row>
    <row r="2926" spans="46:46">
      <c r="AT2926"/>
    </row>
    <row r="2927" spans="46:46">
      <c r="AT2927"/>
    </row>
    <row r="2928" spans="46:46">
      <c r="AT2928"/>
    </row>
    <row r="2929" spans="46:46">
      <c r="AT2929"/>
    </row>
    <row r="2930" spans="46:46">
      <c r="AT2930"/>
    </row>
    <row r="2931" spans="46:46">
      <c r="AT2931"/>
    </row>
    <row r="2932" spans="46:46">
      <c r="AT2932"/>
    </row>
    <row r="2933" spans="46:46">
      <c r="AT2933"/>
    </row>
    <row r="2934" spans="46:46">
      <c r="AT2934"/>
    </row>
    <row r="2935" spans="46:46">
      <c r="AT2935"/>
    </row>
    <row r="2936" spans="46:46">
      <c r="AT2936"/>
    </row>
    <row r="2937" spans="46:46">
      <c r="AT2937"/>
    </row>
    <row r="2938" spans="46:46">
      <c r="AT2938"/>
    </row>
    <row r="2939" spans="46:46">
      <c r="AT2939"/>
    </row>
    <row r="2940" spans="46:46">
      <c r="AT2940"/>
    </row>
    <row r="2941" spans="46:46">
      <c r="AT2941"/>
    </row>
    <row r="2942" spans="46:46">
      <c r="AT2942"/>
    </row>
    <row r="2943" spans="46:46">
      <c r="AT2943"/>
    </row>
    <row r="2944" spans="46:46">
      <c r="AT2944"/>
    </row>
    <row r="2945" spans="46:46">
      <c r="AT2945"/>
    </row>
    <row r="2946" spans="46:46">
      <c r="AT2946"/>
    </row>
    <row r="2947" spans="46:46">
      <c r="AT2947"/>
    </row>
    <row r="2948" spans="46:46">
      <c r="AT2948"/>
    </row>
    <row r="2949" spans="46:46">
      <c r="AT2949"/>
    </row>
    <row r="2950" spans="46:46">
      <c r="AT2950"/>
    </row>
    <row r="2951" spans="46:46">
      <c r="AT2951"/>
    </row>
    <row r="2952" spans="46:46">
      <c r="AT2952"/>
    </row>
    <row r="2953" spans="46:46">
      <c r="AT2953"/>
    </row>
    <row r="2954" spans="46:46">
      <c r="AT2954"/>
    </row>
    <row r="2955" spans="46:46">
      <c r="AT2955"/>
    </row>
    <row r="2956" spans="46:46">
      <c r="AT2956"/>
    </row>
    <row r="2957" spans="46:46">
      <c r="AT2957"/>
    </row>
    <row r="2958" spans="46:46">
      <c r="AT2958"/>
    </row>
    <row r="2959" spans="46:46">
      <c r="AT2959"/>
    </row>
    <row r="2960" spans="46:46">
      <c r="AT2960"/>
    </row>
    <row r="2961" spans="46:46">
      <c r="AT2961"/>
    </row>
    <row r="2962" spans="46:46">
      <c r="AT2962"/>
    </row>
    <row r="2963" spans="46:46">
      <c r="AT2963"/>
    </row>
    <row r="2964" spans="46:46">
      <c r="AT2964"/>
    </row>
    <row r="2965" spans="46:46">
      <c r="AT2965"/>
    </row>
    <row r="2966" spans="46:46">
      <c r="AT2966"/>
    </row>
    <row r="2967" spans="46:46">
      <c r="AT2967"/>
    </row>
    <row r="2968" spans="46:46">
      <c r="AT2968"/>
    </row>
    <row r="2969" spans="46:46">
      <c r="AT2969"/>
    </row>
    <row r="2970" spans="46:46">
      <c r="AT2970"/>
    </row>
    <row r="2971" spans="46:46">
      <c r="AT2971"/>
    </row>
    <row r="2972" spans="46:46">
      <c r="AT2972"/>
    </row>
    <row r="2973" spans="46:46">
      <c r="AT2973"/>
    </row>
    <row r="2974" spans="46:46">
      <c r="AT2974"/>
    </row>
    <row r="2975" spans="46:46">
      <c r="AT2975"/>
    </row>
    <row r="2976" spans="46:46">
      <c r="AT2976"/>
    </row>
    <row r="2977" spans="46:46">
      <c r="AT2977"/>
    </row>
    <row r="2978" spans="46:46">
      <c r="AT2978"/>
    </row>
    <row r="2979" spans="46:46">
      <c r="AT2979"/>
    </row>
    <row r="2980" spans="46:46">
      <c r="AT2980"/>
    </row>
    <row r="2981" spans="46:46">
      <c r="AT2981"/>
    </row>
    <row r="2982" spans="46:46">
      <c r="AT2982"/>
    </row>
    <row r="2983" spans="46:46">
      <c r="AT2983"/>
    </row>
    <row r="2984" spans="46:46">
      <c r="AT2984"/>
    </row>
    <row r="2985" spans="46:46">
      <c r="AT2985"/>
    </row>
    <row r="2986" spans="46:46">
      <c r="AT2986"/>
    </row>
    <row r="2987" spans="46:46">
      <c r="AT2987"/>
    </row>
    <row r="2988" spans="46:46">
      <c r="AT2988"/>
    </row>
    <row r="2989" spans="46:46">
      <c r="AT2989"/>
    </row>
    <row r="2990" spans="46:46">
      <c r="AT2990"/>
    </row>
    <row r="2991" spans="46:46">
      <c r="AT2991"/>
    </row>
    <row r="2992" spans="46:46">
      <c r="AT2992"/>
    </row>
    <row r="2993" spans="46:46">
      <c r="AT2993"/>
    </row>
    <row r="2994" spans="46:46">
      <c r="AT2994"/>
    </row>
    <row r="2995" spans="46:46">
      <c r="AT2995"/>
    </row>
    <row r="2996" spans="46:46">
      <c r="AT2996"/>
    </row>
    <row r="2997" spans="46:46">
      <c r="AT2997"/>
    </row>
    <row r="2998" spans="46:46">
      <c r="AT2998"/>
    </row>
    <row r="2999" spans="46:46">
      <c r="AT2999"/>
    </row>
    <row r="3000" spans="46:46">
      <c r="AT3000"/>
    </row>
    <row r="3001" spans="46:46">
      <c r="AT3001"/>
    </row>
    <row r="3002" spans="46:46">
      <c r="AT3002"/>
    </row>
    <row r="3003" spans="46:46">
      <c r="AT3003"/>
    </row>
    <row r="3004" spans="46:46">
      <c r="AT3004"/>
    </row>
    <row r="3005" spans="46:46">
      <c r="AT3005"/>
    </row>
    <row r="3006" spans="46:46">
      <c r="AT3006"/>
    </row>
    <row r="3007" spans="46:46">
      <c r="AT3007"/>
    </row>
    <row r="3008" spans="46:46">
      <c r="AT3008"/>
    </row>
    <row r="3009" spans="46:46">
      <c r="AT3009"/>
    </row>
    <row r="3010" spans="46:46">
      <c r="AT3010"/>
    </row>
    <row r="3011" spans="46:46">
      <c r="AT3011"/>
    </row>
    <row r="3012" spans="46:46">
      <c r="AT3012"/>
    </row>
    <row r="3013" spans="46:46">
      <c r="AT3013"/>
    </row>
    <row r="3014" spans="46:46">
      <c r="AT3014"/>
    </row>
    <row r="3015" spans="46:46">
      <c r="AT3015"/>
    </row>
    <row r="3016" spans="46:46">
      <c r="AT3016"/>
    </row>
    <row r="3017" spans="46:46">
      <c r="AT3017"/>
    </row>
    <row r="3018" spans="46:46">
      <c r="AT3018"/>
    </row>
    <row r="3019" spans="46:46">
      <c r="AT3019"/>
    </row>
    <row r="3020" spans="46:46">
      <c r="AT3020"/>
    </row>
    <row r="3021" spans="46:46">
      <c r="AT3021"/>
    </row>
    <row r="3022" spans="46:46">
      <c r="AT3022"/>
    </row>
    <row r="3023" spans="46:46">
      <c r="AT3023"/>
    </row>
    <row r="3024" spans="46:46">
      <c r="AT3024"/>
    </row>
    <row r="3025" spans="46:46">
      <c r="AT3025"/>
    </row>
    <row r="3026" spans="46:46">
      <c r="AT3026"/>
    </row>
    <row r="3027" spans="46:46">
      <c r="AT3027"/>
    </row>
    <row r="3028" spans="46:46">
      <c r="AT3028"/>
    </row>
    <row r="3029" spans="46:46">
      <c r="AT3029"/>
    </row>
    <row r="3030" spans="46:46">
      <c r="AT3030"/>
    </row>
    <row r="3031" spans="46:46">
      <c r="AT3031"/>
    </row>
    <row r="3032" spans="46:46">
      <c r="AT3032"/>
    </row>
    <row r="3033" spans="46:46">
      <c r="AT3033"/>
    </row>
    <row r="3034" spans="46:46">
      <c r="AT3034"/>
    </row>
    <row r="3035" spans="46:46">
      <c r="AT3035"/>
    </row>
    <row r="3036" spans="46:46">
      <c r="AT3036"/>
    </row>
    <row r="3037" spans="46:46">
      <c r="AT3037"/>
    </row>
    <row r="3038" spans="46:46">
      <c r="AT3038"/>
    </row>
    <row r="3039" spans="46:46">
      <c r="AT3039"/>
    </row>
    <row r="3040" spans="46:46">
      <c r="AT3040"/>
    </row>
    <row r="3041" spans="46:46">
      <c r="AT3041"/>
    </row>
    <row r="3042" spans="46:46">
      <c r="AT3042"/>
    </row>
    <row r="3043" spans="46:46">
      <c r="AT3043"/>
    </row>
    <row r="3044" spans="46:46">
      <c r="AT3044"/>
    </row>
    <row r="3045" spans="46:46">
      <c r="AT3045"/>
    </row>
    <row r="3046" spans="46:46">
      <c r="AT3046"/>
    </row>
    <row r="3047" spans="46:46">
      <c r="AT3047"/>
    </row>
    <row r="3048" spans="46:46">
      <c r="AT3048"/>
    </row>
    <row r="3049" spans="46:46">
      <c r="AT3049"/>
    </row>
    <row r="3050" spans="46:46">
      <c r="AT3050"/>
    </row>
    <row r="3051" spans="46:46">
      <c r="AT3051"/>
    </row>
    <row r="3052" spans="46:46">
      <c r="AT3052"/>
    </row>
    <row r="3053" spans="46:46">
      <c r="AT3053"/>
    </row>
    <row r="3054" spans="46:46">
      <c r="AT3054"/>
    </row>
    <row r="3055" spans="46:46">
      <c r="AT3055"/>
    </row>
    <row r="3056" spans="46:46">
      <c r="AT3056"/>
    </row>
    <row r="3057" spans="46:46">
      <c r="AT3057"/>
    </row>
    <row r="3058" spans="46:46">
      <c r="AT3058"/>
    </row>
    <row r="3059" spans="46:46">
      <c r="AT3059"/>
    </row>
    <row r="3060" spans="46:46">
      <c r="AT3060"/>
    </row>
    <row r="3061" spans="46:46">
      <c r="AT3061"/>
    </row>
    <row r="3062" spans="46:46">
      <c r="AT3062"/>
    </row>
    <row r="3063" spans="46:46">
      <c r="AT3063"/>
    </row>
    <row r="3064" spans="46:46">
      <c r="AT3064"/>
    </row>
    <row r="3065" spans="46:46">
      <c r="AT3065"/>
    </row>
    <row r="3066" spans="46:46">
      <c r="AT3066"/>
    </row>
    <row r="3067" spans="46:46">
      <c r="AT3067"/>
    </row>
    <row r="3068" spans="46:46">
      <c r="AT3068"/>
    </row>
    <row r="3069" spans="46:46">
      <c r="AT3069"/>
    </row>
    <row r="3070" spans="46:46">
      <c r="AT3070"/>
    </row>
    <row r="3071" spans="46:46">
      <c r="AT3071"/>
    </row>
    <row r="3072" spans="46:46">
      <c r="AT3072"/>
    </row>
    <row r="3073" spans="46:46">
      <c r="AT3073"/>
    </row>
    <row r="3074" spans="46:46">
      <c r="AT3074"/>
    </row>
    <row r="3075" spans="46:46">
      <c r="AT3075"/>
    </row>
    <row r="3076" spans="46:46">
      <c r="AT3076"/>
    </row>
    <row r="3077" spans="46:46">
      <c r="AT3077"/>
    </row>
    <row r="3078" spans="46:46">
      <c r="AT3078"/>
    </row>
    <row r="3079" spans="46:46">
      <c r="AT3079"/>
    </row>
    <row r="3080" spans="46:46">
      <c r="AT3080"/>
    </row>
    <row r="3081" spans="46:46">
      <c r="AT3081"/>
    </row>
    <row r="3082" spans="46:46">
      <c r="AT3082"/>
    </row>
    <row r="3083" spans="46:46">
      <c r="AT3083"/>
    </row>
    <row r="3084" spans="46:46">
      <c r="AT3084"/>
    </row>
    <row r="3085" spans="46:46">
      <c r="AT3085"/>
    </row>
    <row r="3086" spans="46:46">
      <c r="AT3086"/>
    </row>
    <row r="3087" spans="46:46">
      <c r="AT3087"/>
    </row>
    <row r="3088" spans="46:46">
      <c r="AT3088"/>
    </row>
    <row r="3089" spans="46:46">
      <c r="AT3089"/>
    </row>
    <row r="3090" spans="46:46">
      <c r="AT3090"/>
    </row>
    <row r="3091" spans="46:46">
      <c r="AT3091"/>
    </row>
    <row r="3092" spans="46:46">
      <c r="AT3092"/>
    </row>
    <row r="3093" spans="46:46">
      <c r="AT3093"/>
    </row>
    <row r="3094" spans="46:46">
      <c r="AT3094"/>
    </row>
    <row r="3095" spans="46:46">
      <c r="AT3095"/>
    </row>
    <row r="3096" spans="46:46">
      <c r="AT3096"/>
    </row>
    <row r="3097" spans="46:46">
      <c r="AT3097"/>
    </row>
    <row r="3098" spans="46:46">
      <c r="AT3098"/>
    </row>
    <row r="3099" spans="46:46">
      <c r="AT3099"/>
    </row>
    <row r="3100" spans="46:46">
      <c r="AT3100"/>
    </row>
    <row r="3101" spans="46:46">
      <c r="AT3101"/>
    </row>
    <row r="3102" spans="46:46">
      <c r="AT3102"/>
    </row>
    <row r="3103" spans="46:46">
      <c r="AT3103"/>
    </row>
    <row r="3104" spans="46:46">
      <c r="AT3104"/>
    </row>
    <row r="3105" spans="46:46">
      <c r="AT3105"/>
    </row>
    <row r="3106" spans="46:46">
      <c r="AT3106"/>
    </row>
    <row r="3107" spans="46:46">
      <c r="AT3107"/>
    </row>
    <row r="3108" spans="46:46">
      <c r="AT3108"/>
    </row>
    <row r="3109" spans="46:46">
      <c r="AT3109"/>
    </row>
    <row r="3110" spans="46:46">
      <c r="AT3110"/>
    </row>
    <row r="3111" spans="46:46">
      <c r="AT3111"/>
    </row>
    <row r="3112" spans="46:46">
      <c r="AT3112"/>
    </row>
    <row r="3113" spans="46:46">
      <c r="AT3113"/>
    </row>
    <row r="3114" spans="46:46">
      <c r="AT3114"/>
    </row>
    <row r="3115" spans="46:46">
      <c r="AT3115"/>
    </row>
    <row r="3116" spans="46:46">
      <c r="AT3116"/>
    </row>
    <row r="3117" spans="46:46">
      <c r="AT3117"/>
    </row>
    <row r="3118" spans="46:46">
      <c r="AT3118"/>
    </row>
    <row r="3119" spans="46:46">
      <c r="AT3119"/>
    </row>
    <row r="3120" spans="46:46">
      <c r="AT3120"/>
    </row>
    <row r="3121" spans="46:46">
      <c r="AT3121"/>
    </row>
    <row r="3122" spans="46:46">
      <c r="AT3122"/>
    </row>
    <row r="3123" spans="46:46">
      <c r="AT3123"/>
    </row>
    <row r="3124" spans="46:46">
      <c r="AT3124"/>
    </row>
    <row r="3125" spans="46:46">
      <c r="AT3125"/>
    </row>
    <row r="3126" spans="46:46">
      <c r="AT3126"/>
    </row>
    <row r="3127" spans="46:46">
      <c r="AT3127"/>
    </row>
    <row r="3128" spans="46:46">
      <c r="AT3128"/>
    </row>
    <row r="3129" spans="46:46">
      <c r="AT3129"/>
    </row>
    <row r="3130" spans="46:46">
      <c r="AT3130"/>
    </row>
    <row r="3131" spans="46:46">
      <c r="AT3131"/>
    </row>
    <row r="3132" spans="46:46">
      <c r="AT3132"/>
    </row>
    <row r="3133" spans="46:46">
      <c r="AT3133"/>
    </row>
    <row r="3134" spans="46:46">
      <c r="AT3134"/>
    </row>
    <row r="3135" spans="46:46">
      <c r="AT3135"/>
    </row>
    <row r="3136" spans="46:46">
      <c r="AT3136"/>
    </row>
    <row r="3137" spans="46:46">
      <c r="AT3137"/>
    </row>
    <row r="3138" spans="46:46">
      <c r="AT3138"/>
    </row>
    <row r="3139" spans="46:46">
      <c r="AT3139"/>
    </row>
    <row r="3140" spans="46:46">
      <c r="AT3140"/>
    </row>
    <row r="3141" spans="46:46">
      <c r="AT3141"/>
    </row>
    <row r="3142" spans="46:46">
      <c r="AT3142"/>
    </row>
    <row r="3143" spans="46:46">
      <c r="AT3143"/>
    </row>
    <row r="3144" spans="46:46">
      <c r="AT3144"/>
    </row>
    <row r="3145" spans="46:46">
      <c r="AT3145"/>
    </row>
    <row r="3146" spans="46:46">
      <c r="AT3146"/>
    </row>
    <row r="3147" spans="46:46">
      <c r="AT3147"/>
    </row>
    <row r="3148" spans="46:46">
      <c r="AT3148"/>
    </row>
    <row r="3149" spans="46:46">
      <c r="AT3149"/>
    </row>
    <row r="3150" spans="46:46">
      <c r="AT3150"/>
    </row>
    <row r="3151" spans="46:46">
      <c r="AT3151"/>
    </row>
    <row r="3152" spans="46:46">
      <c r="AT3152"/>
    </row>
    <row r="3153" spans="46:46">
      <c r="AT3153"/>
    </row>
    <row r="3154" spans="46:46">
      <c r="AT3154"/>
    </row>
    <row r="3155" spans="46:46">
      <c r="AT3155"/>
    </row>
    <row r="3156" spans="46:46">
      <c r="AT3156"/>
    </row>
    <row r="3157" spans="46:46">
      <c r="AT3157"/>
    </row>
    <row r="3158" spans="46:46">
      <c r="AT3158"/>
    </row>
    <row r="3159" spans="46:46">
      <c r="AT3159"/>
    </row>
    <row r="3160" spans="46:46">
      <c r="AT3160"/>
    </row>
    <row r="3161" spans="46:46">
      <c r="AT3161"/>
    </row>
    <row r="3162" spans="46:46">
      <c r="AT3162"/>
    </row>
    <row r="3163" spans="46:46">
      <c r="AT3163"/>
    </row>
    <row r="3164" spans="46:46">
      <c r="AT3164"/>
    </row>
    <row r="3165" spans="46:46">
      <c r="AT3165"/>
    </row>
    <row r="3166" spans="46:46">
      <c r="AT3166"/>
    </row>
    <row r="3167" spans="46:46">
      <c r="AT3167"/>
    </row>
    <row r="3168" spans="46:46">
      <c r="AT3168"/>
    </row>
    <row r="3169" spans="46:46">
      <c r="AT3169"/>
    </row>
    <row r="3170" spans="46:46">
      <c r="AT3170"/>
    </row>
    <row r="3171" spans="46:46">
      <c r="AT3171"/>
    </row>
    <row r="3172" spans="46:46">
      <c r="AT3172"/>
    </row>
    <row r="3173" spans="46:46">
      <c r="AT3173"/>
    </row>
    <row r="3174" spans="46:46">
      <c r="AT3174"/>
    </row>
    <row r="3175" spans="46:46">
      <c r="AT3175"/>
    </row>
    <row r="3176" spans="46:46">
      <c r="AT3176"/>
    </row>
    <row r="3177" spans="46:46">
      <c r="AT3177"/>
    </row>
    <row r="3178" spans="46:46">
      <c r="AT3178"/>
    </row>
    <row r="3179" spans="46:46">
      <c r="AT3179"/>
    </row>
    <row r="3180" spans="46:46">
      <c r="AT3180"/>
    </row>
    <row r="3181" spans="46:46">
      <c r="AT3181"/>
    </row>
    <row r="3182" spans="46:46">
      <c r="AT3182"/>
    </row>
    <row r="3183" spans="46:46">
      <c r="AT3183"/>
    </row>
    <row r="3184" spans="46:46">
      <c r="AT3184"/>
    </row>
    <row r="3185" spans="46:46">
      <c r="AT3185"/>
    </row>
    <row r="3186" spans="46:46">
      <c r="AT3186"/>
    </row>
    <row r="3187" spans="46:46">
      <c r="AT3187"/>
    </row>
    <row r="3188" spans="46:46">
      <c r="AT3188"/>
    </row>
    <row r="3189" spans="46:46">
      <c r="AT3189"/>
    </row>
    <row r="3190" spans="46:46">
      <c r="AT3190"/>
    </row>
    <row r="3191" spans="46:46">
      <c r="AT3191"/>
    </row>
    <row r="3192" spans="46:46">
      <c r="AT3192"/>
    </row>
    <row r="3193" spans="46:46">
      <c r="AT3193"/>
    </row>
    <row r="3194" spans="46:46">
      <c r="AT3194"/>
    </row>
    <row r="3195" spans="46:46">
      <c r="AT3195"/>
    </row>
    <row r="3196" spans="46:46">
      <c r="AT3196"/>
    </row>
    <row r="3197" spans="46:46">
      <c r="AT3197"/>
    </row>
    <row r="3198" spans="46:46">
      <c r="AT3198"/>
    </row>
    <row r="3199" spans="46:46">
      <c r="AT3199"/>
    </row>
    <row r="3200" spans="46:46">
      <c r="AT3200"/>
    </row>
    <row r="3201" spans="46:46">
      <c r="AT3201"/>
    </row>
    <row r="3202" spans="46:46">
      <c r="AT3202"/>
    </row>
    <row r="3203" spans="46:46">
      <c r="AT3203"/>
    </row>
    <row r="3204" spans="46:46">
      <c r="AT3204"/>
    </row>
    <row r="3205" spans="46:46">
      <c r="AT3205"/>
    </row>
    <row r="3206" spans="46:46">
      <c r="AT3206"/>
    </row>
    <row r="3207" spans="46:46">
      <c r="AT3207"/>
    </row>
    <row r="3208" spans="46:46">
      <c r="AT3208"/>
    </row>
    <row r="3209" spans="46:46">
      <c r="AT3209"/>
    </row>
    <row r="3210" spans="46:46">
      <c r="AT3210"/>
    </row>
    <row r="3211" spans="46:46">
      <c r="AT3211"/>
    </row>
    <row r="3212" spans="46:46">
      <c r="AT3212"/>
    </row>
    <row r="3213" spans="46:46">
      <c r="AT3213"/>
    </row>
    <row r="3214" spans="46:46">
      <c r="AT3214"/>
    </row>
    <row r="3215" spans="46:46">
      <c r="AT3215"/>
    </row>
    <row r="3216" spans="46:46">
      <c r="AT3216"/>
    </row>
    <row r="3217" spans="46:46">
      <c r="AT3217"/>
    </row>
    <row r="3218" spans="46:46">
      <c r="AT3218"/>
    </row>
    <row r="3219" spans="46:46">
      <c r="AT3219"/>
    </row>
    <row r="3220" spans="46:46">
      <c r="AT3220"/>
    </row>
    <row r="3221" spans="46:46">
      <c r="AT3221"/>
    </row>
    <row r="3222" spans="46:46">
      <c r="AT3222"/>
    </row>
    <row r="3223" spans="46:46">
      <c r="AT3223"/>
    </row>
    <row r="3224" spans="46:46">
      <c r="AT3224"/>
    </row>
    <row r="3225" spans="46:46">
      <c r="AT3225"/>
    </row>
    <row r="3226" spans="46:46">
      <c r="AT3226"/>
    </row>
    <row r="3227" spans="46:46">
      <c r="AT3227"/>
    </row>
    <row r="3228" spans="46:46">
      <c r="AT3228"/>
    </row>
    <row r="3229" spans="46:46">
      <c r="AT3229"/>
    </row>
    <row r="3230" spans="46:46">
      <c r="AT3230"/>
    </row>
    <row r="3231" spans="46:46">
      <c r="AT3231"/>
    </row>
    <row r="3232" spans="46:46">
      <c r="AT3232"/>
    </row>
    <row r="3233" spans="46:46">
      <c r="AT3233"/>
    </row>
    <row r="3234" spans="46:46">
      <c r="AT3234"/>
    </row>
    <row r="3235" spans="46:46">
      <c r="AT3235"/>
    </row>
    <row r="3236" spans="46:46">
      <c r="AT3236"/>
    </row>
    <row r="3237" spans="46:46">
      <c r="AT3237"/>
    </row>
    <row r="3238" spans="46:46">
      <c r="AT3238"/>
    </row>
    <row r="3239" spans="46:46">
      <c r="AT3239"/>
    </row>
    <row r="3240" spans="46:46">
      <c r="AT3240"/>
    </row>
    <row r="3241" spans="46:46">
      <c r="AT3241"/>
    </row>
    <row r="3242" spans="46:46">
      <c r="AT3242"/>
    </row>
    <row r="3243" spans="46:46">
      <c r="AT3243"/>
    </row>
    <row r="3244" spans="46:46">
      <c r="AT3244"/>
    </row>
    <row r="3245" spans="46:46">
      <c r="AT3245"/>
    </row>
    <row r="3246" spans="46:46">
      <c r="AT3246"/>
    </row>
    <row r="3247" spans="46:46">
      <c r="AT3247"/>
    </row>
    <row r="3248" spans="46:46">
      <c r="AT3248"/>
    </row>
    <row r="3249" spans="46:46">
      <c r="AT3249"/>
    </row>
    <row r="3250" spans="46:46">
      <c r="AT3250"/>
    </row>
    <row r="3251" spans="46:46">
      <c r="AT3251"/>
    </row>
    <row r="3252" spans="46:46">
      <c r="AT3252"/>
    </row>
    <row r="3253" spans="46:46">
      <c r="AT3253"/>
    </row>
    <row r="3254" spans="46:46">
      <c r="AT3254"/>
    </row>
    <row r="3255" spans="46:46">
      <c r="AT3255"/>
    </row>
    <row r="3256" spans="46:46">
      <c r="AT3256"/>
    </row>
    <row r="3257" spans="46:46">
      <c r="AT3257"/>
    </row>
    <row r="3258" spans="46:46">
      <c r="AT3258"/>
    </row>
    <row r="3259" spans="46:46">
      <c r="AT3259"/>
    </row>
    <row r="3260" spans="46:46">
      <c r="AT3260"/>
    </row>
    <row r="3261" spans="46:46">
      <c r="AT3261"/>
    </row>
    <row r="3262" spans="46:46">
      <c r="AT3262"/>
    </row>
    <row r="3263" spans="46:46">
      <c r="AT3263"/>
    </row>
    <row r="3264" spans="46:46">
      <c r="AT3264"/>
    </row>
    <row r="3265" spans="46:46">
      <c r="AT3265"/>
    </row>
    <row r="3266" spans="46:46">
      <c r="AT3266"/>
    </row>
    <row r="3267" spans="46:46">
      <c r="AT3267"/>
    </row>
    <row r="3268" spans="46:46">
      <c r="AT3268"/>
    </row>
    <row r="3269" spans="46:46">
      <c r="AT3269"/>
    </row>
    <row r="3270" spans="46:46">
      <c r="AT3270"/>
    </row>
    <row r="3271" spans="46:46">
      <c r="AT3271"/>
    </row>
    <row r="3272" spans="46:46">
      <c r="AT3272"/>
    </row>
    <row r="3273" spans="46:46">
      <c r="AT3273"/>
    </row>
    <row r="3274" spans="46:46">
      <c r="AT3274"/>
    </row>
    <row r="3275" spans="46:46">
      <c r="AT3275"/>
    </row>
    <row r="3276" spans="46:46">
      <c r="AT3276"/>
    </row>
    <row r="3277" spans="46:46">
      <c r="AT3277"/>
    </row>
    <row r="3278" spans="46:46">
      <c r="AT3278"/>
    </row>
    <row r="3279" spans="46:46">
      <c r="AT3279"/>
    </row>
    <row r="3280" spans="46:46">
      <c r="AT3280"/>
    </row>
    <row r="3281" spans="46:46">
      <c r="AT3281"/>
    </row>
    <row r="3282" spans="46:46">
      <c r="AT3282"/>
    </row>
    <row r="3283" spans="46:46">
      <c r="AT3283"/>
    </row>
    <row r="3284" spans="46:46">
      <c r="AT3284"/>
    </row>
    <row r="3285" spans="46:46">
      <c r="AT3285"/>
    </row>
    <row r="3286" spans="46:46">
      <c r="AT3286"/>
    </row>
    <row r="3287" spans="46:46">
      <c r="AT3287"/>
    </row>
    <row r="3288" spans="46:46">
      <c r="AT3288"/>
    </row>
    <row r="3289" spans="46:46">
      <c r="AT3289"/>
    </row>
    <row r="3290" spans="46:46">
      <c r="AT3290"/>
    </row>
    <row r="3291" spans="46:46">
      <c r="AT3291"/>
    </row>
    <row r="3292" spans="46:46">
      <c r="AT3292"/>
    </row>
    <row r="3293" spans="46:46">
      <c r="AT3293"/>
    </row>
    <row r="3294" spans="46:46">
      <c r="AT3294"/>
    </row>
    <row r="3295" spans="46:46">
      <c r="AT3295"/>
    </row>
    <row r="3296" spans="46:46">
      <c r="AT3296"/>
    </row>
    <row r="3297" spans="46:46">
      <c r="AT3297"/>
    </row>
    <row r="3298" spans="46:46">
      <c r="AT3298"/>
    </row>
    <row r="3299" spans="46:46">
      <c r="AT3299"/>
    </row>
    <row r="3300" spans="46:46">
      <c r="AT3300"/>
    </row>
    <row r="3301" spans="46:46">
      <c r="AT3301"/>
    </row>
    <row r="3302" spans="46:46">
      <c r="AT3302"/>
    </row>
    <row r="3303" spans="46:46">
      <c r="AT3303"/>
    </row>
    <row r="3304" spans="46:46">
      <c r="AT3304"/>
    </row>
    <row r="3305" spans="46:46">
      <c r="AT3305"/>
    </row>
    <row r="3306" spans="46:46">
      <c r="AT3306"/>
    </row>
    <row r="3307" spans="46:46">
      <c r="AT3307"/>
    </row>
    <row r="3308" spans="46:46">
      <c r="AT3308"/>
    </row>
    <row r="3309" spans="46:46">
      <c r="AT3309"/>
    </row>
    <row r="3310" spans="46:46">
      <c r="AT3310"/>
    </row>
    <row r="3311" spans="46:46">
      <c r="AT3311"/>
    </row>
    <row r="3312" spans="46:46">
      <c r="AT3312"/>
    </row>
    <row r="3313" spans="46:46">
      <c r="AT3313"/>
    </row>
    <row r="3314" spans="46:46">
      <c r="AT3314"/>
    </row>
    <row r="3315" spans="46:46">
      <c r="AT3315"/>
    </row>
    <row r="3316" spans="46:46">
      <c r="AT3316"/>
    </row>
    <row r="3317" spans="46:46">
      <c r="AT3317"/>
    </row>
    <row r="3318" spans="46:46">
      <c r="AT3318"/>
    </row>
    <row r="3319" spans="46:46">
      <c r="AT3319"/>
    </row>
    <row r="3320" spans="46:46">
      <c r="AT3320"/>
    </row>
    <row r="3321" spans="46:46">
      <c r="AT3321"/>
    </row>
    <row r="3322" spans="46:46">
      <c r="AT3322"/>
    </row>
    <row r="3323" spans="46:46">
      <c r="AT3323"/>
    </row>
    <row r="3324" spans="46:46">
      <c r="AT3324"/>
    </row>
    <row r="3325" spans="46:46">
      <c r="AT3325"/>
    </row>
    <row r="3326" spans="46:46">
      <c r="AT3326"/>
    </row>
    <row r="3327" spans="46:46">
      <c r="AT3327"/>
    </row>
    <row r="3328" spans="46:46">
      <c r="AT3328"/>
    </row>
    <row r="3329" spans="46:46">
      <c r="AT3329"/>
    </row>
    <row r="3330" spans="46:46">
      <c r="AT3330"/>
    </row>
    <row r="3331" spans="46:46">
      <c r="AT3331"/>
    </row>
    <row r="3332" spans="46:46">
      <c r="AT3332"/>
    </row>
    <row r="3333" spans="46:46">
      <c r="AT3333"/>
    </row>
    <row r="3334" spans="46:46">
      <c r="AT3334"/>
    </row>
    <row r="3335" spans="46:46">
      <c r="AT3335"/>
    </row>
    <row r="3336" spans="46:46">
      <c r="AT3336"/>
    </row>
    <row r="3337" spans="46:46">
      <c r="AT3337"/>
    </row>
    <row r="3338" spans="46:46">
      <c r="AT3338"/>
    </row>
    <row r="3339" spans="46:46">
      <c r="AT3339"/>
    </row>
    <row r="3340" spans="46:46">
      <c r="AT3340"/>
    </row>
    <row r="3341" spans="46:46">
      <c r="AT3341"/>
    </row>
    <row r="3342" spans="46:46">
      <c r="AT3342"/>
    </row>
    <row r="3343" spans="46:46">
      <c r="AT3343"/>
    </row>
    <row r="3344" spans="46:46">
      <c r="AT3344"/>
    </row>
    <row r="3345" spans="46:46">
      <c r="AT3345"/>
    </row>
    <row r="3346" spans="46:46">
      <c r="AT3346"/>
    </row>
    <row r="3347" spans="46:46">
      <c r="AT3347"/>
    </row>
    <row r="3348" spans="46:46">
      <c r="AT3348"/>
    </row>
    <row r="3349" spans="46:46">
      <c r="AT3349"/>
    </row>
    <row r="3350" spans="46:46">
      <c r="AT3350"/>
    </row>
    <row r="3351" spans="46:46">
      <c r="AT3351"/>
    </row>
    <row r="3352" spans="46:46">
      <c r="AT3352"/>
    </row>
    <row r="3353" spans="46:46">
      <c r="AT3353"/>
    </row>
    <row r="3354" spans="46:46">
      <c r="AT3354"/>
    </row>
    <row r="3355" spans="46:46">
      <c r="AT3355"/>
    </row>
    <row r="3356" spans="46:46">
      <c r="AT3356"/>
    </row>
    <row r="3357" spans="46:46">
      <c r="AT3357"/>
    </row>
    <row r="3358" spans="46:46">
      <c r="AT3358"/>
    </row>
    <row r="3359" spans="46:46">
      <c r="AT3359"/>
    </row>
    <row r="3360" spans="46:46">
      <c r="AT3360"/>
    </row>
    <row r="3361" spans="46:46">
      <c r="AT3361"/>
    </row>
    <row r="3362" spans="46:46">
      <c r="AT3362"/>
    </row>
    <row r="3363" spans="46:46">
      <c r="AT3363"/>
    </row>
    <row r="3364" spans="46:46">
      <c r="AT3364"/>
    </row>
    <row r="3365" spans="46:46">
      <c r="AT3365"/>
    </row>
    <row r="3366" spans="46:46">
      <c r="AT3366"/>
    </row>
    <row r="3367" spans="46:46">
      <c r="AT3367"/>
    </row>
    <row r="3368" spans="46:46">
      <c r="AT3368"/>
    </row>
    <row r="3369" spans="46:46">
      <c r="AT3369"/>
    </row>
    <row r="3370" spans="46:46">
      <c r="AT3370"/>
    </row>
    <row r="3371" spans="46:46">
      <c r="AT3371"/>
    </row>
    <row r="3372" spans="46:46">
      <c r="AT3372"/>
    </row>
    <row r="3373" spans="46:46">
      <c r="AT3373"/>
    </row>
    <row r="3374" spans="46:46">
      <c r="AT3374"/>
    </row>
    <row r="3375" spans="46:46">
      <c r="AT3375"/>
    </row>
    <row r="3376" spans="46:46">
      <c r="AT3376"/>
    </row>
    <row r="3377" spans="46:46">
      <c r="AT3377"/>
    </row>
    <row r="3378" spans="46:46">
      <c r="AT3378"/>
    </row>
    <row r="3379" spans="46:46">
      <c r="AT3379"/>
    </row>
    <row r="3380" spans="46:46">
      <c r="AT3380"/>
    </row>
    <row r="3381" spans="46:46">
      <c r="AT3381"/>
    </row>
    <row r="3382" spans="46:46">
      <c r="AT3382"/>
    </row>
    <row r="3383" spans="46:46">
      <c r="AT3383"/>
    </row>
    <row r="3384" spans="46:46">
      <c r="AT3384"/>
    </row>
    <row r="3385" spans="46:46">
      <c r="AT3385"/>
    </row>
    <row r="3386" spans="46:46">
      <c r="AT3386"/>
    </row>
    <row r="3387" spans="46:46">
      <c r="AT3387"/>
    </row>
    <row r="3388" spans="46:46">
      <c r="AT3388"/>
    </row>
    <row r="3389" spans="46:46">
      <c r="AT3389"/>
    </row>
    <row r="3390" spans="46:46">
      <c r="AT3390"/>
    </row>
    <row r="3391" spans="46:46">
      <c r="AT3391"/>
    </row>
    <row r="3392" spans="46:46">
      <c r="AT3392"/>
    </row>
    <row r="3393" spans="46:46">
      <c r="AT3393"/>
    </row>
    <row r="3394" spans="46:46">
      <c r="AT3394"/>
    </row>
    <row r="3395" spans="46:46">
      <c r="AT3395"/>
    </row>
    <row r="3396" spans="46:46">
      <c r="AT3396"/>
    </row>
    <row r="3397" spans="46:46">
      <c r="AT3397"/>
    </row>
    <row r="3398" spans="46:46">
      <c r="AT3398"/>
    </row>
    <row r="3399" spans="46:46">
      <c r="AT3399"/>
    </row>
    <row r="3400" spans="46:46">
      <c r="AT3400"/>
    </row>
    <row r="3401" spans="46:46">
      <c r="AT3401"/>
    </row>
    <row r="3402" spans="46:46">
      <c r="AT3402"/>
    </row>
    <row r="3403" spans="46:46">
      <c r="AT3403"/>
    </row>
    <row r="3404" spans="46:46">
      <c r="AT3404"/>
    </row>
    <row r="3405" spans="46:46">
      <c r="AT3405"/>
    </row>
    <row r="3406" spans="46:46">
      <c r="AT3406"/>
    </row>
    <row r="3407" spans="46:46">
      <c r="AT3407"/>
    </row>
    <row r="3408" spans="46:46">
      <c r="AT3408"/>
    </row>
    <row r="3409" spans="46:46">
      <c r="AT3409"/>
    </row>
    <row r="3410" spans="46:46">
      <c r="AT3410"/>
    </row>
    <row r="3411" spans="46:46">
      <c r="AT3411"/>
    </row>
    <row r="3412" spans="46:46">
      <c r="AT3412"/>
    </row>
    <row r="3413" spans="46:46">
      <c r="AT3413"/>
    </row>
    <row r="3414" spans="46:46">
      <c r="AT3414"/>
    </row>
    <row r="3415" spans="46:46">
      <c r="AT3415"/>
    </row>
    <row r="3416" spans="46:46">
      <c r="AT3416"/>
    </row>
    <row r="3417" spans="46:46">
      <c r="AT3417"/>
    </row>
    <row r="3418" spans="46:46">
      <c r="AT3418"/>
    </row>
    <row r="3419" spans="46:46">
      <c r="AT3419"/>
    </row>
    <row r="3420" spans="46:46">
      <c r="AT3420"/>
    </row>
    <row r="3421" spans="46:46">
      <c r="AT3421"/>
    </row>
    <row r="3422" spans="46:46">
      <c r="AT3422"/>
    </row>
    <row r="3423" spans="46:46">
      <c r="AT3423"/>
    </row>
    <row r="3424" spans="46:46">
      <c r="AT3424"/>
    </row>
    <row r="3425" spans="46:46">
      <c r="AT3425"/>
    </row>
    <row r="3426" spans="46:46">
      <c r="AT3426"/>
    </row>
    <row r="3427" spans="46:46">
      <c r="AT3427"/>
    </row>
    <row r="3428" spans="46:46">
      <c r="AT3428"/>
    </row>
    <row r="3429" spans="46:46">
      <c r="AT3429"/>
    </row>
    <row r="3430" spans="46:46">
      <c r="AT3430"/>
    </row>
    <row r="3431" spans="46:46">
      <c r="AT3431"/>
    </row>
    <row r="3432" spans="46:46">
      <c r="AT3432"/>
    </row>
    <row r="3433" spans="46:46">
      <c r="AT3433"/>
    </row>
    <row r="3434" spans="46:46">
      <c r="AT3434"/>
    </row>
    <row r="3435" spans="46:46">
      <c r="AT3435"/>
    </row>
    <row r="3436" spans="46:46">
      <c r="AT3436"/>
    </row>
    <row r="3437" spans="46:46">
      <c r="AT3437"/>
    </row>
    <row r="3438" spans="46:46">
      <c r="AT3438"/>
    </row>
    <row r="3439" spans="46:46">
      <c r="AT3439"/>
    </row>
    <row r="3440" spans="46:46">
      <c r="AT3440"/>
    </row>
    <row r="3441" spans="46:46">
      <c r="AT3441"/>
    </row>
    <row r="3442" spans="46:46">
      <c r="AT3442"/>
    </row>
    <row r="3443" spans="46:46">
      <c r="AT3443"/>
    </row>
    <row r="3444" spans="46:46">
      <c r="AT3444"/>
    </row>
    <row r="3445" spans="46:46">
      <c r="AT3445"/>
    </row>
    <row r="3446" spans="46:46">
      <c r="AT3446"/>
    </row>
    <row r="3447" spans="46:46">
      <c r="AT3447"/>
    </row>
    <row r="3448" spans="46:46">
      <c r="AT3448"/>
    </row>
    <row r="3449" spans="46:46">
      <c r="AT3449"/>
    </row>
    <row r="3450" spans="46:46">
      <c r="AT3450"/>
    </row>
    <row r="3451" spans="46:46">
      <c r="AT3451"/>
    </row>
    <row r="3452" spans="46:46">
      <c r="AT3452"/>
    </row>
    <row r="3453" spans="46:46">
      <c r="AT3453"/>
    </row>
    <row r="3454" spans="46:46">
      <c r="AT3454"/>
    </row>
    <row r="3455" spans="46:46">
      <c r="AT3455"/>
    </row>
    <row r="3456" spans="46:46">
      <c r="AT3456"/>
    </row>
    <row r="3457" spans="46:46">
      <c r="AT3457"/>
    </row>
    <row r="3458" spans="46:46">
      <c r="AT3458"/>
    </row>
    <row r="3459" spans="46:46">
      <c r="AT3459"/>
    </row>
    <row r="3460" spans="46:46">
      <c r="AT3460"/>
    </row>
    <row r="3461" spans="46:46">
      <c r="AT3461"/>
    </row>
    <row r="3462" spans="46:46">
      <c r="AT3462"/>
    </row>
    <row r="3463" spans="46:46">
      <c r="AT3463"/>
    </row>
    <row r="3464" spans="46:46">
      <c r="AT3464"/>
    </row>
    <row r="3465" spans="46:46">
      <c r="AT3465"/>
    </row>
    <row r="3466" spans="46:46">
      <c r="AT3466"/>
    </row>
    <row r="3467" spans="46:46">
      <c r="AT3467"/>
    </row>
    <row r="3468" spans="46:46">
      <c r="AT3468"/>
    </row>
    <row r="3469" spans="46:46">
      <c r="AT3469"/>
    </row>
    <row r="3470" spans="46:46">
      <c r="AT3470"/>
    </row>
    <row r="3471" spans="46:46">
      <c r="AT3471"/>
    </row>
    <row r="3472" spans="46:46">
      <c r="AT3472"/>
    </row>
    <row r="3473" spans="46:46">
      <c r="AT3473"/>
    </row>
    <row r="3474" spans="46:46">
      <c r="AT3474"/>
    </row>
    <row r="3475" spans="46:46">
      <c r="AT3475"/>
    </row>
    <row r="3476" spans="46:46">
      <c r="AT3476"/>
    </row>
    <row r="3477" spans="46:46">
      <c r="AT3477"/>
    </row>
    <row r="3478" spans="46:46">
      <c r="AT3478"/>
    </row>
    <row r="3479" spans="46:46">
      <c r="AT3479"/>
    </row>
    <row r="3480" spans="46:46">
      <c r="AT3480"/>
    </row>
    <row r="3481" spans="46:46">
      <c r="AT3481"/>
    </row>
    <row r="3482" spans="46:46">
      <c r="AT3482"/>
    </row>
    <row r="3483" spans="46:46">
      <c r="AT3483"/>
    </row>
    <row r="3484" spans="46:46">
      <c r="AT3484"/>
    </row>
    <row r="3485" spans="46:46">
      <c r="AT3485"/>
    </row>
    <row r="3486" spans="46:46">
      <c r="AT3486"/>
    </row>
    <row r="3487" spans="46:46">
      <c r="AT3487"/>
    </row>
    <row r="3488" spans="46:46">
      <c r="AT3488"/>
    </row>
    <row r="3489" spans="46:46">
      <c r="AT3489"/>
    </row>
    <row r="3490" spans="46:46">
      <c r="AT3490"/>
    </row>
    <row r="3491" spans="46:46">
      <c r="AT3491"/>
    </row>
    <row r="3492" spans="46:46">
      <c r="AT3492"/>
    </row>
    <row r="3493" spans="46:46">
      <c r="AT3493"/>
    </row>
    <row r="3494" spans="46:46">
      <c r="AT3494"/>
    </row>
    <row r="3495" spans="46:46">
      <c r="AT3495"/>
    </row>
    <row r="3496" spans="46:46">
      <c r="AT3496"/>
    </row>
    <row r="3497" spans="46:46">
      <c r="AT3497"/>
    </row>
    <row r="3498" spans="46:46">
      <c r="AT3498"/>
    </row>
    <row r="3499" spans="46:46">
      <c r="AT3499"/>
    </row>
    <row r="3500" spans="46:46">
      <c r="AT3500"/>
    </row>
    <row r="3501" spans="46:46">
      <c r="AT3501"/>
    </row>
    <row r="3502" spans="46:46">
      <c r="AT3502"/>
    </row>
    <row r="3503" spans="46:46">
      <c r="AT3503"/>
    </row>
    <row r="3504" spans="46:46">
      <c r="AT3504"/>
    </row>
    <row r="3505" spans="46:46">
      <c r="AT3505"/>
    </row>
    <row r="3506" spans="46:46">
      <c r="AT3506"/>
    </row>
    <row r="3507" spans="46:46">
      <c r="AT3507"/>
    </row>
    <row r="3508" spans="46:46">
      <c r="AT3508"/>
    </row>
    <row r="3509" spans="46:46">
      <c r="AT3509"/>
    </row>
    <row r="3510" spans="46:46">
      <c r="AT3510"/>
    </row>
    <row r="3511" spans="46:46">
      <c r="AT3511"/>
    </row>
    <row r="3512" spans="46:46">
      <c r="AT3512"/>
    </row>
    <row r="3513" spans="46:46">
      <c r="AT3513"/>
    </row>
    <row r="3514" spans="46:46">
      <c r="AT3514"/>
    </row>
    <row r="3515" spans="46:46">
      <c r="AT3515"/>
    </row>
    <row r="3516" spans="46:46">
      <c r="AT3516"/>
    </row>
    <row r="3517" spans="46:46">
      <c r="AT3517"/>
    </row>
    <row r="3518" spans="46:46">
      <c r="AT3518"/>
    </row>
    <row r="3519" spans="46:46">
      <c r="AT3519"/>
    </row>
    <row r="3520" spans="46:46">
      <c r="AT3520"/>
    </row>
    <row r="3521" spans="46:46">
      <c r="AT3521"/>
    </row>
    <row r="3522" spans="46:46">
      <c r="AT3522"/>
    </row>
    <row r="3523" spans="46:46">
      <c r="AT3523"/>
    </row>
    <row r="3524" spans="46:46">
      <c r="AT3524"/>
    </row>
    <row r="3525" spans="46:46">
      <c r="AT3525"/>
    </row>
    <row r="3526" spans="46:46">
      <c r="AT3526"/>
    </row>
    <row r="3527" spans="46:46">
      <c r="AT3527"/>
    </row>
    <row r="3528" spans="46:46">
      <c r="AT3528"/>
    </row>
    <row r="3529" spans="46:46">
      <c r="AT3529"/>
    </row>
    <row r="3530" spans="46:46">
      <c r="AT3530"/>
    </row>
    <row r="3531" spans="46:46">
      <c r="AT3531"/>
    </row>
    <row r="3532" spans="46:46">
      <c r="AT3532"/>
    </row>
    <row r="3533" spans="46:46">
      <c r="AT3533"/>
    </row>
    <row r="3534" spans="46:46">
      <c r="AT3534"/>
    </row>
    <row r="3535" spans="46:46">
      <c r="AT3535"/>
    </row>
    <row r="3536" spans="46:46">
      <c r="AT3536"/>
    </row>
    <row r="3537" spans="46:46">
      <c r="AT3537"/>
    </row>
    <row r="3538" spans="46:46">
      <c r="AT3538"/>
    </row>
    <row r="3539" spans="46:46">
      <c r="AT3539"/>
    </row>
    <row r="3540" spans="46:46">
      <c r="AT3540"/>
    </row>
    <row r="3541" spans="46:46">
      <c r="AT3541"/>
    </row>
    <row r="3542" spans="46:46">
      <c r="AT3542"/>
    </row>
    <row r="3543" spans="46:46">
      <c r="AT3543"/>
    </row>
    <row r="3544" spans="46:46">
      <c r="AT3544"/>
    </row>
    <row r="3545" spans="46:46">
      <c r="AT3545"/>
    </row>
    <row r="3546" spans="46:46">
      <c r="AT3546"/>
    </row>
    <row r="3547" spans="46:46">
      <c r="AT3547"/>
    </row>
    <row r="3548" spans="46:46">
      <c r="AT3548"/>
    </row>
    <row r="3549" spans="46:46">
      <c r="AT3549"/>
    </row>
    <row r="3550" spans="46:46">
      <c r="AT3550"/>
    </row>
    <row r="3551" spans="46:46">
      <c r="AT3551"/>
    </row>
    <row r="3552" spans="46:46">
      <c r="AT3552"/>
    </row>
    <row r="3553" spans="46:46">
      <c r="AT3553"/>
    </row>
    <row r="3554" spans="46:46">
      <c r="AT3554"/>
    </row>
    <row r="3555" spans="46:46">
      <c r="AT3555"/>
    </row>
    <row r="3556" spans="46:46">
      <c r="AT3556"/>
    </row>
    <row r="3557" spans="46:46">
      <c r="AT3557"/>
    </row>
    <row r="3558" spans="46:46">
      <c r="AT3558"/>
    </row>
    <row r="3559" spans="46:46">
      <c r="AT3559"/>
    </row>
    <row r="3560" spans="46:46">
      <c r="AT3560"/>
    </row>
    <row r="3561" spans="46:46">
      <c r="AT3561"/>
    </row>
    <row r="3562" spans="46:46">
      <c r="AT3562"/>
    </row>
    <row r="3563" spans="46:46">
      <c r="AT3563"/>
    </row>
    <row r="3564" spans="46:46">
      <c r="AT3564"/>
    </row>
    <row r="3565" spans="46:46">
      <c r="AT3565"/>
    </row>
    <row r="3566" spans="46:46">
      <c r="AT3566"/>
    </row>
    <row r="3567" spans="46:46">
      <c r="AT3567"/>
    </row>
    <row r="3568" spans="46:46">
      <c r="AT3568"/>
    </row>
    <row r="3569" spans="46:46">
      <c r="AT3569"/>
    </row>
    <row r="3570" spans="46:46">
      <c r="AT3570"/>
    </row>
    <row r="3571" spans="46:46">
      <c r="AT3571"/>
    </row>
    <row r="3572" spans="46:46">
      <c r="AT3572"/>
    </row>
    <row r="3573" spans="46:46">
      <c r="AT3573"/>
    </row>
    <row r="3574" spans="46:46">
      <c r="AT3574"/>
    </row>
    <row r="3575" spans="46:46">
      <c r="AT3575"/>
    </row>
    <row r="3576" spans="46:46">
      <c r="AT3576"/>
    </row>
    <row r="3577" spans="46:46">
      <c r="AT3577"/>
    </row>
    <row r="3578" spans="46:46">
      <c r="AT3578"/>
    </row>
    <row r="3579" spans="46:46">
      <c r="AT3579"/>
    </row>
    <row r="3580" spans="46:46">
      <c r="AT3580"/>
    </row>
    <row r="3581" spans="46:46">
      <c r="AT3581"/>
    </row>
    <row r="3582" spans="46:46">
      <c r="AT3582"/>
    </row>
    <row r="3583" spans="46:46">
      <c r="AT3583"/>
    </row>
    <row r="3584" spans="46:46">
      <c r="AT3584"/>
    </row>
    <row r="3585" spans="46:46">
      <c r="AT3585"/>
    </row>
    <row r="3586" spans="46:46">
      <c r="AT3586"/>
    </row>
    <row r="3587" spans="46:46">
      <c r="AT3587"/>
    </row>
    <row r="3588" spans="46:46">
      <c r="AT3588"/>
    </row>
    <row r="3589" spans="46:46">
      <c r="AT3589"/>
    </row>
    <row r="3590" spans="46:46">
      <c r="AT3590"/>
    </row>
    <row r="3591" spans="46:46">
      <c r="AT3591"/>
    </row>
    <row r="3592" spans="46:46">
      <c r="AT3592"/>
    </row>
    <row r="3593" spans="46:46">
      <c r="AT3593"/>
    </row>
    <row r="3594" spans="46:46">
      <c r="AT3594"/>
    </row>
    <row r="3595" spans="46:46">
      <c r="AT3595"/>
    </row>
    <row r="3596" spans="46:46">
      <c r="AT3596"/>
    </row>
    <row r="3597" spans="46:46">
      <c r="AT3597"/>
    </row>
    <row r="3598" spans="46:46">
      <c r="AT3598"/>
    </row>
    <row r="3599" spans="46:46">
      <c r="AT3599"/>
    </row>
    <row r="3600" spans="46:46">
      <c r="AT3600"/>
    </row>
    <row r="3601" spans="46:46">
      <c r="AT3601"/>
    </row>
    <row r="3602" spans="46:46">
      <c r="AT3602"/>
    </row>
    <row r="3603" spans="46:46">
      <c r="AT3603"/>
    </row>
    <row r="3604" spans="46:46">
      <c r="AT3604"/>
    </row>
    <row r="3605" spans="46:46">
      <c r="AT3605"/>
    </row>
    <row r="3606" spans="46:46">
      <c r="AT3606"/>
    </row>
    <row r="3607" spans="46:46">
      <c r="AT3607"/>
    </row>
    <row r="3608" spans="46:46">
      <c r="AT3608"/>
    </row>
    <row r="3609" spans="46:46">
      <c r="AT3609"/>
    </row>
    <row r="3610" spans="46:46">
      <c r="AT3610"/>
    </row>
    <row r="3611" spans="46:46">
      <c r="AT3611"/>
    </row>
    <row r="3612" spans="46:46">
      <c r="AT3612"/>
    </row>
    <row r="3613" spans="46:46">
      <c r="AT3613"/>
    </row>
    <row r="3614" spans="46:46">
      <c r="AT3614"/>
    </row>
    <row r="3615" spans="46:46">
      <c r="AT3615"/>
    </row>
    <row r="3616" spans="46:46">
      <c r="AT3616"/>
    </row>
    <row r="3617" spans="46:46">
      <c r="AT3617"/>
    </row>
    <row r="3618" spans="46:46">
      <c r="AT3618"/>
    </row>
    <row r="3619" spans="46:46">
      <c r="AT3619"/>
    </row>
    <row r="3620" spans="46:46">
      <c r="AT3620"/>
    </row>
    <row r="3621" spans="46:46">
      <c r="AT3621"/>
    </row>
    <row r="3622" spans="46:46">
      <c r="AT3622"/>
    </row>
    <row r="3623" spans="46:46">
      <c r="AT3623"/>
    </row>
    <row r="3624" spans="46:46">
      <c r="AT3624"/>
    </row>
    <row r="3625" spans="46:46">
      <c r="AT3625"/>
    </row>
    <row r="3626" spans="46:46">
      <c r="AT3626"/>
    </row>
    <row r="3627" spans="46:46">
      <c r="AT3627"/>
    </row>
    <row r="3628" spans="46:46">
      <c r="AT3628"/>
    </row>
    <row r="3629" spans="46:46">
      <c r="AT3629"/>
    </row>
    <row r="3630" spans="46:46">
      <c r="AT3630"/>
    </row>
    <row r="3631" spans="46:46">
      <c r="AT3631"/>
    </row>
    <row r="3632" spans="46:46">
      <c r="AT3632"/>
    </row>
    <row r="3633" spans="46:46">
      <c r="AT3633"/>
    </row>
    <row r="3634" spans="46:46">
      <c r="AT3634"/>
    </row>
    <row r="3635" spans="46:46">
      <c r="AT3635"/>
    </row>
    <row r="3636" spans="46:46">
      <c r="AT3636"/>
    </row>
    <row r="3637" spans="46:46">
      <c r="AT3637"/>
    </row>
    <row r="3638" spans="46:46">
      <c r="AT3638"/>
    </row>
    <row r="3639" spans="46:46">
      <c r="AT3639"/>
    </row>
    <row r="3640" spans="46:46">
      <c r="AT3640"/>
    </row>
    <row r="3641" spans="46:46">
      <c r="AT3641"/>
    </row>
    <row r="3642" spans="46:46">
      <c r="AT3642"/>
    </row>
    <row r="3643" spans="46:46">
      <c r="AT3643"/>
    </row>
    <row r="3644" spans="46:46">
      <c r="AT3644"/>
    </row>
    <row r="3645" spans="46:46">
      <c r="AT3645"/>
    </row>
    <row r="3646" spans="46:46">
      <c r="AT3646"/>
    </row>
    <row r="3647" spans="46:46">
      <c r="AT3647"/>
    </row>
    <row r="3648" spans="46:46">
      <c r="AT3648"/>
    </row>
    <row r="3649" spans="46:46">
      <c r="AT3649"/>
    </row>
    <row r="3650" spans="46:46">
      <c r="AT3650"/>
    </row>
    <row r="3651" spans="46:46">
      <c r="AT3651"/>
    </row>
    <row r="3652" spans="46:46">
      <c r="AT3652"/>
    </row>
    <row r="3653" spans="46:46">
      <c r="AT3653"/>
    </row>
    <row r="3654" spans="46:46">
      <c r="AT3654"/>
    </row>
    <row r="3655" spans="46:46">
      <c r="AT3655"/>
    </row>
    <row r="3656" spans="46:46">
      <c r="AT3656"/>
    </row>
    <row r="3657" spans="46:46">
      <c r="AT3657"/>
    </row>
    <row r="3658" spans="46:46">
      <c r="AT3658"/>
    </row>
    <row r="3659" spans="46:46">
      <c r="AT3659"/>
    </row>
    <row r="3660" spans="46:46">
      <c r="AT3660"/>
    </row>
    <row r="3661" spans="46:46">
      <c r="AT3661"/>
    </row>
    <row r="3662" spans="46:46">
      <c r="AT3662"/>
    </row>
    <row r="3663" spans="46:46">
      <c r="AT3663"/>
    </row>
    <row r="3664" spans="46:46">
      <c r="AT3664"/>
    </row>
    <row r="3665" spans="46:46">
      <c r="AT3665"/>
    </row>
    <row r="3666" spans="46:46">
      <c r="AT3666"/>
    </row>
    <row r="3667" spans="46:46">
      <c r="AT3667"/>
    </row>
    <row r="3668" spans="46:46">
      <c r="AT3668"/>
    </row>
    <row r="3669" spans="46:46">
      <c r="AT3669"/>
    </row>
    <row r="3670" spans="46:46">
      <c r="AT3670"/>
    </row>
    <row r="3671" spans="46:46">
      <c r="AT3671"/>
    </row>
    <row r="3672" spans="46:46">
      <c r="AT3672"/>
    </row>
    <row r="3673" spans="46:46">
      <c r="AT3673"/>
    </row>
    <row r="3674" spans="46:46">
      <c r="AT3674"/>
    </row>
    <row r="3675" spans="46:46">
      <c r="AT3675"/>
    </row>
    <row r="3676" spans="46:46">
      <c r="AT3676"/>
    </row>
    <row r="3677" spans="46:46">
      <c r="AT3677"/>
    </row>
    <row r="3678" spans="46:46">
      <c r="AT3678"/>
    </row>
    <row r="3679" spans="46:46">
      <c r="AT3679"/>
    </row>
    <row r="3680" spans="46:46">
      <c r="AT3680"/>
    </row>
    <row r="3681" spans="46:46">
      <c r="AT3681"/>
    </row>
    <row r="3682" spans="46:46">
      <c r="AT3682"/>
    </row>
    <row r="3683" spans="46:46">
      <c r="AT3683"/>
    </row>
    <row r="3684" spans="46:46">
      <c r="AT3684"/>
    </row>
    <row r="3685" spans="46:46">
      <c r="AT3685"/>
    </row>
    <row r="3686" spans="46:46">
      <c r="AT3686"/>
    </row>
    <row r="3687" spans="46:46">
      <c r="AT3687"/>
    </row>
    <row r="3688" spans="46:46">
      <c r="AT3688"/>
    </row>
    <row r="3689" spans="46:46">
      <c r="AT3689"/>
    </row>
    <row r="3690" spans="46:46">
      <c r="AT3690"/>
    </row>
    <row r="3691" spans="46:46">
      <c r="AT3691"/>
    </row>
    <row r="3692" spans="46:46">
      <c r="AT3692"/>
    </row>
    <row r="3693" spans="46:46">
      <c r="AT3693"/>
    </row>
    <row r="3694" spans="46:46">
      <c r="AT3694"/>
    </row>
    <row r="3695" spans="46:46">
      <c r="AT3695"/>
    </row>
    <row r="3696" spans="46:46">
      <c r="AT3696"/>
    </row>
    <row r="3697" spans="46:46">
      <c r="AT3697"/>
    </row>
    <row r="3698" spans="46:46">
      <c r="AT3698"/>
    </row>
    <row r="3699" spans="46:46">
      <c r="AT3699"/>
    </row>
    <row r="3700" spans="46:46">
      <c r="AT3700"/>
    </row>
    <row r="3701" spans="46:46">
      <c r="AT3701"/>
    </row>
    <row r="3702" spans="46:46">
      <c r="AT3702"/>
    </row>
    <row r="3703" spans="46:46">
      <c r="AT3703"/>
    </row>
    <row r="3704" spans="46:46">
      <c r="AT3704"/>
    </row>
    <row r="3705" spans="46:46">
      <c r="AT3705"/>
    </row>
    <row r="3706" spans="46:46">
      <c r="AT3706"/>
    </row>
    <row r="3707" spans="46:46">
      <c r="AT3707"/>
    </row>
    <row r="3708" spans="46:46">
      <c r="AT3708"/>
    </row>
    <row r="3709" spans="46:46">
      <c r="AT3709"/>
    </row>
    <row r="3710" spans="46:46">
      <c r="AT3710"/>
    </row>
    <row r="3711" spans="46:46">
      <c r="AT3711"/>
    </row>
    <row r="3712" spans="46:46">
      <c r="AT3712"/>
    </row>
    <row r="3713" spans="46:46">
      <c r="AT3713"/>
    </row>
    <row r="3714" spans="46:46">
      <c r="AT3714"/>
    </row>
    <row r="3715" spans="46:46">
      <c r="AT3715"/>
    </row>
    <row r="3716" spans="46:46">
      <c r="AT3716"/>
    </row>
    <row r="3717" spans="46:46">
      <c r="AT3717"/>
    </row>
    <row r="3718" spans="46:46">
      <c r="AT3718"/>
    </row>
    <row r="3719" spans="46:46">
      <c r="AT3719"/>
    </row>
    <row r="3720" spans="46:46">
      <c r="AT3720"/>
    </row>
    <row r="3721" spans="46:46">
      <c r="AT3721"/>
    </row>
    <row r="3722" spans="46:46">
      <c r="AT3722"/>
    </row>
    <row r="3723" spans="46:46">
      <c r="AT3723"/>
    </row>
    <row r="3724" spans="46:46">
      <c r="AT3724"/>
    </row>
    <row r="3725" spans="46:46">
      <c r="AT3725"/>
    </row>
    <row r="3726" spans="46:46">
      <c r="AT3726"/>
    </row>
    <row r="3727" spans="46:46">
      <c r="AT3727"/>
    </row>
    <row r="3728" spans="46:46">
      <c r="AT3728"/>
    </row>
    <row r="3729" spans="46:46">
      <c r="AT3729"/>
    </row>
    <row r="3730" spans="46:46">
      <c r="AT3730"/>
    </row>
    <row r="3731" spans="46:46">
      <c r="AT3731"/>
    </row>
    <row r="3732" spans="46:46">
      <c r="AT3732"/>
    </row>
    <row r="3733" spans="46:46">
      <c r="AT3733"/>
    </row>
    <row r="3734" spans="46:46">
      <c r="AT3734"/>
    </row>
    <row r="3735" spans="46:46">
      <c r="AT3735"/>
    </row>
    <row r="3736" spans="46:46">
      <c r="AT3736"/>
    </row>
    <row r="3737" spans="46:46">
      <c r="AT3737"/>
    </row>
    <row r="3738" spans="46:46">
      <c r="AT3738"/>
    </row>
    <row r="3739" spans="46:46">
      <c r="AT3739"/>
    </row>
    <row r="3740" spans="46:46">
      <c r="AT3740"/>
    </row>
    <row r="3741" spans="46:46">
      <c r="AT3741"/>
    </row>
    <row r="3742" spans="46:46">
      <c r="AT3742"/>
    </row>
    <row r="3743" spans="46:46">
      <c r="AT3743"/>
    </row>
    <row r="3744" spans="46:46">
      <c r="AT3744"/>
    </row>
    <row r="3745" spans="46:46">
      <c r="AT3745"/>
    </row>
    <row r="3746" spans="46:46">
      <c r="AT3746"/>
    </row>
    <row r="3747" spans="46:46">
      <c r="AT3747"/>
    </row>
    <row r="3748" spans="46:46">
      <c r="AT3748"/>
    </row>
    <row r="3749" spans="46:46">
      <c r="AT3749"/>
    </row>
    <row r="3750" spans="46:46">
      <c r="AT3750"/>
    </row>
    <row r="3751" spans="46:46">
      <c r="AT3751"/>
    </row>
    <row r="3752" spans="46:46">
      <c r="AT3752"/>
    </row>
    <row r="3753" spans="46:46">
      <c r="AT3753"/>
    </row>
    <row r="3754" spans="46:46">
      <c r="AT3754"/>
    </row>
    <row r="3755" spans="46:46">
      <c r="AT3755"/>
    </row>
    <row r="3756" spans="46:46">
      <c r="AT3756"/>
    </row>
    <row r="3757" spans="46:46">
      <c r="AT3757"/>
    </row>
    <row r="3758" spans="46:46">
      <c r="AT3758"/>
    </row>
    <row r="3759" spans="46:46">
      <c r="AT3759"/>
    </row>
    <row r="3760" spans="46:46">
      <c r="AT3760"/>
    </row>
    <row r="3761" spans="46:46">
      <c r="AT3761"/>
    </row>
    <row r="3762" spans="46:46">
      <c r="AT3762"/>
    </row>
    <row r="3763" spans="46:46">
      <c r="AT3763"/>
    </row>
    <row r="3764" spans="46:46">
      <c r="AT3764"/>
    </row>
    <row r="3765" spans="46:46">
      <c r="AT3765"/>
    </row>
    <row r="3766" spans="46:46">
      <c r="AT3766"/>
    </row>
    <row r="3767" spans="46:46">
      <c r="AT3767"/>
    </row>
    <row r="3768" spans="46:46">
      <c r="AT3768"/>
    </row>
    <row r="3769" spans="46:46">
      <c r="AT3769"/>
    </row>
    <row r="3770" spans="46:46">
      <c r="AT3770"/>
    </row>
    <row r="3771" spans="46:46">
      <c r="AT3771"/>
    </row>
    <row r="3772" spans="46:46">
      <c r="AT3772"/>
    </row>
    <row r="3773" spans="46:46">
      <c r="AT3773"/>
    </row>
    <row r="3774" spans="46:46">
      <c r="AT3774"/>
    </row>
    <row r="3775" spans="46:46">
      <c r="AT3775"/>
    </row>
    <row r="3776" spans="46:46">
      <c r="AT3776"/>
    </row>
    <row r="3777" spans="46:46">
      <c r="AT3777"/>
    </row>
    <row r="3778" spans="46:46">
      <c r="AT3778"/>
    </row>
    <row r="3779" spans="46:46">
      <c r="AT3779"/>
    </row>
    <row r="3780" spans="46:46">
      <c r="AT3780"/>
    </row>
    <row r="3781" spans="46:46">
      <c r="AT3781"/>
    </row>
    <row r="3782" spans="46:46">
      <c r="AT3782"/>
    </row>
    <row r="3783" spans="46:46">
      <c r="AT3783"/>
    </row>
    <row r="3784" spans="46:46">
      <c r="AT3784"/>
    </row>
    <row r="3785" spans="46:46">
      <c r="AT3785"/>
    </row>
    <row r="3786" spans="46:46">
      <c r="AT3786"/>
    </row>
    <row r="3787" spans="46:46">
      <c r="AT3787"/>
    </row>
    <row r="3788" spans="46:46">
      <c r="AT3788"/>
    </row>
    <row r="3789" spans="46:46">
      <c r="AT3789"/>
    </row>
    <row r="3790" spans="46:46">
      <c r="AT3790"/>
    </row>
    <row r="3791" spans="46:46">
      <c r="AT3791"/>
    </row>
    <row r="3792" spans="46:46">
      <c r="AT3792"/>
    </row>
    <row r="3793" spans="46:46">
      <c r="AT3793"/>
    </row>
    <row r="3794" spans="46:46">
      <c r="AT3794"/>
    </row>
    <row r="3795" spans="46:46">
      <c r="AT3795"/>
    </row>
    <row r="3796" spans="46:46">
      <c r="AT3796"/>
    </row>
    <row r="3797" spans="46:46">
      <c r="AT3797"/>
    </row>
    <row r="3798" spans="46:46">
      <c r="AT3798"/>
    </row>
    <row r="3799" spans="46:46">
      <c r="AT3799"/>
    </row>
    <row r="3800" spans="46:46">
      <c r="AT3800"/>
    </row>
    <row r="3801" spans="46:46">
      <c r="AT3801"/>
    </row>
    <row r="3802" spans="46:46">
      <c r="AT3802"/>
    </row>
    <row r="3803" spans="46:46">
      <c r="AT3803"/>
    </row>
    <row r="3804" spans="46:46">
      <c r="AT3804"/>
    </row>
    <row r="3805" spans="46:46">
      <c r="AT3805"/>
    </row>
    <row r="3806" spans="46:46">
      <c r="AT3806"/>
    </row>
    <row r="3807" spans="46:46">
      <c r="AT3807"/>
    </row>
    <row r="3808" spans="46:46">
      <c r="AT3808"/>
    </row>
    <row r="3809" spans="46:46">
      <c r="AT3809"/>
    </row>
    <row r="3810" spans="46:46">
      <c r="AT3810"/>
    </row>
    <row r="3811" spans="46:46">
      <c r="AT3811"/>
    </row>
    <row r="3812" spans="46:46">
      <c r="AT3812"/>
    </row>
    <row r="3813" spans="46:46">
      <c r="AT3813"/>
    </row>
    <row r="3814" spans="46:46">
      <c r="AT3814"/>
    </row>
    <row r="3815" spans="46:46">
      <c r="AT3815"/>
    </row>
    <row r="3816" spans="46:46">
      <c r="AT3816"/>
    </row>
    <row r="3817" spans="46:46">
      <c r="AT3817"/>
    </row>
    <row r="3818" spans="46:46">
      <c r="AT3818"/>
    </row>
    <row r="3819" spans="46:46">
      <c r="AT3819"/>
    </row>
    <row r="3820" spans="46:46">
      <c r="AT3820"/>
    </row>
    <row r="3821" spans="46:46">
      <c r="AT3821"/>
    </row>
    <row r="3822" spans="46:46">
      <c r="AT3822"/>
    </row>
    <row r="3823" spans="46:46">
      <c r="AT3823"/>
    </row>
    <row r="3824" spans="46:46">
      <c r="AT3824"/>
    </row>
    <row r="3825" spans="46:46">
      <c r="AT3825"/>
    </row>
    <row r="3826" spans="46:46">
      <c r="AT3826"/>
    </row>
    <row r="3827" spans="46:46">
      <c r="AT3827"/>
    </row>
    <row r="3828" spans="46:46">
      <c r="AT3828"/>
    </row>
    <row r="3829" spans="46:46">
      <c r="AT3829"/>
    </row>
    <row r="3830" spans="46:46">
      <c r="AT3830"/>
    </row>
    <row r="3831" spans="46:46">
      <c r="AT3831"/>
    </row>
    <row r="3832" spans="46:46">
      <c r="AT3832"/>
    </row>
    <row r="3833" spans="46:46">
      <c r="AT3833"/>
    </row>
    <row r="3834" spans="46:46">
      <c r="AT3834"/>
    </row>
    <row r="3835" spans="46:46">
      <c r="AT3835"/>
    </row>
    <row r="3836" spans="46:46">
      <c r="AT3836"/>
    </row>
    <row r="3837" spans="46:46">
      <c r="AT3837"/>
    </row>
    <row r="3838" spans="46:46">
      <c r="AT3838"/>
    </row>
    <row r="3839" spans="46:46">
      <c r="AT3839"/>
    </row>
    <row r="3840" spans="46:46">
      <c r="AT3840"/>
    </row>
    <row r="3841" spans="46:46">
      <c r="AT3841"/>
    </row>
    <row r="3842" spans="46:46">
      <c r="AT3842"/>
    </row>
    <row r="3843" spans="46:46">
      <c r="AT3843"/>
    </row>
    <row r="3844" spans="46:46">
      <c r="AT3844"/>
    </row>
    <row r="3845" spans="46:46">
      <c r="AT3845"/>
    </row>
    <row r="3846" spans="46:46">
      <c r="AT3846"/>
    </row>
    <row r="3847" spans="46:46">
      <c r="AT3847"/>
    </row>
    <row r="3848" spans="46:46">
      <c r="AT3848"/>
    </row>
    <row r="3849" spans="46:46">
      <c r="AT3849"/>
    </row>
    <row r="3850" spans="46:46">
      <c r="AT3850"/>
    </row>
    <row r="3851" spans="46:46">
      <c r="AT3851"/>
    </row>
    <row r="3852" spans="46:46">
      <c r="AT3852"/>
    </row>
    <row r="3853" spans="46:46">
      <c r="AT3853"/>
    </row>
    <row r="3854" spans="46:46">
      <c r="AT3854"/>
    </row>
    <row r="3855" spans="46:46">
      <c r="AT3855"/>
    </row>
    <row r="3856" spans="46:46">
      <c r="AT3856"/>
    </row>
    <row r="3857" spans="46:46">
      <c r="AT3857"/>
    </row>
    <row r="3858" spans="46:46">
      <c r="AT3858"/>
    </row>
    <row r="3859" spans="46:46">
      <c r="AT3859"/>
    </row>
    <row r="3860" spans="46:46">
      <c r="AT3860"/>
    </row>
    <row r="3861" spans="46:46">
      <c r="AT3861"/>
    </row>
    <row r="3862" spans="46:46">
      <c r="AT3862"/>
    </row>
    <row r="3863" spans="46:46">
      <c r="AT3863"/>
    </row>
    <row r="3864" spans="46:46">
      <c r="AT3864"/>
    </row>
    <row r="3865" spans="46:46">
      <c r="AT3865"/>
    </row>
    <row r="3866" spans="46:46">
      <c r="AT3866"/>
    </row>
    <row r="3867" spans="46:46">
      <c r="AT3867"/>
    </row>
    <row r="3868" spans="46:46">
      <c r="AT3868"/>
    </row>
    <row r="3869" spans="46:46">
      <c r="AT3869"/>
    </row>
    <row r="3870" spans="46:46">
      <c r="AT3870"/>
    </row>
    <row r="3871" spans="46:46">
      <c r="AT3871"/>
    </row>
    <row r="3872" spans="46:46">
      <c r="AT3872"/>
    </row>
    <row r="3873" spans="46:46">
      <c r="AT3873"/>
    </row>
    <row r="3874" spans="46:46">
      <c r="AT3874"/>
    </row>
    <row r="3875" spans="46:46">
      <c r="AT3875"/>
    </row>
    <row r="3876" spans="46:46">
      <c r="AT3876"/>
    </row>
    <row r="3877" spans="46:46">
      <c r="AT3877"/>
    </row>
    <row r="3878" spans="46:46">
      <c r="AT3878"/>
    </row>
    <row r="3879" spans="46:46">
      <c r="AT3879"/>
    </row>
    <row r="3880" spans="46:46">
      <c r="AT3880"/>
    </row>
    <row r="3881" spans="46:46">
      <c r="AT3881"/>
    </row>
    <row r="3882" spans="46:46">
      <c r="AT3882"/>
    </row>
    <row r="3883" spans="46:46">
      <c r="AT3883"/>
    </row>
    <row r="3884" spans="46:46">
      <c r="AT3884"/>
    </row>
    <row r="3885" spans="46:46">
      <c r="AT3885"/>
    </row>
    <row r="3886" spans="46:46">
      <c r="AT3886"/>
    </row>
    <row r="3887" spans="46:46">
      <c r="AT3887"/>
    </row>
    <row r="3888" spans="46:46">
      <c r="AT3888"/>
    </row>
    <row r="3889" spans="46:46">
      <c r="AT3889"/>
    </row>
    <row r="3890" spans="46:46">
      <c r="AT3890"/>
    </row>
    <row r="3891" spans="46:46">
      <c r="AT3891"/>
    </row>
    <row r="3892" spans="46:46">
      <c r="AT3892"/>
    </row>
    <row r="3893" spans="46:46">
      <c r="AT3893"/>
    </row>
    <row r="3894" spans="46:46">
      <c r="AT3894"/>
    </row>
    <row r="3895" spans="46:46">
      <c r="AT3895"/>
    </row>
    <row r="3896" spans="46:46">
      <c r="AT3896"/>
    </row>
    <row r="3897" spans="46:46">
      <c r="AT3897"/>
    </row>
    <row r="3898" spans="46:46">
      <c r="AT3898"/>
    </row>
    <row r="3899" spans="46:46">
      <c r="AT3899"/>
    </row>
    <row r="3900" spans="46:46">
      <c r="AT3900"/>
    </row>
    <row r="3901" spans="46:46">
      <c r="AT3901"/>
    </row>
    <row r="3902" spans="46:46">
      <c r="AT3902"/>
    </row>
    <row r="3903" spans="46:46">
      <c r="AT3903"/>
    </row>
    <row r="3904" spans="46:46">
      <c r="AT3904"/>
    </row>
    <row r="3905" spans="46:46">
      <c r="AT3905"/>
    </row>
    <row r="3906" spans="46:46">
      <c r="AT3906"/>
    </row>
    <row r="3907" spans="46:46">
      <c r="AT3907"/>
    </row>
    <row r="3908" spans="46:46">
      <c r="AT3908"/>
    </row>
    <row r="3909" spans="46:46">
      <c r="AT3909"/>
    </row>
    <row r="3910" spans="46:46">
      <c r="AT3910"/>
    </row>
    <row r="3911" spans="46:46">
      <c r="AT3911"/>
    </row>
    <row r="3912" spans="46:46">
      <c r="AT3912"/>
    </row>
    <row r="3913" spans="46:46">
      <c r="AT3913"/>
    </row>
    <row r="3914" spans="46:46">
      <c r="AT3914"/>
    </row>
    <row r="3915" spans="46:46">
      <c r="AT3915"/>
    </row>
    <row r="3916" spans="46:46">
      <c r="AT3916"/>
    </row>
    <row r="3917" spans="46:46">
      <c r="AT3917"/>
    </row>
    <row r="3918" spans="46:46">
      <c r="AT3918"/>
    </row>
    <row r="3919" spans="46:46">
      <c r="AT3919"/>
    </row>
    <row r="3920" spans="46:46">
      <c r="AT3920"/>
    </row>
    <row r="3921" spans="46:46">
      <c r="AT3921"/>
    </row>
    <row r="3922" spans="46:46">
      <c r="AT3922"/>
    </row>
    <row r="3923" spans="46:46">
      <c r="AT3923"/>
    </row>
    <row r="3924" spans="46:46">
      <c r="AT3924"/>
    </row>
    <row r="3925" spans="46:46">
      <c r="AT3925"/>
    </row>
    <row r="3926" spans="46:46">
      <c r="AT3926"/>
    </row>
    <row r="3927" spans="46:46">
      <c r="AT3927"/>
    </row>
    <row r="3928" spans="46:46">
      <c r="AT3928"/>
    </row>
    <row r="3929" spans="46:46">
      <c r="AT3929"/>
    </row>
    <row r="3930" spans="46:46">
      <c r="AT3930"/>
    </row>
    <row r="3931" spans="46:46">
      <c r="AT3931"/>
    </row>
    <row r="3932" spans="46:46">
      <c r="AT3932"/>
    </row>
    <row r="3933" spans="46:46">
      <c r="AT3933"/>
    </row>
    <row r="3934" spans="46:46">
      <c r="AT3934"/>
    </row>
    <row r="3935" spans="46:46">
      <c r="AT3935"/>
    </row>
    <row r="3936" spans="46:46">
      <c r="AT3936"/>
    </row>
    <row r="3937" spans="46:46">
      <c r="AT3937"/>
    </row>
    <row r="3938" spans="46:46">
      <c r="AT3938"/>
    </row>
    <row r="3939" spans="46:46">
      <c r="AT3939"/>
    </row>
    <row r="3940" spans="46:46">
      <c r="AT3940"/>
    </row>
    <row r="3941" spans="46:46">
      <c r="AT3941"/>
    </row>
    <row r="3942" spans="46:46">
      <c r="AT3942"/>
    </row>
    <row r="3943" spans="46:46">
      <c r="AT3943"/>
    </row>
    <row r="3944" spans="46:46">
      <c r="AT3944"/>
    </row>
    <row r="3945" spans="46:46">
      <c r="AT3945"/>
    </row>
    <row r="3946" spans="46:46">
      <c r="AT3946"/>
    </row>
    <row r="3947" spans="46:46">
      <c r="AT3947"/>
    </row>
    <row r="3948" spans="46:46">
      <c r="AT3948"/>
    </row>
    <row r="3949" spans="46:46">
      <c r="AT3949"/>
    </row>
    <row r="3950" spans="46:46">
      <c r="AT3950"/>
    </row>
    <row r="3951" spans="46:46">
      <c r="AT3951"/>
    </row>
    <row r="3952" spans="46:46">
      <c r="AT3952"/>
    </row>
    <row r="3953" spans="46:46">
      <c r="AT3953"/>
    </row>
    <row r="3954" spans="46:46">
      <c r="AT3954"/>
    </row>
    <row r="3955" spans="46:46">
      <c r="AT3955"/>
    </row>
    <row r="3956" spans="46:46">
      <c r="AT3956"/>
    </row>
    <row r="3957" spans="46:46">
      <c r="AT3957"/>
    </row>
    <row r="3958" spans="46:46">
      <c r="AT3958"/>
    </row>
    <row r="3959" spans="46:46">
      <c r="AT3959"/>
    </row>
    <row r="3960" spans="46:46">
      <c r="AT3960"/>
    </row>
    <row r="3961" spans="46:46">
      <c r="AT3961"/>
    </row>
    <row r="3962" spans="46:46">
      <c r="AT3962"/>
    </row>
    <row r="3963" spans="46:46">
      <c r="AT3963"/>
    </row>
    <row r="3964" spans="46:46">
      <c r="AT3964"/>
    </row>
    <row r="3965" spans="46:46">
      <c r="AT3965"/>
    </row>
    <row r="3966" spans="46:46">
      <c r="AT3966"/>
    </row>
    <row r="3967" spans="46:46">
      <c r="AT3967"/>
    </row>
    <row r="3968" spans="46:46">
      <c r="AT3968"/>
    </row>
    <row r="3969" spans="46:46">
      <c r="AT3969"/>
    </row>
    <row r="3970" spans="46:46">
      <c r="AT3970"/>
    </row>
    <row r="3971" spans="46:46">
      <c r="AT3971"/>
    </row>
    <row r="3972" spans="46:46">
      <c r="AT3972"/>
    </row>
    <row r="3973" spans="46:46">
      <c r="AT3973"/>
    </row>
    <row r="3974" spans="46:46">
      <c r="AT3974"/>
    </row>
    <row r="3975" spans="46:46">
      <c r="AT3975"/>
    </row>
    <row r="3976" spans="46:46">
      <c r="AT3976"/>
    </row>
    <row r="3977" spans="46:46">
      <c r="AT3977"/>
    </row>
    <row r="3978" spans="46:46">
      <c r="AT3978"/>
    </row>
    <row r="3979" spans="46:46">
      <c r="AT3979"/>
    </row>
    <row r="3980" spans="46:46">
      <c r="AT3980"/>
    </row>
    <row r="3981" spans="46:46">
      <c r="AT3981"/>
    </row>
    <row r="3982" spans="46:46">
      <c r="AT3982"/>
    </row>
    <row r="3983" spans="46:46">
      <c r="AT3983"/>
    </row>
    <row r="3984" spans="46:46">
      <c r="AT3984"/>
    </row>
    <row r="3985" spans="46:46">
      <c r="AT3985"/>
    </row>
    <row r="3986" spans="46:46">
      <c r="AT3986"/>
    </row>
    <row r="3987" spans="46:46">
      <c r="AT3987"/>
    </row>
    <row r="3988" spans="46:46">
      <c r="AT3988"/>
    </row>
    <row r="3989" spans="46:46">
      <c r="AT3989"/>
    </row>
    <row r="3990" spans="46:46">
      <c r="AT3990"/>
    </row>
    <row r="3991" spans="46:46">
      <c r="AT3991"/>
    </row>
    <row r="3992" spans="46:46">
      <c r="AT3992"/>
    </row>
    <row r="3993" spans="46:46">
      <c r="AT3993"/>
    </row>
    <row r="3994" spans="46:46">
      <c r="AT3994"/>
    </row>
    <row r="3995" spans="46:46">
      <c r="AT3995"/>
    </row>
    <row r="3996" spans="46:46">
      <c r="AT3996"/>
    </row>
    <row r="3997" spans="46:46">
      <c r="AT3997"/>
    </row>
    <row r="3998" spans="46:46">
      <c r="AT3998"/>
    </row>
    <row r="3999" spans="46:46">
      <c r="AT3999"/>
    </row>
    <row r="4000" spans="46:46">
      <c r="AT4000"/>
    </row>
    <row r="4001" spans="46:46">
      <c r="AT4001"/>
    </row>
    <row r="4002" spans="46:46">
      <c r="AT4002"/>
    </row>
    <row r="4003" spans="46:46">
      <c r="AT4003"/>
    </row>
    <row r="4004" spans="46:46">
      <c r="AT4004"/>
    </row>
    <row r="4005" spans="46:46">
      <c r="AT4005"/>
    </row>
    <row r="4006" spans="46:46">
      <c r="AT4006"/>
    </row>
    <row r="4007" spans="46:46">
      <c r="AT4007"/>
    </row>
    <row r="4008" spans="46:46">
      <c r="AT4008"/>
    </row>
    <row r="4009" spans="46:46">
      <c r="AT4009"/>
    </row>
    <row r="4010" spans="46:46">
      <c r="AT4010"/>
    </row>
    <row r="4011" spans="46:46">
      <c r="AT4011"/>
    </row>
    <row r="4012" spans="46:46">
      <c r="AT4012"/>
    </row>
    <row r="4013" spans="46:46">
      <c r="AT4013"/>
    </row>
    <row r="4014" spans="46:46">
      <c r="AT4014"/>
    </row>
    <row r="4015" spans="46:46">
      <c r="AT4015"/>
    </row>
    <row r="4016" spans="46:46">
      <c r="AT4016"/>
    </row>
    <row r="4017" spans="46:46">
      <c r="AT4017"/>
    </row>
    <row r="4018" spans="46:46">
      <c r="AT4018"/>
    </row>
    <row r="4019" spans="46:46">
      <c r="AT4019"/>
    </row>
    <row r="4020" spans="46:46">
      <c r="AT4020"/>
    </row>
    <row r="4021" spans="46:46">
      <c r="AT4021"/>
    </row>
    <row r="4022" spans="46:46">
      <c r="AT4022"/>
    </row>
    <row r="4023" spans="46:46">
      <c r="AT4023"/>
    </row>
    <row r="4024" spans="46:46">
      <c r="AT4024"/>
    </row>
    <row r="4025" spans="46:46">
      <c r="AT4025"/>
    </row>
    <row r="4026" spans="46:46">
      <c r="AT4026"/>
    </row>
    <row r="4027" spans="46:46">
      <c r="AT4027"/>
    </row>
    <row r="4028" spans="46:46">
      <c r="AT4028"/>
    </row>
    <row r="4029" spans="46:46">
      <c r="AT4029"/>
    </row>
    <row r="4030" spans="46:46">
      <c r="AT4030"/>
    </row>
    <row r="4031" spans="46:46">
      <c r="AT4031"/>
    </row>
    <row r="4032" spans="46:46">
      <c r="AT4032"/>
    </row>
    <row r="4033" spans="46:46">
      <c r="AT4033"/>
    </row>
    <row r="4034" spans="46:46">
      <c r="AT4034"/>
    </row>
    <row r="4035" spans="46:46">
      <c r="AT4035"/>
    </row>
    <row r="4036" spans="46:46">
      <c r="AT4036"/>
    </row>
    <row r="4037" spans="46:46">
      <c r="AT4037"/>
    </row>
    <row r="4038" spans="46:46">
      <c r="AT4038"/>
    </row>
    <row r="4039" spans="46:46">
      <c r="AT4039"/>
    </row>
    <row r="4040" spans="46:46">
      <c r="AT4040"/>
    </row>
    <row r="4041" spans="46:46">
      <c r="AT4041"/>
    </row>
    <row r="4042" spans="46:46">
      <c r="AT4042"/>
    </row>
    <row r="4043" spans="46:46">
      <c r="AT4043"/>
    </row>
    <row r="4044" spans="46:46">
      <c r="AT4044"/>
    </row>
    <row r="4045" spans="46:46">
      <c r="AT4045"/>
    </row>
    <row r="4046" spans="46:46">
      <c r="AT4046"/>
    </row>
    <row r="4047" spans="46:46">
      <c r="AT4047"/>
    </row>
    <row r="4048" spans="46:46">
      <c r="AT4048"/>
    </row>
    <row r="4049" spans="46:46">
      <c r="AT4049"/>
    </row>
    <row r="4050" spans="46:46">
      <c r="AT4050"/>
    </row>
    <row r="4051" spans="46:46">
      <c r="AT4051"/>
    </row>
    <row r="4052" spans="46:46">
      <c r="AT4052"/>
    </row>
    <row r="4053" spans="46:46">
      <c r="AT4053"/>
    </row>
    <row r="4054" spans="46:46">
      <c r="AT4054"/>
    </row>
    <row r="4055" spans="46:46">
      <c r="AT4055"/>
    </row>
    <row r="4056" spans="46:46">
      <c r="AT4056"/>
    </row>
    <row r="4057" spans="46:46">
      <c r="AT4057"/>
    </row>
    <row r="4058" spans="46:46">
      <c r="AT4058"/>
    </row>
    <row r="4059" spans="46:46">
      <c r="AT4059"/>
    </row>
    <row r="4060" spans="46:46">
      <c r="AT4060"/>
    </row>
    <row r="4061" spans="46:46">
      <c r="AT4061"/>
    </row>
    <row r="4062" spans="46:46">
      <c r="AT4062"/>
    </row>
    <row r="4063" spans="46:46">
      <c r="AT4063"/>
    </row>
    <row r="4064" spans="46:46">
      <c r="AT4064"/>
    </row>
    <row r="4065" spans="46:46">
      <c r="AT4065"/>
    </row>
    <row r="4066" spans="46:46">
      <c r="AT4066"/>
    </row>
    <row r="4067" spans="46:46">
      <c r="AT4067"/>
    </row>
    <row r="4068" spans="46:46">
      <c r="AT4068"/>
    </row>
    <row r="4069" spans="46:46">
      <c r="AT4069"/>
    </row>
    <row r="4070" spans="46:46">
      <c r="AT4070"/>
    </row>
    <row r="4071" spans="46:46">
      <c r="AT4071"/>
    </row>
    <row r="4072" spans="46:46">
      <c r="AT4072"/>
    </row>
    <row r="4073" spans="46:46">
      <c r="AT4073"/>
    </row>
    <row r="4074" spans="46:46">
      <c r="AT4074"/>
    </row>
    <row r="4075" spans="46:46">
      <c r="AT4075"/>
    </row>
    <row r="4076" spans="46:46">
      <c r="AT4076"/>
    </row>
    <row r="4077" spans="46:46">
      <c r="AT4077"/>
    </row>
    <row r="4078" spans="46:46">
      <c r="AT4078"/>
    </row>
    <row r="4079" spans="46:46">
      <c r="AT4079"/>
    </row>
    <row r="4080" spans="46:46">
      <c r="AT4080"/>
    </row>
    <row r="4081" spans="46:46">
      <c r="AT4081"/>
    </row>
    <row r="4082" spans="46:46">
      <c r="AT4082"/>
    </row>
    <row r="4083" spans="46:46">
      <c r="AT4083"/>
    </row>
    <row r="4084" spans="46:46">
      <c r="AT4084"/>
    </row>
    <row r="4085" spans="46:46">
      <c r="AT4085"/>
    </row>
    <row r="4086" spans="46:46">
      <c r="AT4086"/>
    </row>
    <row r="4087" spans="46:46">
      <c r="AT4087"/>
    </row>
    <row r="4088" spans="46:46">
      <c r="AT4088"/>
    </row>
    <row r="4089" spans="46:46">
      <c r="AT4089"/>
    </row>
    <row r="4090" spans="46:46">
      <c r="AT4090"/>
    </row>
    <row r="4091" spans="46:46">
      <c r="AT4091"/>
    </row>
    <row r="4092" spans="46:46">
      <c r="AT4092"/>
    </row>
    <row r="4093" spans="46:46">
      <c r="AT4093"/>
    </row>
    <row r="4094" spans="46:46">
      <c r="AT4094"/>
    </row>
    <row r="4095" spans="46:46">
      <c r="AT4095"/>
    </row>
    <row r="4096" spans="46:46">
      <c r="AT4096"/>
    </row>
    <row r="4097" spans="46:46">
      <c r="AT4097"/>
    </row>
    <row r="4098" spans="46:46">
      <c r="AT4098"/>
    </row>
    <row r="4099" spans="46:46">
      <c r="AT4099"/>
    </row>
    <row r="4100" spans="46:46">
      <c r="AT4100"/>
    </row>
    <row r="4101" spans="46:46">
      <c r="AT4101"/>
    </row>
    <row r="4102" spans="46:46">
      <c r="AT4102"/>
    </row>
    <row r="4103" spans="46:46">
      <c r="AT4103"/>
    </row>
    <row r="4104" spans="46:46">
      <c r="AT4104"/>
    </row>
    <row r="4105" spans="46:46">
      <c r="AT4105"/>
    </row>
    <row r="4106" spans="46:46">
      <c r="AT4106"/>
    </row>
    <row r="4107" spans="46:46">
      <c r="AT4107"/>
    </row>
    <row r="4108" spans="46:46">
      <c r="AT4108"/>
    </row>
    <row r="4109" spans="46:46">
      <c r="AT4109"/>
    </row>
    <row r="4110" spans="46:46">
      <c r="AT4110"/>
    </row>
    <row r="4111" spans="46:46">
      <c r="AT4111"/>
    </row>
    <row r="4112" spans="46:46">
      <c r="AT4112"/>
    </row>
    <row r="4113" spans="46:46">
      <c r="AT4113"/>
    </row>
    <row r="4114" spans="46:46">
      <c r="AT4114"/>
    </row>
    <row r="4115" spans="46:46">
      <c r="AT4115"/>
    </row>
    <row r="4116" spans="46:46">
      <c r="AT4116"/>
    </row>
    <row r="4117" spans="46:46">
      <c r="AT4117"/>
    </row>
    <row r="4118" spans="46:46">
      <c r="AT4118"/>
    </row>
    <row r="4119" spans="46:46">
      <c r="AT4119"/>
    </row>
    <row r="4120" spans="46:46">
      <c r="AT4120"/>
    </row>
    <row r="4121" spans="46:46">
      <c r="AT4121"/>
    </row>
    <row r="4122" spans="46:46">
      <c r="AT4122"/>
    </row>
    <row r="4123" spans="46:46">
      <c r="AT4123"/>
    </row>
    <row r="4124" spans="46:46">
      <c r="AT4124"/>
    </row>
    <row r="4125" spans="46:46">
      <c r="AT4125"/>
    </row>
    <row r="4126" spans="46:46">
      <c r="AT4126"/>
    </row>
    <row r="4127" spans="46:46">
      <c r="AT4127"/>
    </row>
    <row r="4128" spans="46:46">
      <c r="AT4128"/>
    </row>
    <row r="4129" spans="46:46">
      <c r="AT4129"/>
    </row>
    <row r="4130" spans="46:46">
      <c r="AT4130"/>
    </row>
    <row r="4131" spans="46:46">
      <c r="AT4131"/>
    </row>
    <row r="4132" spans="46:46">
      <c r="AT4132"/>
    </row>
    <row r="4133" spans="46:46">
      <c r="AT4133"/>
    </row>
    <row r="4134" spans="46:46">
      <c r="AT4134"/>
    </row>
    <row r="4135" spans="46:46">
      <c r="AT4135"/>
    </row>
    <row r="4136" spans="46:46">
      <c r="AT4136"/>
    </row>
    <row r="4137" spans="46:46">
      <c r="AT4137"/>
    </row>
    <row r="4138" spans="46:46">
      <c r="AT4138"/>
    </row>
    <row r="4139" spans="46:46">
      <c r="AT4139"/>
    </row>
    <row r="4140" spans="46:46">
      <c r="AT4140"/>
    </row>
    <row r="4141" spans="46:46">
      <c r="AT4141"/>
    </row>
    <row r="4142" spans="46:46">
      <c r="AT4142"/>
    </row>
    <row r="4143" spans="46:46">
      <c r="AT4143"/>
    </row>
    <row r="4144" spans="46:46">
      <c r="AT4144"/>
    </row>
    <row r="4145" spans="46:46">
      <c r="AT4145"/>
    </row>
    <row r="4146" spans="46:46">
      <c r="AT4146"/>
    </row>
    <row r="4147" spans="46:46">
      <c r="AT4147"/>
    </row>
    <row r="4148" spans="46:46">
      <c r="AT4148"/>
    </row>
    <row r="4149" spans="46:46">
      <c r="AT4149"/>
    </row>
    <row r="4150" spans="46:46">
      <c r="AT4150"/>
    </row>
    <row r="4151" spans="46:46">
      <c r="AT4151"/>
    </row>
    <row r="4152" spans="46:46">
      <c r="AT4152"/>
    </row>
    <row r="4153" spans="46:46">
      <c r="AT4153"/>
    </row>
    <row r="4154" spans="46:46">
      <c r="AT4154"/>
    </row>
    <row r="4155" spans="46:46">
      <c r="AT4155"/>
    </row>
    <row r="4156" spans="46:46">
      <c r="AT4156"/>
    </row>
    <row r="4157" spans="46:46">
      <c r="AT4157"/>
    </row>
    <row r="4158" spans="46:46">
      <c r="AT4158"/>
    </row>
    <row r="4159" spans="46:46">
      <c r="AT4159"/>
    </row>
    <row r="4160" spans="46:46">
      <c r="AT4160"/>
    </row>
    <row r="4161" spans="46:46">
      <c r="AT4161"/>
    </row>
    <row r="4162" spans="46:46">
      <c r="AT4162"/>
    </row>
    <row r="4163" spans="46:46">
      <c r="AT4163"/>
    </row>
    <row r="4164" spans="46:46">
      <c r="AT4164"/>
    </row>
    <row r="4165" spans="46:46">
      <c r="AT4165"/>
    </row>
    <row r="4166" spans="46:46">
      <c r="AT4166"/>
    </row>
    <row r="4167" spans="46:46">
      <c r="AT4167"/>
    </row>
    <row r="4168" spans="46:46">
      <c r="AT4168"/>
    </row>
    <row r="4169" spans="46:46">
      <c r="AT4169"/>
    </row>
    <row r="4170" spans="46:46">
      <c r="AT4170"/>
    </row>
    <row r="4171" spans="46:46">
      <c r="AT4171"/>
    </row>
    <row r="4172" spans="46:46">
      <c r="AT4172"/>
    </row>
    <row r="4173" spans="46:46">
      <c r="AT4173"/>
    </row>
    <row r="4174" spans="46:46">
      <c r="AT4174"/>
    </row>
    <row r="4175" spans="46:46">
      <c r="AT4175"/>
    </row>
    <row r="4176" spans="46:46">
      <c r="AT4176"/>
    </row>
    <row r="4177" spans="46:46">
      <c r="AT4177"/>
    </row>
    <row r="4178" spans="46:46">
      <c r="AT4178"/>
    </row>
    <row r="4179" spans="46:46">
      <c r="AT4179"/>
    </row>
    <row r="4180" spans="46:46">
      <c r="AT4180"/>
    </row>
    <row r="4181" spans="46:46">
      <c r="AT4181"/>
    </row>
    <row r="4182" spans="46:46">
      <c r="AT4182"/>
    </row>
    <row r="4183" spans="46:46">
      <c r="AT4183"/>
    </row>
    <row r="4184" spans="46:46">
      <c r="AT4184"/>
    </row>
    <row r="4185" spans="46:46">
      <c r="AT4185"/>
    </row>
    <row r="4186" spans="46:46">
      <c r="AT4186"/>
    </row>
    <row r="4187" spans="46:46">
      <c r="AT4187"/>
    </row>
    <row r="4188" spans="46:46">
      <c r="AT4188"/>
    </row>
    <row r="4189" spans="46:46">
      <c r="AT4189"/>
    </row>
    <row r="4190" spans="46:46">
      <c r="AT4190"/>
    </row>
    <row r="4191" spans="46:46">
      <c r="AT4191"/>
    </row>
    <row r="4192" spans="46:46">
      <c r="AT4192"/>
    </row>
    <row r="4193" spans="46:46">
      <c r="AT4193"/>
    </row>
    <row r="4194" spans="46:46">
      <c r="AT4194"/>
    </row>
    <row r="4195" spans="46:46">
      <c r="AT4195"/>
    </row>
    <row r="4196" spans="46:46">
      <c r="AT4196"/>
    </row>
    <row r="4197" spans="46:46">
      <c r="AT4197"/>
    </row>
    <row r="4198" spans="46:46">
      <c r="AT4198"/>
    </row>
    <row r="4199" spans="46:46">
      <c r="AT4199"/>
    </row>
    <row r="4200" spans="46:46">
      <c r="AT4200"/>
    </row>
    <row r="4201" spans="46:46">
      <c r="AT4201"/>
    </row>
    <row r="4202" spans="46:46">
      <c r="AT4202"/>
    </row>
    <row r="4203" spans="46:46">
      <c r="AT4203"/>
    </row>
    <row r="4204" spans="46:46">
      <c r="AT4204"/>
    </row>
    <row r="4205" spans="46:46">
      <c r="AT4205"/>
    </row>
    <row r="4206" spans="46:46">
      <c r="AT4206"/>
    </row>
    <row r="4207" spans="46:46">
      <c r="AT4207"/>
    </row>
    <row r="4208" spans="46:46">
      <c r="AT4208"/>
    </row>
    <row r="4209" spans="46:46">
      <c r="AT4209"/>
    </row>
    <row r="4210" spans="46:46">
      <c r="AT4210"/>
    </row>
    <row r="4211" spans="46:46">
      <c r="AT4211"/>
    </row>
    <row r="4212" spans="46:46">
      <c r="AT4212"/>
    </row>
    <row r="4213" spans="46:46">
      <c r="AT4213"/>
    </row>
    <row r="4214" spans="46:46">
      <c r="AT4214"/>
    </row>
    <row r="4215" spans="46:46">
      <c r="AT4215"/>
    </row>
    <row r="4216" spans="46:46">
      <c r="AT4216"/>
    </row>
    <row r="4217" spans="46:46">
      <c r="AT4217"/>
    </row>
    <row r="4218" spans="46:46">
      <c r="AT4218"/>
    </row>
    <row r="4219" spans="46:46">
      <c r="AT4219"/>
    </row>
    <row r="4220" spans="46:46">
      <c r="AT4220"/>
    </row>
    <row r="4221" spans="46:46">
      <c r="AT4221"/>
    </row>
    <row r="4222" spans="46:46">
      <c r="AT4222"/>
    </row>
    <row r="4223" spans="46:46">
      <c r="AT4223"/>
    </row>
    <row r="4224" spans="46:46">
      <c r="AT4224"/>
    </row>
    <row r="4225" spans="46:46">
      <c r="AT4225"/>
    </row>
    <row r="4226" spans="46:46">
      <c r="AT4226"/>
    </row>
    <row r="4227" spans="46:46">
      <c r="AT4227"/>
    </row>
    <row r="4228" spans="46:46">
      <c r="AT4228"/>
    </row>
    <row r="4229" spans="46:46">
      <c r="AT4229"/>
    </row>
    <row r="4230" spans="46:46">
      <c r="AT4230"/>
    </row>
    <row r="4231" spans="46:46">
      <c r="AT4231"/>
    </row>
    <row r="4232" spans="46:46">
      <c r="AT4232"/>
    </row>
    <row r="4233" spans="46:46">
      <c r="AT4233"/>
    </row>
    <row r="4234" spans="46:46">
      <c r="AT4234"/>
    </row>
    <row r="4235" spans="46:46">
      <c r="AT4235"/>
    </row>
    <row r="4236" spans="46:46">
      <c r="AT4236"/>
    </row>
    <row r="4237" spans="46:46">
      <c r="AT4237"/>
    </row>
    <row r="4238" spans="46:46">
      <c r="AT4238"/>
    </row>
    <row r="4239" spans="46:46">
      <c r="AT4239"/>
    </row>
    <row r="4240" spans="46:46">
      <c r="AT4240"/>
    </row>
    <row r="4241" spans="46:46">
      <c r="AT4241"/>
    </row>
    <row r="4242" spans="46:46">
      <c r="AT4242"/>
    </row>
    <row r="4243" spans="46:46">
      <c r="AT4243"/>
    </row>
    <row r="4244" spans="46:46">
      <c r="AT4244"/>
    </row>
    <row r="4245" spans="46:46">
      <c r="AT4245"/>
    </row>
    <row r="4246" spans="46:46">
      <c r="AT4246"/>
    </row>
    <row r="4247" spans="46:46">
      <c r="AT4247"/>
    </row>
    <row r="4248" spans="46:46">
      <c r="AT4248"/>
    </row>
    <row r="4249" spans="46:46">
      <c r="AT4249"/>
    </row>
    <row r="4250" spans="46:46">
      <c r="AT4250"/>
    </row>
    <row r="4251" spans="46:46">
      <c r="AT4251"/>
    </row>
    <row r="4252" spans="46:46">
      <c r="AT4252"/>
    </row>
    <row r="4253" spans="46:46">
      <c r="AT4253"/>
    </row>
    <row r="4254" spans="46:46">
      <c r="AT4254"/>
    </row>
    <row r="4255" spans="46:46">
      <c r="AT4255"/>
    </row>
    <row r="4256" spans="46:46">
      <c r="AT4256"/>
    </row>
    <row r="4257" spans="46:46">
      <c r="AT4257"/>
    </row>
    <row r="4258" spans="46:46">
      <c r="AT4258"/>
    </row>
    <row r="4259" spans="46:46">
      <c r="AT4259"/>
    </row>
    <row r="4260" spans="46:46">
      <c r="AT4260"/>
    </row>
    <row r="4261" spans="46:46">
      <c r="AT4261"/>
    </row>
    <row r="4262" spans="46:46">
      <c r="AT4262"/>
    </row>
    <row r="4263" spans="46:46">
      <c r="AT4263"/>
    </row>
    <row r="4264" spans="46:46">
      <c r="AT4264"/>
    </row>
    <row r="4265" spans="46:46">
      <c r="AT4265"/>
    </row>
    <row r="4266" spans="46:46">
      <c r="AT4266"/>
    </row>
    <row r="4267" spans="46:46">
      <c r="AT4267"/>
    </row>
    <row r="4268" spans="46:46">
      <c r="AT4268"/>
    </row>
    <row r="4269" spans="46:46">
      <c r="AT4269"/>
    </row>
    <row r="4270" spans="46:46">
      <c r="AT4270"/>
    </row>
    <row r="4271" spans="46:46">
      <c r="AT4271"/>
    </row>
    <row r="4272" spans="46:46">
      <c r="AT4272"/>
    </row>
    <row r="4273" spans="46:46">
      <c r="AT4273"/>
    </row>
    <row r="4274" spans="46:46">
      <c r="AT4274"/>
    </row>
    <row r="4275" spans="46:46">
      <c r="AT4275"/>
    </row>
    <row r="4276" spans="46:46">
      <c r="AT4276"/>
    </row>
    <row r="4277" spans="46:46">
      <c r="AT4277"/>
    </row>
    <row r="4278" spans="46:46">
      <c r="AT4278"/>
    </row>
    <row r="4279" spans="46:46">
      <c r="AT4279"/>
    </row>
    <row r="4280" spans="46:46">
      <c r="AT4280"/>
    </row>
    <row r="4281" spans="46:46">
      <c r="AT4281"/>
    </row>
    <row r="4282" spans="46:46">
      <c r="AT4282"/>
    </row>
    <row r="4283" spans="46:46">
      <c r="AT4283"/>
    </row>
    <row r="4284" spans="46:46">
      <c r="AT4284"/>
    </row>
    <row r="4285" spans="46:46">
      <c r="AT4285"/>
    </row>
    <row r="4286" spans="46:46">
      <c r="AT4286"/>
    </row>
    <row r="4287" spans="46:46">
      <c r="AT4287"/>
    </row>
    <row r="4288" spans="46:46">
      <c r="AT4288"/>
    </row>
    <row r="4289" spans="46:46">
      <c r="AT4289"/>
    </row>
    <row r="4290" spans="46:46">
      <c r="AT4290"/>
    </row>
    <row r="4291" spans="46:46">
      <c r="AT4291"/>
    </row>
    <row r="4292" spans="46:46">
      <c r="AT4292"/>
    </row>
    <row r="4293" spans="46:46">
      <c r="AT4293"/>
    </row>
    <row r="4294" spans="46:46">
      <c r="AT4294"/>
    </row>
    <row r="4295" spans="46:46">
      <c r="AT4295"/>
    </row>
    <row r="4296" spans="46:46">
      <c r="AT4296"/>
    </row>
    <row r="4297" spans="46:46">
      <c r="AT4297"/>
    </row>
    <row r="4298" spans="46:46">
      <c r="AT4298"/>
    </row>
    <row r="4299" spans="46:46">
      <c r="AT4299"/>
    </row>
    <row r="4300" spans="46:46">
      <c r="AT4300"/>
    </row>
    <row r="4301" spans="46:46">
      <c r="AT4301"/>
    </row>
    <row r="4302" spans="46:46">
      <c r="AT4302"/>
    </row>
    <row r="4303" spans="46:46">
      <c r="AT4303"/>
    </row>
    <row r="4304" spans="46:46">
      <c r="AT4304"/>
    </row>
    <row r="4305" spans="46:46">
      <c r="AT4305"/>
    </row>
    <row r="4306" spans="46:46">
      <c r="AT4306"/>
    </row>
    <row r="4307" spans="46:46">
      <c r="AT4307"/>
    </row>
    <row r="4308" spans="46:46">
      <c r="AT4308"/>
    </row>
    <row r="4309" spans="46:46">
      <c r="AT4309"/>
    </row>
    <row r="4310" spans="46:46">
      <c r="AT4310"/>
    </row>
    <row r="4311" spans="46:46">
      <c r="AT4311"/>
    </row>
    <row r="4312" spans="46:46">
      <c r="AT4312"/>
    </row>
    <row r="4313" spans="46:46">
      <c r="AT4313"/>
    </row>
    <row r="4314" spans="46:46">
      <c r="AT4314"/>
    </row>
    <row r="4315" spans="46:46">
      <c r="AT4315"/>
    </row>
    <row r="4316" spans="46:46">
      <c r="AT4316"/>
    </row>
    <row r="4317" spans="46:46">
      <c r="AT4317"/>
    </row>
    <row r="4318" spans="46:46">
      <c r="AT4318"/>
    </row>
    <row r="4319" spans="46:46">
      <c r="AT4319"/>
    </row>
    <row r="4320" spans="46:46">
      <c r="AT4320"/>
    </row>
    <row r="4321" spans="46:46">
      <c r="AT4321"/>
    </row>
    <row r="4322" spans="46:46">
      <c r="AT4322"/>
    </row>
    <row r="4323" spans="46:46">
      <c r="AT4323"/>
    </row>
    <row r="4324" spans="46:46">
      <c r="AT4324"/>
    </row>
    <row r="4325" spans="46:46">
      <c r="AT4325"/>
    </row>
    <row r="4326" spans="46:46">
      <c r="AT4326"/>
    </row>
    <row r="4327" spans="46:46">
      <c r="AT4327"/>
    </row>
    <row r="4328" spans="46:46">
      <c r="AT4328"/>
    </row>
    <row r="4329" spans="46:46">
      <c r="AT4329"/>
    </row>
    <row r="4330" spans="46:46">
      <c r="AT4330"/>
    </row>
    <row r="4331" spans="46:46">
      <c r="AT4331"/>
    </row>
    <row r="4332" spans="46:46">
      <c r="AT4332"/>
    </row>
    <row r="4333" spans="46:46">
      <c r="AT4333"/>
    </row>
    <row r="4334" spans="46:46">
      <c r="AT4334"/>
    </row>
    <row r="4335" spans="46:46">
      <c r="AT4335"/>
    </row>
    <row r="4336" spans="46:46">
      <c r="AT4336"/>
    </row>
    <row r="4337" spans="46:46">
      <c r="AT4337"/>
    </row>
    <row r="4338" spans="46:46">
      <c r="AT4338"/>
    </row>
    <row r="4339" spans="46:46">
      <c r="AT4339"/>
    </row>
    <row r="4340" spans="46:46">
      <c r="AT4340"/>
    </row>
    <row r="4341" spans="46:46">
      <c r="AT4341"/>
    </row>
    <row r="4342" spans="46:46">
      <c r="AT4342"/>
    </row>
    <row r="4343" spans="46:46">
      <c r="AT4343"/>
    </row>
    <row r="4344" spans="46:46">
      <c r="AT4344"/>
    </row>
    <row r="4345" spans="46:46">
      <c r="AT4345"/>
    </row>
    <row r="4346" spans="46:46">
      <c r="AT4346"/>
    </row>
    <row r="4347" spans="46:46">
      <c r="AT4347"/>
    </row>
    <row r="4348" spans="46:46">
      <c r="AT4348"/>
    </row>
    <row r="4349" spans="46:46">
      <c r="AT4349"/>
    </row>
    <row r="4350" spans="46:46">
      <c r="AT4350"/>
    </row>
    <row r="4351" spans="46:46">
      <c r="AT4351"/>
    </row>
    <row r="4352" spans="46:46">
      <c r="AT4352"/>
    </row>
    <row r="4353" spans="46:46">
      <c r="AT4353"/>
    </row>
    <row r="4354" spans="46:46">
      <c r="AT4354"/>
    </row>
    <row r="4355" spans="46:46">
      <c r="AT4355"/>
    </row>
    <row r="4356" spans="46:46">
      <c r="AT4356"/>
    </row>
    <row r="4357" spans="46:46">
      <c r="AT4357"/>
    </row>
    <row r="4358" spans="46:46">
      <c r="AT4358"/>
    </row>
    <row r="4359" spans="46:46">
      <c r="AT4359"/>
    </row>
    <row r="4360" spans="46:46">
      <c r="AT4360"/>
    </row>
    <row r="4361" spans="46:46">
      <c r="AT4361"/>
    </row>
    <row r="4362" spans="46:46">
      <c r="AT4362"/>
    </row>
    <row r="4363" spans="46:46">
      <c r="AT4363"/>
    </row>
    <row r="4364" spans="46:46">
      <c r="AT4364"/>
    </row>
    <row r="4365" spans="46:46">
      <c r="AT4365"/>
    </row>
    <row r="4366" spans="46:46">
      <c r="AT4366"/>
    </row>
    <row r="4367" spans="46:46">
      <c r="AT4367"/>
    </row>
    <row r="4368" spans="46:46">
      <c r="AT4368"/>
    </row>
    <row r="4369" spans="46:46">
      <c r="AT4369"/>
    </row>
    <row r="4370" spans="46:46">
      <c r="AT4370"/>
    </row>
    <row r="4371" spans="46:46">
      <c r="AT4371"/>
    </row>
    <row r="4372" spans="46:46">
      <c r="AT4372"/>
    </row>
    <row r="4373" spans="46:46">
      <c r="AT4373"/>
    </row>
    <row r="4374" spans="46:46">
      <c r="AT4374"/>
    </row>
    <row r="4375" spans="46:46">
      <c r="AT4375"/>
    </row>
    <row r="4376" spans="46:46">
      <c r="AT4376"/>
    </row>
    <row r="4377" spans="46:46">
      <c r="AT4377"/>
    </row>
    <row r="4378" spans="46:46">
      <c r="AT4378"/>
    </row>
    <row r="4379" spans="46:46">
      <c r="AT4379"/>
    </row>
    <row r="4380" spans="46:46">
      <c r="AT4380"/>
    </row>
    <row r="4381" spans="46:46">
      <c r="AT4381"/>
    </row>
    <row r="4382" spans="46:46">
      <c r="AT4382"/>
    </row>
    <row r="4383" spans="46:46">
      <c r="AT4383"/>
    </row>
    <row r="4384" spans="46:46">
      <c r="AT4384"/>
    </row>
    <row r="4385" spans="46:46">
      <c r="AT4385"/>
    </row>
    <row r="4386" spans="46:46">
      <c r="AT4386"/>
    </row>
    <row r="4387" spans="46:46">
      <c r="AT4387"/>
    </row>
    <row r="4388" spans="46:46">
      <c r="AT4388"/>
    </row>
    <row r="4389" spans="46:46">
      <c r="AT4389"/>
    </row>
    <row r="4390" spans="46:46">
      <c r="AT4390"/>
    </row>
    <row r="4391" spans="46:46">
      <c r="AT4391"/>
    </row>
    <row r="4392" spans="46:46">
      <c r="AT4392"/>
    </row>
    <row r="4393" spans="46:46">
      <c r="AT4393"/>
    </row>
    <row r="4394" spans="46:46">
      <c r="AT4394"/>
    </row>
    <row r="4395" spans="46:46">
      <c r="AT4395"/>
    </row>
    <row r="4396" spans="46:46">
      <c r="AT4396"/>
    </row>
    <row r="4397" spans="46:46">
      <c r="AT4397"/>
    </row>
    <row r="4398" spans="46:46">
      <c r="AT4398"/>
    </row>
    <row r="4399" spans="46:46">
      <c r="AT4399"/>
    </row>
    <row r="4400" spans="46:46">
      <c r="AT4400"/>
    </row>
    <row r="4401" spans="46:46">
      <c r="AT4401"/>
    </row>
    <row r="4402" spans="46:46">
      <c r="AT4402"/>
    </row>
    <row r="4403" spans="46:46">
      <c r="AT4403"/>
    </row>
    <row r="4404" spans="46:46">
      <c r="AT4404"/>
    </row>
    <row r="4405" spans="46:46">
      <c r="AT4405"/>
    </row>
    <row r="4406" spans="46:46">
      <c r="AT4406"/>
    </row>
    <row r="4407" spans="46:46">
      <c r="AT4407"/>
    </row>
    <row r="4408" spans="46:46">
      <c r="AT4408"/>
    </row>
    <row r="4409" spans="46:46">
      <c r="AT4409"/>
    </row>
    <row r="4410" spans="46:46">
      <c r="AT4410"/>
    </row>
    <row r="4411" spans="46:46">
      <c r="AT4411"/>
    </row>
    <row r="4412" spans="46:46">
      <c r="AT4412"/>
    </row>
    <row r="4413" spans="46:46">
      <c r="AT4413"/>
    </row>
    <row r="4414" spans="46:46">
      <c r="AT4414"/>
    </row>
    <row r="4415" spans="46:46">
      <c r="AT4415"/>
    </row>
    <row r="4416" spans="46:46">
      <c r="AT4416"/>
    </row>
    <row r="4417" spans="46:46">
      <c r="AT4417"/>
    </row>
    <row r="4418" spans="46:46">
      <c r="AT4418"/>
    </row>
    <row r="4419" spans="46:46">
      <c r="AT4419"/>
    </row>
    <row r="4420" spans="46:46">
      <c r="AT4420"/>
    </row>
    <row r="4421" spans="46:46">
      <c r="AT4421"/>
    </row>
    <row r="4422" spans="46:46">
      <c r="AT4422"/>
    </row>
    <row r="4423" spans="46:46">
      <c r="AT4423"/>
    </row>
    <row r="4424" spans="46:46">
      <c r="AT4424"/>
    </row>
    <row r="4425" spans="46:46">
      <c r="AT4425"/>
    </row>
    <row r="4426" spans="46:46">
      <c r="AT4426"/>
    </row>
    <row r="4427" spans="46:46">
      <c r="AT4427"/>
    </row>
    <row r="4428" spans="46:46">
      <c r="AT4428"/>
    </row>
    <row r="4429" spans="46:46">
      <c r="AT4429"/>
    </row>
    <row r="4430" spans="46:46">
      <c r="AT4430"/>
    </row>
    <row r="4431" spans="46:46">
      <c r="AT4431"/>
    </row>
    <row r="4432" spans="46:46">
      <c r="AT4432"/>
    </row>
    <row r="4433" spans="46:46">
      <c r="AT4433"/>
    </row>
    <row r="4434" spans="46:46">
      <c r="AT4434"/>
    </row>
    <row r="4435" spans="46:46">
      <c r="AT4435"/>
    </row>
    <row r="4436" spans="46:46">
      <c r="AT4436"/>
    </row>
    <row r="4437" spans="46:46">
      <c r="AT4437"/>
    </row>
    <row r="4438" spans="46:46">
      <c r="AT4438"/>
    </row>
    <row r="4439" spans="46:46">
      <c r="AT4439"/>
    </row>
    <row r="4440" spans="46:46">
      <c r="AT4440"/>
    </row>
    <row r="4441" spans="46:46">
      <c r="AT4441"/>
    </row>
    <row r="4442" spans="46:46">
      <c r="AT4442"/>
    </row>
    <row r="4443" spans="46:46">
      <c r="AT4443"/>
    </row>
    <row r="4444" spans="46:46">
      <c r="AT4444"/>
    </row>
    <row r="4445" spans="46:46">
      <c r="AT4445"/>
    </row>
    <row r="4446" spans="46:46">
      <c r="AT4446"/>
    </row>
    <row r="4447" spans="46:46">
      <c r="AT4447"/>
    </row>
    <row r="4448" spans="46:46">
      <c r="AT4448"/>
    </row>
    <row r="4449" spans="46:46">
      <c r="AT4449"/>
    </row>
    <row r="4450" spans="46:46">
      <c r="AT4450"/>
    </row>
    <row r="4451" spans="46:46">
      <c r="AT4451"/>
    </row>
    <row r="4452" spans="46:46">
      <c r="AT4452"/>
    </row>
    <row r="4453" spans="46:46">
      <c r="AT4453"/>
    </row>
    <row r="4454" spans="46:46">
      <c r="AT4454"/>
    </row>
    <row r="4455" spans="46:46">
      <c r="AT4455"/>
    </row>
    <row r="4456" spans="46:46">
      <c r="AT4456"/>
    </row>
    <row r="4457" spans="46:46">
      <c r="AT4457"/>
    </row>
    <row r="4458" spans="46:46">
      <c r="AT4458"/>
    </row>
    <row r="4459" spans="46:46">
      <c r="AT4459"/>
    </row>
    <row r="4460" spans="46:46">
      <c r="AT4460"/>
    </row>
    <row r="4461" spans="46:46">
      <c r="AT4461"/>
    </row>
    <row r="4462" spans="46:46">
      <c r="AT4462"/>
    </row>
    <row r="4463" spans="46:46">
      <c r="AT4463"/>
    </row>
    <row r="4464" spans="46:46">
      <c r="AT4464"/>
    </row>
    <row r="4465" spans="46:46">
      <c r="AT4465"/>
    </row>
    <row r="4466" spans="46:46">
      <c r="AT4466"/>
    </row>
    <row r="4467" spans="46:46">
      <c r="AT4467"/>
    </row>
    <row r="4468" spans="46:46">
      <c r="AT4468"/>
    </row>
    <row r="4469" spans="46:46">
      <c r="AT4469"/>
    </row>
    <row r="4470" spans="46:46">
      <c r="AT4470"/>
    </row>
    <row r="4471" spans="46:46">
      <c r="AT4471"/>
    </row>
    <row r="4472" spans="46:46">
      <c r="AT4472"/>
    </row>
    <row r="4473" spans="46:46">
      <c r="AT4473"/>
    </row>
    <row r="4474" spans="46:46">
      <c r="AT4474"/>
    </row>
    <row r="4475" spans="46:46">
      <c r="AT4475"/>
    </row>
    <row r="4476" spans="46:46">
      <c r="AT4476"/>
    </row>
    <row r="4477" spans="46:46">
      <c r="AT4477"/>
    </row>
    <row r="4478" spans="46:46">
      <c r="AT4478"/>
    </row>
    <row r="4479" spans="46:46">
      <c r="AT4479"/>
    </row>
    <row r="4480" spans="46:46">
      <c r="AT4480"/>
    </row>
    <row r="4481" spans="46:46">
      <c r="AT4481"/>
    </row>
    <row r="4482" spans="46:46">
      <c r="AT4482"/>
    </row>
    <row r="4483" spans="46:46">
      <c r="AT4483"/>
    </row>
    <row r="4484" spans="46:46">
      <c r="AT4484"/>
    </row>
    <row r="4485" spans="46:46">
      <c r="AT4485"/>
    </row>
    <row r="4486" spans="46:46">
      <c r="AT4486"/>
    </row>
    <row r="4487" spans="46:46">
      <c r="AT4487"/>
    </row>
    <row r="4488" spans="46:46">
      <c r="AT4488"/>
    </row>
    <row r="4489" spans="46:46">
      <c r="AT4489"/>
    </row>
    <row r="4490" spans="46:46">
      <c r="AT4490"/>
    </row>
    <row r="4491" spans="46:46">
      <c r="AT4491"/>
    </row>
    <row r="4492" spans="46:46">
      <c r="AT4492"/>
    </row>
    <row r="4493" spans="46:46">
      <c r="AT4493"/>
    </row>
    <row r="4494" spans="46:46">
      <c r="AT4494"/>
    </row>
    <row r="4495" spans="46:46">
      <c r="AT4495"/>
    </row>
    <row r="4496" spans="46:46">
      <c r="AT4496"/>
    </row>
    <row r="4497" spans="46:46">
      <c r="AT4497"/>
    </row>
    <row r="4498" spans="46:46">
      <c r="AT4498"/>
    </row>
    <row r="4499" spans="46:46">
      <c r="AT4499"/>
    </row>
    <row r="4500" spans="46:46">
      <c r="AT4500"/>
    </row>
    <row r="4501" spans="46:46">
      <c r="AT4501"/>
    </row>
    <row r="4502" spans="46:46">
      <c r="AT4502"/>
    </row>
    <row r="4503" spans="46:46">
      <c r="AT4503"/>
    </row>
    <row r="4504" spans="46:46">
      <c r="AT4504"/>
    </row>
    <row r="4505" spans="46:46">
      <c r="AT4505"/>
    </row>
    <row r="4506" spans="46:46">
      <c r="AT4506"/>
    </row>
    <row r="4507" spans="46:46">
      <c r="AT4507"/>
    </row>
    <row r="4508" spans="46:46">
      <c r="AT4508"/>
    </row>
    <row r="4509" spans="46:46">
      <c r="AT4509"/>
    </row>
    <row r="4510" spans="46:46">
      <c r="AT4510"/>
    </row>
    <row r="4511" spans="46:46">
      <c r="AT4511"/>
    </row>
    <row r="4512" spans="46:46">
      <c r="AT4512"/>
    </row>
    <row r="4513" spans="46:46">
      <c r="AT4513"/>
    </row>
    <row r="4514" spans="46:46">
      <c r="AT4514"/>
    </row>
    <row r="4515" spans="46:46">
      <c r="AT4515"/>
    </row>
    <row r="4516" spans="46:46">
      <c r="AT4516"/>
    </row>
    <row r="4517" spans="46:46">
      <c r="AT4517"/>
    </row>
    <row r="4518" spans="46:46">
      <c r="AT4518"/>
    </row>
    <row r="4519" spans="46:46">
      <c r="AT4519"/>
    </row>
    <row r="4520" spans="46:46">
      <c r="AT4520"/>
    </row>
    <row r="4521" spans="46:46">
      <c r="AT4521"/>
    </row>
    <row r="4522" spans="46:46">
      <c r="AT4522"/>
    </row>
    <row r="4523" spans="46:46">
      <c r="AT4523"/>
    </row>
    <row r="4524" spans="46:46">
      <c r="AT4524"/>
    </row>
    <row r="4525" spans="46:46">
      <c r="AT4525"/>
    </row>
    <row r="4526" spans="46:46">
      <c r="AT4526"/>
    </row>
    <row r="4527" spans="46:46">
      <c r="AT4527"/>
    </row>
    <row r="4528" spans="46:46">
      <c r="AT4528"/>
    </row>
    <row r="4529" spans="46:46">
      <c r="AT4529"/>
    </row>
    <row r="4530" spans="46:46">
      <c r="AT4530"/>
    </row>
    <row r="4531" spans="46:46">
      <c r="AT4531"/>
    </row>
    <row r="4532" spans="46:46">
      <c r="AT4532"/>
    </row>
    <row r="4533" spans="46:46">
      <c r="AT4533"/>
    </row>
    <row r="4534" spans="46:46">
      <c r="AT4534"/>
    </row>
    <row r="4535" spans="46:46">
      <c r="AT4535"/>
    </row>
    <row r="4536" spans="46:46">
      <c r="AT4536"/>
    </row>
    <row r="4537" spans="46:46">
      <c r="AT4537"/>
    </row>
    <row r="4538" spans="46:46">
      <c r="AT4538"/>
    </row>
    <row r="4539" spans="46:46">
      <c r="AT4539"/>
    </row>
    <row r="4540" spans="46:46">
      <c r="AT4540"/>
    </row>
    <row r="4541" spans="46:46">
      <c r="AT4541"/>
    </row>
    <row r="4542" spans="46:46">
      <c r="AT4542"/>
    </row>
    <row r="4543" spans="46:46">
      <c r="AT4543"/>
    </row>
    <row r="4544" spans="46:46">
      <c r="AT4544"/>
    </row>
    <row r="4545" spans="46:46">
      <c r="AT4545"/>
    </row>
    <row r="4546" spans="46:46">
      <c r="AT4546"/>
    </row>
    <row r="4547" spans="46:46">
      <c r="AT4547"/>
    </row>
    <row r="4548" spans="46:46">
      <c r="AT4548"/>
    </row>
    <row r="4549" spans="46:46">
      <c r="AT4549"/>
    </row>
    <row r="4550" spans="46:46">
      <c r="AT4550"/>
    </row>
    <row r="4551" spans="46:46">
      <c r="AT4551"/>
    </row>
    <row r="4552" spans="46:46">
      <c r="AT4552"/>
    </row>
    <row r="4553" spans="46:46">
      <c r="AT4553"/>
    </row>
    <row r="4554" spans="46:46">
      <c r="AT4554"/>
    </row>
    <row r="4555" spans="46:46">
      <c r="AT4555"/>
    </row>
    <row r="4556" spans="46:46">
      <c r="AT4556"/>
    </row>
    <row r="4557" spans="46:46">
      <c r="AT4557"/>
    </row>
    <row r="4558" spans="46:46">
      <c r="AT4558"/>
    </row>
    <row r="4559" spans="46:46">
      <c r="AT4559"/>
    </row>
    <row r="4560" spans="46:46">
      <c r="AT4560"/>
    </row>
    <row r="4561" spans="46:46">
      <c r="AT4561"/>
    </row>
    <row r="4562" spans="46:46">
      <c r="AT4562"/>
    </row>
    <row r="4563" spans="46:46">
      <c r="AT4563"/>
    </row>
    <row r="4564" spans="46:46">
      <c r="AT4564"/>
    </row>
    <row r="4565" spans="46:46">
      <c r="AT4565"/>
    </row>
    <row r="4566" spans="46:46">
      <c r="AT4566"/>
    </row>
    <row r="4567" spans="46:46">
      <c r="AT4567"/>
    </row>
    <row r="4568" spans="46:46">
      <c r="AT4568"/>
    </row>
    <row r="4569" spans="46:46">
      <c r="AT4569"/>
    </row>
    <row r="4570" spans="46:46">
      <c r="AT4570"/>
    </row>
    <row r="4571" spans="46:46">
      <c r="AT4571"/>
    </row>
    <row r="4572" spans="46:46">
      <c r="AT4572"/>
    </row>
    <row r="4573" spans="46:46">
      <c r="AT4573"/>
    </row>
    <row r="4574" spans="46:46">
      <c r="AT4574"/>
    </row>
    <row r="4575" spans="46:46">
      <c r="AT4575"/>
    </row>
    <row r="4576" spans="46:46">
      <c r="AT4576"/>
    </row>
    <row r="4577" spans="46:46">
      <c r="AT4577"/>
    </row>
    <row r="4578" spans="46:46">
      <c r="AT4578"/>
    </row>
    <row r="4579" spans="46:46">
      <c r="AT4579"/>
    </row>
    <row r="4580" spans="46:46">
      <c r="AT4580"/>
    </row>
    <row r="4581" spans="46:46">
      <c r="AT4581"/>
    </row>
    <row r="4582" spans="46:46">
      <c r="AT4582"/>
    </row>
    <row r="4583" spans="46:46">
      <c r="AT4583"/>
    </row>
    <row r="4584" spans="46:46">
      <c r="AT4584"/>
    </row>
    <row r="4585" spans="46:46">
      <c r="AT4585"/>
    </row>
    <row r="4586" spans="46:46">
      <c r="AT4586"/>
    </row>
    <row r="4587" spans="46:46">
      <c r="AT4587"/>
    </row>
    <row r="4588" spans="46:46">
      <c r="AT4588"/>
    </row>
    <row r="4589" spans="46:46">
      <c r="AT4589"/>
    </row>
    <row r="4590" spans="46:46">
      <c r="AT4590"/>
    </row>
    <row r="4591" spans="46:46">
      <c r="AT4591"/>
    </row>
    <row r="4592" spans="46:46">
      <c r="AT4592"/>
    </row>
    <row r="4593" spans="46:46">
      <c r="AT4593"/>
    </row>
    <row r="4594" spans="46:46">
      <c r="AT4594"/>
    </row>
    <row r="4595" spans="46:46">
      <c r="AT4595"/>
    </row>
    <row r="4596" spans="46:46">
      <c r="AT4596"/>
    </row>
    <row r="4597" spans="46:46">
      <c r="AT4597"/>
    </row>
    <row r="4598" spans="46:46">
      <c r="AT4598"/>
    </row>
    <row r="4599" spans="46:46">
      <c r="AT4599"/>
    </row>
    <row r="4600" spans="46:46">
      <c r="AT4600"/>
    </row>
    <row r="4601" spans="46:46">
      <c r="AT4601"/>
    </row>
    <row r="4602" spans="46:46">
      <c r="AT4602"/>
    </row>
    <row r="4603" spans="46:46">
      <c r="AT4603"/>
    </row>
    <row r="4604" spans="46:46">
      <c r="AT4604"/>
    </row>
    <row r="4605" spans="46:46">
      <c r="AT4605"/>
    </row>
    <row r="4606" spans="46:46">
      <c r="AT4606"/>
    </row>
    <row r="4607" spans="46:46">
      <c r="AT4607"/>
    </row>
    <row r="4608" spans="46:46">
      <c r="AT4608"/>
    </row>
    <row r="4609" spans="46:46">
      <c r="AT4609"/>
    </row>
    <row r="4610" spans="46:46">
      <c r="AT4610"/>
    </row>
    <row r="4611" spans="46:46">
      <c r="AT4611"/>
    </row>
    <row r="4612" spans="46:46">
      <c r="AT4612"/>
    </row>
    <row r="4613" spans="46:46">
      <c r="AT4613"/>
    </row>
    <row r="4614" spans="46:46">
      <c r="AT4614"/>
    </row>
    <row r="4615" spans="46:46">
      <c r="AT4615"/>
    </row>
    <row r="4616" spans="46:46">
      <c r="AT4616"/>
    </row>
    <row r="4617" spans="46:46">
      <c r="AT4617"/>
    </row>
    <row r="4618" spans="46:46">
      <c r="AT4618"/>
    </row>
    <row r="4619" spans="46:46">
      <c r="AT4619"/>
    </row>
    <row r="4620" spans="46:46">
      <c r="AT4620"/>
    </row>
    <row r="4621" spans="46:46">
      <c r="AT4621"/>
    </row>
    <row r="4622" spans="46:46">
      <c r="AT4622"/>
    </row>
    <row r="4623" spans="46:46">
      <c r="AT4623"/>
    </row>
    <row r="4624" spans="46:46">
      <c r="AT4624"/>
    </row>
    <row r="4625" spans="46:46">
      <c r="AT4625"/>
    </row>
    <row r="4626" spans="46:46">
      <c r="AT4626"/>
    </row>
    <row r="4627" spans="46:46">
      <c r="AT4627"/>
    </row>
    <row r="4628" spans="46:46">
      <c r="AT4628"/>
    </row>
    <row r="4629" spans="46:46">
      <c r="AT4629"/>
    </row>
    <row r="4630" spans="46:46">
      <c r="AT4630"/>
    </row>
    <row r="4631" spans="46:46">
      <c r="AT4631"/>
    </row>
    <row r="4632" spans="46:46">
      <c r="AT4632"/>
    </row>
    <row r="4633" spans="46:46">
      <c r="AT4633"/>
    </row>
    <row r="4634" spans="46:46">
      <c r="AT4634"/>
    </row>
    <row r="4635" spans="46:46">
      <c r="AT4635"/>
    </row>
    <row r="4636" spans="46:46">
      <c r="AT4636"/>
    </row>
    <row r="4637" spans="46:46">
      <c r="AT4637"/>
    </row>
    <row r="4638" spans="46:46">
      <c r="AT4638"/>
    </row>
    <row r="4639" spans="46:46">
      <c r="AT4639"/>
    </row>
    <row r="4640" spans="46:46">
      <c r="AT4640"/>
    </row>
    <row r="4641" spans="46:46">
      <c r="AT4641"/>
    </row>
    <row r="4642" spans="46:46">
      <c r="AT4642"/>
    </row>
    <row r="4643" spans="46:46">
      <c r="AT4643"/>
    </row>
    <row r="4644" spans="46:46">
      <c r="AT4644"/>
    </row>
    <row r="4645" spans="46:46">
      <c r="AT4645"/>
    </row>
    <row r="4646" spans="46:46">
      <c r="AT4646"/>
    </row>
    <row r="4647" spans="46:46">
      <c r="AT4647"/>
    </row>
    <row r="4648" spans="46:46">
      <c r="AT4648"/>
    </row>
    <row r="4649" spans="46:46">
      <c r="AT4649"/>
    </row>
    <row r="4650" spans="46:46">
      <c r="AT4650"/>
    </row>
    <row r="4651" spans="46:46">
      <c r="AT4651"/>
    </row>
    <row r="4652" spans="46:46">
      <c r="AT4652"/>
    </row>
    <row r="4653" spans="46:46">
      <c r="AT4653"/>
    </row>
    <row r="4654" spans="46:46">
      <c r="AT4654"/>
    </row>
    <row r="4655" spans="46:46">
      <c r="AT4655"/>
    </row>
    <row r="4656" spans="46:46">
      <c r="AT4656"/>
    </row>
    <row r="4657" spans="46:46">
      <c r="AT4657"/>
    </row>
    <row r="4658" spans="46:46">
      <c r="AT4658"/>
    </row>
    <row r="4659" spans="46:46">
      <c r="AT4659"/>
    </row>
    <row r="4660" spans="46:46">
      <c r="AT4660"/>
    </row>
    <row r="4661" spans="46:46">
      <c r="AT4661"/>
    </row>
    <row r="4662" spans="46:46">
      <c r="AT4662"/>
    </row>
    <row r="4663" spans="46:46">
      <c r="AT4663"/>
    </row>
    <row r="4664" spans="46:46">
      <c r="AT4664"/>
    </row>
    <row r="4665" spans="46:46">
      <c r="AT4665"/>
    </row>
    <row r="4666" spans="46:46">
      <c r="AT4666"/>
    </row>
    <row r="4667" spans="46:46">
      <c r="AT4667"/>
    </row>
    <row r="4668" spans="46:46">
      <c r="AT4668"/>
    </row>
    <row r="4669" spans="46:46">
      <c r="AT4669"/>
    </row>
    <row r="4670" spans="46:46">
      <c r="AT4670"/>
    </row>
    <row r="4671" spans="46:46">
      <c r="AT4671"/>
    </row>
    <row r="4672" spans="46:46">
      <c r="AT4672"/>
    </row>
    <row r="4673" spans="46:46">
      <c r="AT4673"/>
    </row>
    <row r="4674" spans="46:46">
      <c r="AT4674"/>
    </row>
    <row r="4675" spans="46:46">
      <c r="AT4675"/>
    </row>
    <row r="4676" spans="46:46">
      <c r="AT4676"/>
    </row>
    <row r="4677" spans="46:46">
      <c r="AT4677"/>
    </row>
    <row r="4678" spans="46:46">
      <c r="AT4678"/>
    </row>
    <row r="4679" spans="46:46">
      <c r="AT4679"/>
    </row>
    <row r="4680" spans="46:46">
      <c r="AT4680"/>
    </row>
    <row r="4681" spans="46:46">
      <c r="AT4681"/>
    </row>
    <row r="4682" spans="46:46">
      <c r="AT4682"/>
    </row>
    <row r="4683" spans="46:46">
      <c r="AT4683"/>
    </row>
    <row r="4684" spans="46:46">
      <c r="AT4684"/>
    </row>
    <row r="4685" spans="46:46">
      <c r="AT4685"/>
    </row>
    <row r="4686" spans="46:46">
      <c r="AT4686"/>
    </row>
    <row r="4687" spans="46:46">
      <c r="AT4687"/>
    </row>
    <row r="4688" spans="46:46">
      <c r="AT4688"/>
    </row>
    <row r="4689" spans="46:46">
      <c r="AT4689"/>
    </row>
    <row r="4690" spans="46:46">
      <c r="AT4690"/>
    </row>
    <row r="4691" spans="46:46">
      <c r="AT4691"/>
    </row>
    <row r="4692" spans="46:46">
      <c r="AT4692"/>
    </row>
    <row r="4693" spans="46:46">
      <c r="AT4693"/>
    </row>
    <row r="4694" spans="46:46">
      <c r="AT4694"/>
    </row>
    <row r="4695" spans="46:46">
      <c r="AT4695"/>
    </row>
    <row r="4696" spans="46:46">
      <c r="AT4696"/>
    </row>
    <row r="4697" spans="46:46">
      <c r="AT4697"/>
    </row>
    <row r="4698" spans="46:46">
      <c r="AT4698"/>
    </row>
    <row r="4699" spans="46:46">
      <c r="AT4699"/>
    </row>
    <row r="4700" spans="46:46">
      <c r="AT4700"/>
    </row>
    <row r="4701" spans="46:46">
      <c r="AT4701"/>
    </row>
    <row r="4702" spans="46:46">
      <c r="AT4702"/>
    </row>
    <row r="4703" spans="46:46">
      <c r="AT4703"/>
    </row>
    <row r="4704" spans="46:46">
      <c r="AT4704"/>
    </row>
    <row r="4705" spans="46:46">
      <c r="AT4705"/>
    </row>
    <row r="4706" spans="46:46">
      <c r="AT4706"/>
    </row>
    <row r="4707" spans="46:46">
      <c r="AT4707"/>
    </row>
    <row r="4708" spans="46:46">
      <c r="AT4708"/>
    </row>
    <row r="4709" spans="46:46">
      <c r="AT4709"/>
    </row>
    <row r="4710" spans="46:46">
      <c r="AT4710"/>
    </row>
    <row r="4711" spans="46:46">
      <c r="AT4711"/>
    </row>
    <row r="4712" spans="46:46">
      <c r="AT4712"/>
    </row>
    <row r="4713" spans="46:46">
      <c r="AT4713"/>
    </row>
    <row r="4714" spans="46:46">
      <c r="AT4714"/>
    </row>
    <row r="4715" spans="46:46">
      <c r="AT4715"/>
    </row>
    <row r="4716" spans="46:46">
      <c r="AT4716"/>
    </row>
    <row r="4717" spans="46:46">
      <c r="AT4717"/>
    </row>
    <row r="4718" spans="46:46">
      <c r="AT4718"/>
    </row>
    <row r="4719" spans="46:46">
      <c r="AT4719"/>
    </row>
    <row r="4720" spans="46:46">
      <c r="AT4720"/>
    </row>
    <row r="4721" spans="46:46">
      <c r="AT4721"/>
    </row>
    <row r="4722" spans="46:46">
      <c r="AT4722"/>
    </row>
    <row r="4723" spans="46:46">
      <c r="AT4723"/>
    </row>
    <row r="4724" spans="46:46">
      <c r="AT4724"/>
    </row>
    <row r="4725" spans="46:46">
      <c r="AT4725"/>
    </row>
    <row r="4726" spans="46:46">
      <c r="AT4726"/>
    </row>
    <row r="4727" spans="46:46">
      <c r="AT4727"/>
    </row>
    <row r="4728" spans="46:46">
      <c r="AT4728"/>
    </row>
    <row r="4729" spans="46:46">
      <c r="AT4729"/>
    </row>
    <row r="4730" spans="46:46">
      <c r="AT4730"/>
    </row>
    <row r="4731" spans="46:46">
      <c r="AT4731"/>
    </row>
    <row r="4732" spans="46:46">
      <c r="AT4732"/>
    </row>
    <row r="4733" spans="46:46">
      <c r="AT4733"/>
    </row>
    <row r="4734" spans="46:46">
      <c r="AT4734"/>
    </row>
    <row r="4735" spans="46:46">
      <c r="AT4735"/>
    </row>
    <row r="4736" spans="46:46">
      <c r="AT4736"/>
    </row>
    <row r="4737" spans="46:46">
      <c r="AT4737"/>
    </row>
    <row r="4738" spans="46:46">
      <c r="AT4738"/>
    </row>
    <row r="4739" spans="46:46">
      <c r="AT4739"/>
    </row>
    <row r="4740" spans="46:46">
      <c r="AT4740"/>
    </row>
    <row r="4741" spans="46:46">
      <c r="AT4741"/>
    </row>
    <row r="4742" spans="46:46">
      <c r="AT4742"/>
    </row>
    <row r="4743" spans="46:46">
      <c r="AT4743"/>
    </row>
    <row r="4744" spans="46:46">
      <c r="AT4744"/>
    </row>
    <row r="4745" spans="46:46">
      <c r="AT4745"/>
    </row>
    <row r="4746" spans="46:46">
      <c r="AT4746"/>
    </row>
    <row r="4747" spans="46:46">
      <c r="AT4747"/>
    </row>
    <row r="4748" spans="46:46">
      <c r="AT4748"/>
    </row>
    <row r="4749" spans="46:46">
      <c r="AT4749"/>
    </row>
    <row r="4750" spans="46:46">
      <c r="AT4750"/>
    </row>
    <row r="4751" spans="46:46">
      <c r="AT4751"/>
    </row>
    <row r="4752" spans="46:46">
      <c r="AT4752"/>
    </row>
    <row r="4753" spans="46:46">
      <c r="AT4753"/>
    </row>
    <row r="4754" spans="46:46">
      <c r="AT4754"/>
    </row>
    <row r="4755" spans="46:46">
      <c r="AT4755"/>
    </row>
    <row r="4756" spans="46:46">
      <c r="AT4756"/>
    </row>
    <row r="4757" spans="46:46">
      <c r="AT4757"/>
    </row>
    <row r="4758" spans="46:46">
      <c r="AT4758"/>
    </row>
    <row r="4759" spans="46:46">
      <c r="AT4759"/>
    </row>
    <row r="4760" spans="46:46">
      <c r="AT4760"/>
    </row>
    <row r="4761" spans="46:46">
      <c r="AT4761"/>
    </row>
    <row r="4762" spans="46:46">
      <c r="AT4762"/>
    </row>
    <row r="4763" spans="46:46">
      <c r="AT4763"/>
    </row>
    <row r="4764" spans="46:46">
      <c r="AT4764"/>
    </row>
    <row r="4765" spans="46:46">
      <c r="AT4765"/>
    </row>
    <row r="4766" spans="46:46">
      <c r="AT4766"/>
    </row>
    <row r="4767" spans="46:46">
      <c r="AT4767"/>
    </row>
    <row r="4768" spans="46:46">
      <c r="AT4768"/>
    </row>
    <row r="4769" spans="46:46">
      <c r="AT4769"/>
    </row>
    <row r="4770" spans="46:46">
      <c r="AT4770"/>
    </row>
    <row r="4771" spans="46:46">
      <c r="AT4771"/>
    </row>
    <row r="4772" spans="46:46">
      <c r="AT4772"/>
    </row>
    <row r="4773" spans="46:46">
      <c r="AT4773"/>
    </row>
    <row r="4774" spans="46:46">
      <c r="AT4774"/>
    </row>
    <row r="4775" spans="46:46">
      <c r="AT4775"/>
    </row>
    <row r="4776" spans="46:46">
      <c r="AT4776"/>
    </row>
    <row r="4777" spans="46:46">
      <c r="AT4777"/>
    </row>
    <row r="4778" spans="46:46">
      <c r="AT4778"/>
    </row>
    <row r="4779" spans="46:46">
      <c r="AT4779"/>
    </row>
    <row r="4780" spans="46:46">
      <c r="AT4780"/>
    </row>
    <row r="4781" spans="46:46">
      <c r="AT4781"/>
    </row>
    <row r="4782" spans="46:46">
      <c r="AT4782"/>
    </row>
    <row r="4783" spans="46:46">
      <c r="AT4783"/>
    </row>
    <row r="4784" spans="46:46">
      <c r="AT4784"/>
    </row>
    <row r="4785" spans="46:46">
      <c r="AT4785"/>
    </row>
    <row r="4786" spans="46:46">
      <c r="AT4786"/>
    </row>
    <row r="4787" spans="46:46">
      <c r="AT4787"/>
    </row>
    <row r="4788" spans="46:46">
      <c r="AT4788"/>
    </row>
    <row r="4789" spans="46:46">
      <c r="AT4789"/>
    </row>
    <row r="4790" spans="46:46">
      <c r="AT4790"/>
    </row>
    <row r="4791" spans="46:46">
      <c r="AT4791"/>
    </row>
    <row r="4792" spans="46:46">
      <c r="AT4792"/>
    </row>
    <row r="4793" spans="46:46">
      <c r="AT4793"/>
    </row>
    <row r="4794" spans="46:46">
      <c r="AT4794"/>
    </row>
    <row r="4795" spans="46:46">
      <c r="AT4795"/>
    </row>
    <row r="4796" spans="46:46">
      <c r="AT4796"/>
    </row>
    <row r="4797" spans="46:46">
      <c r="AT4797"/>
    </row>
    <row r="4798" spans="46:46">
      <c r="AT4798"/>
    </row>
    <row r="4799" spans="46:46">
      <c r="AT4799"/>
    </row>
    <row r="4800" spans="46:46">
      <c r="AT4800"/>
    </row>
    <row r="4801" spans="46:46">
      <c r="AT4801"/>
    </row>
    <row r="4802" spans="46:46">
      <c r="AT4802"/>
    </row>
    <row r="4803" spans="46:46">
      <c r="AT4803"/>
    </row>
    <row r="4804" spans="46:46">
      <c r="AT4804"/>
    </row>
    <row r="4805" spans="46:46">
      <c r="AT4805"/>
    </row>
    <row r="4806" spans="46:46">
      <c r="AT4806"/>
    </row>
    <row r="4807" spans="46:46">
      <c r="AT4807"/>
    </row>
    <row r="4808" spans="46:46">
      <c r="AT4808"/>
    </row>
    <row r="4809" spans="46:46">
      <c r="AT4809"/>
    </row>
    <row r="4810" spans="46:46">
      <c r="AT4810"/>
    </row>
    <row r="4811" spans="46:46">
      <c r="AT4811"/>
    </row>
    <row r="4812" spans="46:46">
      <c r="AT4812"/>
    </row>
    <row r="4813" spans="46:46">
      <c r="AT4813"/>
    </row>
    <row r="4814" spans="46:46">
      <c r="AT4814"/>
    </row>
    <row r="4815" spans="46:46">
      <c r="AT4815"/>
    </row>
    <row r="4816" spans="46:46">
      <c r="AT4816"/>
    </row>
    <row r="4817" spans="46:46">
      <c r="AT4817"/>
    </row>
    <row r="4818" spans="46:46">
      <c r="AT4818"/>
    </row>
    <row r="4819" spans="46:46">
      <c r="AT4819"/>
    </row>
    <row r="4820" spans="46:46">
      <c r="AT4820"/>
    </row>
    <row r="4821" spans="46:46">
      <c r="AT4821"/>
    </row>
    <row r="4822" spans="46:46">
      <c r="AT4822"/>
    </row>
    <row r="4823" spans="46:46">
      <c r="AT4823"/>
    </row>
    <row r="4824" spans="46:46">
      <c r="AT4824"/>
    </row>
    <row r="4825" spans="46:46">
      <c r="AT4825"/>
    </row>
    <row r="4826" spans="46:46">
      <c r="AT4826"/>
    </row>
    <row r="4827" spans="46:46">
      <c r="AT4827"/>
    </row>
    <row r="4828" spans="46:46">
      <c r="AT4828"/>
    </row>
    <row r="4829" spans="46:46">
      <c r="AT4829"/>
    </row>
    <row r="4830" spans="46:46">
      <c r="AT4830"/>
    </row>
    <row r="4831" spans="46:46">
      <c r="AT4831"/>
    </row>
    <row r="4832" spans="46:46">
      <c r="AT4832"/>
    </row>
    <row r="4833" spans="46:46">
      <c r="AT4833"/>
    </row>
    <row r="4834" spans="46:46">
      <c r="AT4834"/>
    </row>
    <row r="4835" spans="46:46">
      <c r="AT4835"/>
    </row>
    <row r="4836" spans="46:46">
      <c r="AT4836"/>
    </row>
    <row r="4837" spans="46:46">
      <c r="AT4837"/>
    </row>
    <row r="4838" spans="46:46">
      <c r="AT4838"/>
    </row>
    <row r="4839" spans="46:46">
      <c r="AT4839"/>
    </row>
    <row r="4840" spans="46:46">
      <c r="AT4840"/>
    </row>
    <row r="4841" spans="46:46">
      <c r="AT4841"/>
    </row>
    <row r="4842" spans="46:46">
      <c r="AT4842"/>
    </row>
    <row r="4843" spans="46:46">
      <c r="AT4843"/>
    </row>
    <row r="4844" spans="46:46">
      <c r="AT4844"/>
    </row>
    <row r="4845" spans="46:46">
      <c r="AT4845"/>
    </row>
    <row r="4846" spans="46:46">
      <c r="AT4846"/>
    </row>
    <row r="4847" spans="46:46">
      <c r="AT4847"/>
    </row>
    <row r="4848" spans="46:46">
      <c r="AT4848"/>
    </row>
    <row r="4849" spans="46:46">
      <c r="AT4849"/>
    </row>
    <row r="4850" spans="46:46">
      <c r="AT4850"/>
    </row>
    <row r="4851" spans="46:46">
      <c r="AT4851"/>
    </row>
    <row r="4852" spans="46:46">
      <c r="AT4852"/>
    </row>
    <row r="4853" spans="46:46">
      <c r="AT4853"/>
    </row>
    <row r="4854" spans="46:46">
      <c r="AT4854"/>
    </row>
    <row r="4855" spans="46:46">
      <c r="AT4855"/>
    </row>
    <row r="4856" spans="46:46">
      <c r="AT4856"/>
    </row>
    <row r="4857" spans="46:46">
      <c r="AT4857"/>
    </row>
    <row r="4858" spans="46:46">
      <c r="AT4858"/>
    </row>
    <row r="4859" spans="46:46">
      <c r="AT4859"/>
    </row>
    <row r="4860" spans="46:46">
      <c r="AT4860"/>
    </row>
    <row r="4861" spans="46:46">
      <c r="AT4861"/>
    </row>
    <row r="4862" spans="46:46">
      <c r="AT4862"/>
    </row>
    <row r="4863" spans="46:46">
      <c r="AT4863"/>
    </row>
    <row r="4864" spans="46:46">
      <c r="AT4864"/>
    </row>
    <row r="4865" spans="46:46">
      <c r="AT4865"/>
    </row>
    <row r="4866" spans="46:46">
      <c r="AT4866"/>
    </row>
    <row r="4867" spans="46:46">
      <c r="AT4867"/>
    </row>
    <row r="4868" spans="46:46">
      <c r="AT4868"/>
    </row>
    <row r="4869" spans="46:46">
      <c r="AT4869"/>
    </row>
    <row r="4870" spans="46:46">
      <c r="AT4870"/>
    </row>
    <row r="4871" spans="46:46">
      <c r="AT4871"/>
    </row>
    <row r="4872" spans="46:46">
      <c r="AT4872"/>
    </row>
    <row r="4873" spans="46:46">
      <c r="AT4873"/>
    </row>
    <row r="4874" spans="46:46">
      <c r="AT4874"/>
    </row>
    <row r="4875" spans="46:46">
      <c r="AT4875"/>
    </row>
    <row r="4876" spans="46:46">
      <c r="AT4876"/>
    </row>
    <row r="4877" spans="46:46">
      <c r="AT4877"/>
    </row>
    <row r="4878" spans="46:46">
      <c r="AT4878"/>
    </row>
    <row r="4879" spans="46:46">
      <c r="AT4879"/>
    </row>
    <row r="4880" spans="46:46">
      <c r="AT4880"/>
    </row>
    <row r="4881" spans="46:46">
      <c r="AT4881"/>
    </row>
    <row r="4882" spans="46:46">
      <c r="AT4882"/>
    </row>
    <row r="4883" spans="46:46">
      <c r="AT4883"/>
    </row>
    <row r="4884" spans="46:46">
      <c r="AT4884"/>
    </row>
    <row r="4885" spans="46:46">
      <c r="AT4885"/>
    </row>
    <row r="4886" spans="46:46">
      <c r="AT4886"/>
    </row>
    <row r="4887" spans="46:46">
      <c r="AT4887"/>
    </row>
    <row r="4888" spans="46:46">
      <c r="AT4888"/>
    </row>
    <row r="4889" spans="46:46">
      <c r="AT4889"/>
    </row>
    <row r="4890" spans="46:46">
      <c r="AT4890"/>
    </row>
    <row r="4891" spans="46:46">
      <c r="AT4891"/>
    </row>
    <row r="4892" spans="46:46">
      <c r="AT4892"/>
    </row>
    <row r="4893" spans="46:46">
      <c r="AT4893"/>
    </row>
    <row r="4894" spans="46:46">
      <c r="AT4894"/>
    </row>
    <row r="4895" spans="46:46">
      <c r="AT4895"/>
    </row>
    <row r="4896" spans="46:46">
      <c r="AT4896"/>
    </row>
    <row r="4897" spans="46:46">
      <c r="AT4897"/>
    </row>
    <row r="4898" spans="46:46">
      <c r="AT4898"/>
    </row>
    <row r="4899" spans="46:46">
      <c r="AT4899"/>
    </row>
    <row r="4900" spans="46:46">
      <c r="AT4900"/>
    </row>
    <row r="4901" spans="46:46">
      <c r="AT4901"/>
    </row>
    <row r="4902" spans="46:46">
      <c r="AT4902"/>
    </row>
    <row r="4903" spans="46:46">
      <c r="AT4903"/>
    </row>
    <row r="4904" spans="46:46">
      <c r="AT4904"/>
    </row>
    <row r="4905" spans="46:46">
      <c r="AT4905"/>
    </row>
    <row r="4906" spans="46:46">
      <c r="AT4906"/>
    </row>
    <row r="4907" spans="46:46">
      <c r="AT4907"/>
    </row>
    <row r="4908" spans="46:46">
      <c r="AT4908"/>
    </row>
    <row r="4909" spans="46:46">
      <c r="AT4909"/>
    </row>
    <row r="4910" spans="46:46">
      <c r="AT4910"/>
    </row>
    <row r="4911" spans="46:46">
      <c r="AT4911"/>
    </row>
    <row r="4912" spans="46:46">
      <c r="AT4912"/>
    </row>
    <row r="4913" spans="46:46">
      <c r="AT4913"/>
    </row>
    <row r="4914" spans="46:46">
      <c r="AT4914"/>
    </row>
    <row r="4915" spans="46:46">
      <c r="AT4915"/>
    </row>
    <row r="4916" spans="46:46">
      <c r="AT4916"/>
    </row>
    <row r="4917" spans="46:46">
      <c r="AT4917"/>
    </row>
    <row r="4918" spans="46:46">
      <c r="AT4918"/>
    </row>
    <row r="4919" spans="46:46">
      <c r="AT4919"/>
    </row>
    <row r="4920" spans="46:46">
      <c r="AT4920"/>
    </row>
    <row r="4921" spans="46:46">
      <c r="AT4921"/>
    </row>
    <row r="4922" spans="46:46">
      <c r="AT4922"/>
    </row>
    <row r="4923" spans="46:46">
      <c r="AT4923"/>
    </row>
    <row r="4924" spans="46:46">
      <c r="AT4924"/>
    </row>
    <row r="4925" spans="46:46">
      <c r="AT4925"/>
    </row>
    <row r="4926" spans="46:46">
      <c r="AT4926"/>
    </row>
    <row r="4927" spans="46:46">
      <c r="AT4927"/>
    </row>
    <row r="4928" spans="46:46">
      <c r="AT4928"/>
    </row>
    <row r="4929" spans="46:46">
      <c r="AT4929"/>
    </row>
    <row r="4930" spans="46:46">
      <c r="AT4930"/>
    </row>
    <row r="4931" spans="46:46">
      <c r="AT4931"/>
    </row>
    <row r="4932" spans="46:46">
      <c r="AT4932"/>
    </row>
    <row r="4933" spans="46:46">
      <c r="AT4933"/>
    </row>
    <row r="4934" spans="46:46">
      <c r="AT4934"/>
    </row>
    <row r="4935" spans="46:46">
      <c r="AT4935"/>
    </row>
    <row r="4936" spans="46:46">
      <c r="AT4936"/>
    </row>
    <row r="4937" spans="46:46">
      <c r="AT4937"/>
    </row>
    <row r="4938" spans="46:46">
      <c r="AT4938"/>
    </row>
    <row r="4939" spans="46:46">
      <c r="AT4939"/>
    </row>
    <row r="4940" spans="46:46">
      <c r="AT4940"/>
    </row>
    <row r="4941" spans="46:46">
      <c r="AT4941"/>
    </row>
    <row r="4942" spans="46:46">
      <c r="AT4942"/>
    </row>
    <row r="4943" spans="46:46">
      <c r="AT4943"/>
    </row>
    <row r="4944" spans="46:46">
      <c r="AT4944"/>
    </row>
    <row r="4945" spans="46:46">
      <c r="AT4945"/>
    </row>
    <row r="4946" spans="46:46">
      <c r="AT4946"/>
    </row>
    <row r="4947" spans="46:46">
      <c r="AT4947"/>
    </row>
    <row r="4948" spans="46:46">
      <c r="AT4948"/>
    </row>
    <row r="4949" spans="46:46">
      <c r="AT4949"/>
    </row>
    <row r="4950" spans="46:46">
      <c r="AT4950"/>
    </row>
    <row r="4951" spans="46:46">
      <c r="AT4951"/>
    </row>
    <row r="4952" spans="46:46">
      <c r="AT4952"/>
    </row>
    <row r="4953" spans="46:46">
      <c r="AT4953"/>
    </row>
    <row r="4954" spans="46:46">
      <c r="AT4954"/>
    </row>
    <row r="4955" spans="46:46">
      <c r="AT4955"/>
    </row>
    <row r="4956" spans="46:46">
      <c r="AT4956"/>
    </row>
    <row r="4957" spans="46:46">
      <c r="AT4957"/>
    </row>
    <row r="4958" spans="46:46">
      <c r="AT4958"/>
    </row>
    <row r="4959" spans="46:46">
      <c r="AT4959"/>
    </row>
    <row r="4960" spans="46:46">
      <c r="AT4960"/>
    </row>
    <row r="4961" spans="46:46">
      <c r="AT4961"/>
    </row>
    <row r="4962" spans="46:46">
      <c r="AT4962"/>
    </row>
    <row r="4963" spans="46:46">
      <c r="AT4963"/>
    </row>
    <row r="4964" spans="46:46">
      <c r="AT4964"/>
    </row>
    <row r="4965" spans="46:46">
      <c r="AT4965"/>
    </row>
    <row r="4966" spans="46:46">
      <c r="AT4966"/>
    </row>
    <row r="4967" spans="46:46">
      <c r="AT4967"/>
    </row>
    <row r="4968" spans="46:46">
      <c r="AT4968"/>
    </row>
    <row r="4969" spans="46:46">
      <c r="AT4969"/>
    </row>
    <row r="4970" spans="46:46">
      <c r="AT4970"/>
    </row>
    <row r="4971" spans="46:46">
      <c r="AT4971"/>
    </row>
    <row r="4972" spans="46:46">
      <c r="AT4972"/>
    </row>
    <row r="4973" spans="46:46">
      <c r="AT4973"/>
    </row>
    <row r="4974" spans="46:46">
      <c r="AT4974"/>
    </row>
    <row r="4975" spans="46:46">
      <c r="AT4975"/>
    </row>
    <row r="4976" spans="46:46">
      <c r="AT4976"/>
    </row>
    <row r="4977" spans="46:46">
      <c r="AT4977"/>
    </row>
    <row r="4978" spans="46:46">
      <c r="AT4978"/>
    </row>
    <row r="4979" spans="46:46">
      <c r="AT4979"/>
    </row>
    <row r="4980" spans="46:46">
      <c r="AT4980"/>
    </row>
    <row r="4981" spans="46:46">
      <c r="AT4981"/>
    </row>
    <row r="4982" spans="46:46">
      <c r="AT4982"/>
    </row>
    <row r="4983" spans="46:46">
      <c r="AT4983"/>
    </row>
    <row r="4984" spans="46:46">
      <c r="AT4984"/>
    </row>
    <row r="4985" spans="46:46">
      <c r="AT4985"/>
    </row>
    <row r="4986" spans="46:46">
      <c r="AT4986"/>
    </row>
    <row r="4987" spans="46:46">
      <c r="AT4987"/>
    </row>
    <row r="4988" spans="46:46">
      <c r="AT4988"/>
    </row>
    <row r="4989" spans="46:46">
      <c r="AT4989"/>
    </row>
    <row r="4990" spans="46:46">
      <c r="AT4990"/>
    </row>
    <row r="4991" spans="46:46">
      <c r="AT4991"/>
    </row>
    <row r="4992" spans="46:46">
      <c r="AT4992"/>
    </row>
    <row r="4993" spans="46:46">
      <c r="AT4993"/>
    </row>
    <row r="4994" spans="46:46">
      <c r="AT4994"/>
    </row>
    <row r="4995" spans="46:46">
      <c r="AT4995"/>
    </row>
    <row r="4996" spans="46:46">
      <c r="AT4996"/>
    </row>
    <row r="4997" spans="46:46">
      <c r="AT4997"/>
    </row>
    <row r="4998" spans="46:46">
      <c r="AT4998"/>
    </row>
    <row r="4999" spans="46:46">
      <c r="AT4999"/>
    </row>
    <row r="5000" spans="46:46">
      <c r="AT5000"/>
    </row>
    <row r="5001" spans="46:46">
      <c r="AT5001"/>
    </row>
    <row r="5002" spans="46:46">
      <c r="AT5002"/>
    </row>
    <row r="5003" spans="46:46">
      <c r="AT5003"/>
    </row>
    <row r="5004" spans="46:46">
      <c r="AT5004"/>
    </row>
    <row r="5005" spans="46:46">
      <c r="AT5005"/>
    </row>
    <row r="5006" spans="46:46">
      <c r="AT5006"/>
    </row>
    <row r="5007" spans="46:46">
      <c r="AT5007"/>
    </row>
    <row r="5008" spans="46:46">
      <c r="AT5008"/>
    </row>
    <row r="5009" spans="46:46">
      <c r="AT5009"/>
    </row>
    <row r="5010" spans="46:46">
      <c r="AT5010"/>
    </row>
    <row r="5011" spans="46:46">
      <c r="AT5011"/>
    </row>
    <row r="5012" spans="46:46">
      <c r="AT5012"/>
    </row>
    <row r="5013" spans="46:46">
      <c r="AT5013"/>
    </row>
    <row r="5014" spans="46:46">
      <c r="AT5014"/>
    </row>
    <row r="5015" spans="46:46">
      <c r="AT5015"/>
    </row>
    <row r="5016" spans="46:46">
      <c r="AT5016"/>
    </row>
    <row r="5017" spans="46:46">
      <c r="AT5017"/>
    </row>
    <row r="5018" spans="46:46">
      <c r="AT5018"/>
    </row>
    <row r="5019" spans="46:46">
      <c r="AT5019"/>
    </row>
    <row r="5020" spans="46:46">
      <c r="AT5020"/>
    </row>
    <row r="5021" spans="46:46">
      <c r="AT5021"/>
    </row>
    <row r="5022" spans="46:46">
      <c r="AT5022"/>
    </row>
    <row r="5023" spans="46:46">
      <c r="AT5023"/>
    </row>
    <row r="5024" spans="46:46">
      <c r="AT5024"/>
    </row>
    <row r="5025" spans="46:46">
      <c r="AT5025"/>
    </row>
    <row r="5026" spans="46:46">
      <c r="AT5026"/>
    </row>
    <row r="5027" spans="46:46">
      <c r="AT5027"/>
    </row>
    <row r="5028" spans="46:46">
      <c r="AT5028"/>
    </row>
    <row r="5029" spans="46:46">
      <c r="AT5029"/>
    </row>
    <row r="5030" spans="46:46">
      <c r="AT5030"/>
    </row>
    <row r="5031" spans="46:46">
      <c r="AT5031"/>
    </row>
    <row r="5032" spans="46:46">
      <c r="AT5032"/>
    </row>
    <row r="5033" spans="46:46">
      <c r="AT5033"/>
    </row>
    <row r="5034" spans="46:46">
      <c r="AT5034"/>
    </row>
    <row r="5035" spans="46:46">
      <c r="AT5035"/>
    </row>
    <row r="5036" spans="46:46">
      <c r="AT5036"/>
    </row>
    <row r="5037" spans="46:46">
      <c r="AT5037"/>
    </row>
    <row r="5038" spans="46:46">
      <c r="AT5038"/>
    </row>
    <row r="5039" spans="46:46">
      <c r="AT5039"/>
    </row>
    <row r="5040" spans="46:46">
      <c r="AT5040"/>
    </row>
    <row r="5041" spans="46:46">
      <c r="AT5041"/>
    </row>
    <row r="5042" spans="46:46">
      <c r="AT5042"/>
    </row>
    <row r="5043" spans="46:46">
      <c r="AT5043"/>
    </row>
    <row r="5044" spans="46:46">
      <c r="AT5044"/>
    </row>
    <row r="5045" spans="46:46">
      <c r="AT5045"/>
    </row>
    <row r="5046" spans="46:46">
      <c r="AT5046"/>
    </row>
    <row r="5047" spans="46:46">
      <c r="AT5047"/>
    </row>
    <row r="5048" spans="46:46">
      <c r="AT5048"/>
    </row>
    <row r="5049" spans="46:46">
      <c r="AT5049"/>
    </row>
    <row r="5050" spans="46:46">
      <c r="AT5050"/>
    </row>
    <row r="5051" spans="46:46">
      <c r="AT5051"/>
    </row>
    <row r="5052" spans="46:46">
      <c r="AT5052"/>
    </row>
    <row r="5053" spans="46:46">
      <c r="AT5053"/>
    </row>
    <row r="5054" spans="46:46">
      <c r="AT5054"/>
    </row>
    <row r="5055" spans="46:46">
      <c r="AT5055"/>
    </row>
    <row r="5056" spans="46:46">
      <c r="AT5056"/>
    </row>
    <row r="5057" spans="46:46">
      <c r="AT5057"/>
    </row>
    <row r="5058" spans="46:46">
      <c r="AT5058"/>
    </row>
    <row r="5059" spans="46:46">
      <c r="AT5059"/>
    </row>
    <row r="5060" spans="46:46">
      <c r="AT5060"/>
    </row>
    <row r="5061" spans="46:46">
      <c r="AT5061"/>
    </row>
    <row r="5062" spans="46:46">
      <c r="AT5062"/>
    </row>
    <row r="5063" spans="46:46">
      <c r="AT5063"/>
    </row>
    <row r="5064" spans="46:46">
      <c r="AT5064"/>
    </row>
    <row r="5065" spans="46:46">
      <c r="AT5065"/>
    </row>
    <row r="5066" spans="46:46">
      <c r="AT5066"/>
    </row>
    <row r="5067" spans="46:46">
      <c r="AT5067"/>
    </row>
    <row r="5068" spans="46:46">
      <c r="AT5068"/>
    </row>
    <row r="5069" spans="46:46">
      <c r="AT5069"/>
    </row>
    <row r="5070" spans="46:46">
      <c r="AT5070"/>
    </row>
    <row r="5071" spans="46:46">
      <c r="AT5071"/>
    </row>
    <row r="5072" spans="46:46">
      <c r="AT5072"/>
    </row>
    <row r="5073" spans="46:46">
      <c r="AT5073"/>
    </row>
    <row r="5074" spans="46:46">
      <c r="AT5074"/>
    </row>
    <row r="5075" spans="46:46">
      <c r="AT5075"/>
    </row>
    <row r="5076" spans="46:46">
      <c r="AT5076"/>
    </row>
    <row r="5077" spans="46:46">
      <c r="AT5077"/>
    </row>
    <row r="5078" spans="46:46">
      <c r="AT5078"/>
    </row>
    <row r="5079" spans="46:46">
      <c r="AT5079"/>
    </row>
    <row r="5080" spans="46:46">
      <c r="AT5080"/>
    </row>
    <row r="5081" spans="46:46">
      <c r="AT5081"/>
    </row>
    <row r="5082" spans="46:46">
      <c r="AT5082"/>
    </row>
    <row r="5083" spans="46:46">
      <c r="AT5083"/>
    </row>
    <row r="5084" spans="46:46">
      <c r="AT5084"/>
    </row>
    <row r="5085" spans="46:46">
      <c r="AT5085"/>
    </row>
    <row r="5086" spans="46:46">
      <c r="AT5086"/>
    </row>
    <row r="5087" spans="46:46">
      <c r="AT5087"/>
    </row>
    <row r="5088" spans="46:46">
      <c r="AT5088"/>
    </row>
    <row r="5089" spans="46:46">
      <c r="AT5089"/>
    </row>
    <row r="5090" spans="46:46">
      <c r="AT5090"/>
    </row>
    <row r="5091" spans="46:46">
      <c r="AT5091"/>
    </row>
    <row r="5092" spans="46:46">
      <c r="AT5092"/>
    </row>
    <row r="5093" spans="46:46">
      <c r="AT5093"/>
    </row>
    <row r="5094" spans="46:46">
      <c r="AT5094"/>
    </row>
    <row r="5095" spans="46:46">
      <c r="AT5095"/>
    </row>
    <row r="5096" spans="46:46">
      <c r="AT5096"/>
    </row>
    <row r="5097" spans="46:46">
      <c r="AT5097"/>
    </row>
    <row r="5098" spans="46:46">
      <c r="AT5098"/>
    </row>
    <row r="5099" spans="46:46">
      <c r="AT5099"/>
    </row>
    <row r="5100" spans="46:46">
      <c r="AT5100"/>
    </row>
    <row r="5101" spans="46:46">
      <c r="AT5101"/>
    </row>
    <row r="5102" spans="46:46">
      <c r="AT5102"/>
    </row>
    <row r="5103" spans="46:46">
      <c r="AT5103"/>
    </row>
    <row r="5104" spans="46:46">
      <c r="AT5104"/>
    </row>
    <row r="5105" spans="46:46">
      <c r="AT5105"/>
    </row>
    <row r="5106" spans="46:46">
      <c r="AT5106"/>
    </row>
    <row r="5107" spans="46:46">
      <c r="AT5107"/>
    </row>
    <row r="5108" spans="46:46">
      <c r="AT5108"/>
    </row>
    <row r="5109" spans="46:46">
      <c r="AT5109"/>
    </row>
    <row r="5110" spans="46:46">
      <c r="AT5110"/>
    </row>
    <row r="5111" spans="46:46">
      <c r="AT5111"/>
    </row>
    <row r="5112" spans="46:46">
      <c r="AT5112"/>
    </row>
    <row r="5113" spans="46:46">
      <c r="AT5113"/>
    </row>
    <row r="5114" spans="46:46">
      <c r="AT5114"/>
    </row>
    <row r="5115" spans="46:46">
      <c r="AT5115"/>
    </row>
    <row r="5116" spans="46:46">
      <c r="AT5116"/>
    </row>
    <row r="5117" spans="46:46">
      <c r="AT5117"/>
    </row>
    <row r="5118" spans="46:46">
      <c r="AT5118"/>
    </row>
    <row r="5119" spans="46:46">
      <c r="AT5119"/>
    </row>
    <row r="5120" spans="46:46">
      <c r="AT5120"/>
    </row>
    <row r="5121" spans="46:46">
      <c r="AT5121"/>
    </row>
    <row r="5122" spans="46:46">
      <c r="AT5122"/>
    </row>
    <row r="5123" spans="46:46">
      <c r="AT5123"/>
    </row>
    <row r="5124" spans="46:46">
      <c r="AT5124"/>
    </row>
    <row r="5125" spans="46:46">
      <c r="AT5125"/>
    </row>
    <row r="5126" spans="46:46">
      <c r="AT5126"/>
    </row>
    <row r="5127" spans="46:46">
      <c r="AT5127"/>
    </row>
    <row r="5128" spans="46:46">
      <c r="AT5128"/>
    </row>
    <row r="5129" spans="46:46">
      <c r="AT5129"/>
    </row>
    <row r="5130" spans="46:46">
      <c r="AT5130"/>
    </row>
    <row r="5131" spans="46:46">
      <c r="AT5131"/>
    </row>
    <row r="5132" spans="46:46">
      <c r="AT5132"/>
    </row>
    <row r="5133" spans="46:46">
      <c r="AT5133"/>
    </row>
    <row r="5134" spans="46:46">
      <c r="AT5134"/>
    </row>
    <row r="5135" spans="46:46">
      <c r="AT5135"/>
    </row>
    <row r="5136" spans="46:46">
      <c r="AT5136"/>
    </row>
    <row r="5137" spans="46:46">
      <c r="AT5137"/>
    </row>
    <row r="5138" spans="46:46">
      <c r="AT5138"/>
    </row>
    <row r="5139" spans="46:46">
      <c r="AT5139"/>
    </row>
    <row r="5140" spans="46:46">
      <c r="AT5140"/>
    </row>
    <row r="5141" spans="46:46">
      <c r="AT5141"/>
    </row>
    <row r="5142" spans="46:46">
      <c r="AT5142"/>
    </row>
    <row r="5143" spans="46:46">
      <c r="AT5143"/>
    </row>
    <row r="5144" spans="46:46">
      <c r="AT5144"/>
    </row>
    <row r="5145" spans="46:46">
      <c r="AT5145"/>
    </row>
    <row r="5146" spans="46:46">
      <c r="AT5146"/>
    </row>
    <row r="5147" spans="46:46">
      <c r="AT5147"/>
    </row>
    <row r="5148" spans="46:46">
      <c r="AT5148"/>
    </row>
    <row r="5149" spans="46:46">
      <c r="AT5149"/>
    </row>
    <row r="5150" spans="46:46">
      <c r="AT5150"/>
    </row>
    <row r="5151" spans="46:46">
      <c r="AT5151"/>
    </row>
    <row r="5152" spans="46:46">
      <c r="AT5152"/>
    </row>
    <row r="5153" spans="46:46">
      <c r="AT5153"/>
    </row>
    <row r="5154" spans="46:46">
      <c r="AT5154"/>
    </row>
    <row r="5155" spans="46:46">
      <c r="AT5155"/>
    </row>
    <row r="5156" spans="46:46">
      <c r="AT5156"/>
    </row>
    <row r="5157" spans="46:46">
      <c r="AT5157"/>
    </row>
    <row r="5158" spans="46:46">
      <c r="AT5158"/>
    </row>
    <row r="5159" spans="46:46">
      <c r="AT5159"/>
    </row>
    <row r="5160" spans="46:46">
      <c r="AT5160"/>
    </row>
    <row r="5161" spans="46:46">
      <c r="AT5161"/>
    </row>
    <row r="5162" spans="46:46">
      <c r="AT5162"/>
    </row>
    <row r="5163" spans="46:46">
      <c r="AT5163"/>
    </row>
    <row r="5164" spans="46:46">
      <c r="AT5164"/>
    </row>
    <row r="5165" spans="46:46">
      <c r="AT5165"/>
    </row>
    <row r="5166" spans="46:46">
      <c r="AT5166"/>
    </row>
    <row r="5167" spans="46:46">
      <c r="AT5167"/>
    </row>
    <row r="5168" spans="46:46">
      <c r="AT5168"/>
    </row>
    <row r="5169" spans="46:46">
      <c r="AT5169"/>
    </row>
    <row r="5170" spans="46:46">
      <c r="AT5170"/>
    </row>
    <row r="5171" spans="46:46">
      <c r="AT5171"/>
    </row>
    <row r="5172" spans="46:46">
      <c r="AT5172"/>
    </row>
    <row r="5173" spans="46:46">
      <c r="AT5173"/>
    </row>
    <row r="5174" spans="46:46">
      <c r="AT5174"/>
    </row>
    <row r="5175" spans="46:46">
      <c r="AT5175"/>
    </row>
    <row r="5176" spans="46:46">
      <c r="AT5176"/>
    </row>
    <row r="5177" spans="46:46">
      <c r="AT5177"/>
    </row>
    <row r="5178" spans="46:46">
      <c r="AT5178"/>
    </row>
    <row r="5179" spans="46:46">
      <c r="AT5179"/>
    </row>
    <row r="5180" spans="46:46">
      <c r="AT5180"/>
    </row>
    <row r="5181" spans="46:46">
      <c r="AT5181"/>
    </row>
    <row r="5182" spans="46:46">
      <c r="AT5182"/>
    </row>
    <row r="5183" spans="46:46">
      <c r="AT5183"/>
    </row>
    <row r="5184" spans="46:46">
      <c r="AT5184"/>
    </row>
    <row r="5185" spans="46:46">
      <c r="AT5185"/>
    </row>
    <row r="5186" spans="46:46">
      <c r="AT5186"/>
    </row>
    <row r="5187" spans="46:46">
      <c r="AT5187"/>
    </row>
    <row r="5188" spans="46:46">
      <c r="AT5188"/>
    </row>
    <row r="5189" spans="46:46">
      <c r="AT5189"/>
    </row>
    <row r="5190" spans="46:46">
      <c r="AT5190"/>
    </row>
    <row r="5191" spans="46:46">
      <c r="AT5191"/>
    </row>
    <row r="5192" spans="46:46">
      <c r="AT5192"/>
    </row>
    <row r="5193" spans="46:46">
      <c r="AT5193"/>
    </row>
    <row r="5194" spans="46:46">
      <c r="AT5194"/>
    </row>
    <row r="5195" spans="46:46">
      <c r="AT5195"/>
    </row>
    <row r="5196" spans="46:46">
      <c r="AT5196"/>
    </row>
    <row r="5197" spans="46:46">
      <c r="AT5197"/>
    </row>
    <row r="5198" spans="46:46">
      <c r="AT5198"/>
    </row>
    <row r="5199" spans="46:46">
      <c r="AT5199"/>
    </row>
    <row r="5200" spans="46:46">
      <c r="AT5200"/>
    </row>
    <row r="5201" spans="46:46">
      <c r="AT5201"/>
    </row>
    <row r="5202" spans="46:46">
      <c r="AT5202"/>
    </row>
    <row r="5203" spans="46:46">
      <c r="AT5203"/>
    </row>
    <row r="5204" spans="46:46">
      <c r="AT5204"/>
    </row>
    <row r="5205" spans="46:46">
      <c r="AT5205"/>
    </row>
    <row r="5206" spans="46:46">
      <c r="AT5206"/>
    </row>
    <row r="5207" spans="46:46">
      <c r="AT5207"/>
    </row>
    <row r="5208" spans="46:46">
      <c r="AT5208"/>
    </row>
    <row r="5209" spans="46:46">
      <c r="AT5209"/>
    </row>
    <row r="5210" spans="46:46">
      <c r="AT5210"/>
    </row>
    <row r="5211" spans="46:46">
      <c r="AT5211"/>
    </row>
    <row r="5212" spans="46:46">
      <c r="AT5212"/>
    </row>
    <row r="5213" spans="46:46">
      <c r="AT5213"/>
    </row>
    <row r="5214" spans="46:46">
      <c r="AT5214"/>
    </row>
    <row r="5215" spans="46:46">
      <c r="AT5215"/>
    </row>
    <row r="5216" spans="46:46">
      <c r="AT5216"/>
    </row>
    <row r="5217" spans="46:46">
      <c r="AT5217"/>
    </row>
    <row r="5218" spans="46:46">
      <c r="AT5218"/>
    </row>
    <row r="5219" spans="46:46">
      <c r="AT5219"/>
    </row>
    <row r="5220" spans="46:46">
      <c r="AT5220"/>
    </row>
    <row r="5221" spans="46:46">
      <c r="AT5221"/>
    </row>
    <row r="5222" spans="46:46">
      <c r="AT5222"/>
    </row>
    <row r="5223" spans="46:46">
      <c r="AT5223"/>
    </row>
    <row r="5224" spans="46:46">
      <c r="AT5224"/>
    </row>
    <row r="5225" spans="46:46">
      <c r="AT5225"/>
    </row>
    <row r="5226" spans="46:46">
      <c r="AT5226"/>
    </row>
    <row r="5227" spans="46:46">
      <c r="AT5227"/>
    </row>
    <row r="5228" spans="46:46">
      <c r="AT5228"/>
    </row>
    <row r="5229" spans="46:46">
      <c r="AT5229"/>
    </row>
    <row r="5230" spans="46:46">
      <c r="AT5230"/>
    </row>
    <row r="5231" spans="46:46">
      <c r="AT5231"/>
    </row>
    <row r="5232" spans="46:46">
      <c r="AT5232"/>
    </row>
    <row r="5233" spans="46:46">
      <c r="AT5233"/>
    </row>
    <row r="5234" spans="46:46">
      <c r="AT5234"/>
    </row>
    <row r="5235" spans="46:46">
      <c r="AT5235"/>
    </row>
    <row r="5236" spans="46:46">
      <c r="AT5236"/>
    </row>
    <row r="5237" spans="46:46">
      <c r="AT5237"/>
    </row>
    <row r="5238" spans="46:46">
      <c r="AT5238"/>
    </row>
    <row r="5239" spans="46:46">
      <c r="AT5239"/>
    </row>
    <row r="5240" spans="46:46">
      <c r="AT5240"/>
    </row>
    <row r="5241" spans="46:46">
      <c r="AT5241"/>
    </row>
    <row r="5242" spans="46:46">
      <c r="AT5242"/>
    </row>
    <row r="5243" spans="46:46">
      <c r="AT5243"/>
    </row>
    <row r="5244" spans="46:46">
      <c r="AT5244"/>
    </row>
    <row r="5245" spans="46:46">
      <c r="AT5245"/>
    </row>
    <row r="5246" spans="46:46">
      <c r="AT5246"/>
    </row>
    <row r="5247" spans="46:46">
      <c r="AT5247"/>
    </row>
    <row r="5248" spans="46:46">
      <c r="AT5248"/>
    </row>
    <row r="5249" spans="46:46">
      <c r="AT5249"/>
    </row>
    <row r="5250" spans="46:46">
      <c r="AT5250"/>
    </row>
    <row r="5251" spans="46:46">
      <c r="AT5251"/>
    </row>
    <row r="5252" spans="46:46">
      <c r="AT5252"/>
    </row>
    <row r="5253" spans="46:46">
      <c r="AT5253"/>
    </row>
    <row r="5254" spans="46:46">
      <c r="AT5254"/>
    </row>
    <row r="5255" spans="46:46">
      <c r="AT5255"/>
    </row>
    <row r="5256" spans="46:46">
      <c r="AT5256"/>
    </row>
    <row r="5257" spans="46:46">
      <c r="AT5257"/>
    </row>
    <row r="5258" spans="46:46">
      <c r="AT5258"/>
    </row>
    <row r="5259" spans="46:46">
      <c r="AT5259"/>
    </row>
    <row r="5260" spans="46:46">
      <c r="AT5260"/>
    </row>
    <row r="5261" spans="46:46">
      <c r="AT5261"/>
    </row>
    <row r="5262" spans="46:46">
      <c r="AT5262"/>
    </row>
    <row r="5263" spans="46:46">
      <c r="AT5263"/>
    </row>
    <row r="5264" spans="46:46">
      <c r="AT5264"/>
    </row>
    <row r="5265" spans="46:46">
      <c r="AT5265"/>
    </row>
    <row r="5266" spans="46:46">
      <c r="AT5266"/>
    </row>
    <row r="5267" spans="46:46">
      <c r="AT5267"/>
    </row>
    <row r="5268" spans="46:46">
      <c r="AT5268"/>
    </row>
    <row r="5269" spans="46:46">
      <c r="AT5269"/>
    </row>
    <row r="5270" spans="46:46">
      <c r="AT5270"/>
    </row>
    <row r="5271" spans="46:46">
      <c r="AT5271"/>
    </row>
    <row r="5272" spans="46:46">
      <c r="AT5272"/>
    </row>
    <row r="5273" spans="46:46">
      <c r="AT5273"/>
    </row>
    <row r="5274" spans="46:46">
      <c r="AT5274"/>
    </row>
    <row r="5275" spans="46:46">
      <c r="AT5275"/>
    </row>
    <row r="5276" spans="46:46">
      <c r="AT5276"/>
    </row>
    <row r="5277" spans="46:46">
      <c r="AT5277"/>
    </row>
    <row r="5278" spans="46:46">
      <c r="AT5278"/>
    </row>
    <row r="5279" spans="46:46">
      <c r="AT5279"/>
    </row>
    <row r="5280" spans="46:46">
      <c r="AT5280"/>
    </row>
    <row r="5281" spans="46:46">
      <c r="AT5281"/>
    </row>
    <row r="5282" spans="46:46">
      <c r="AT5282"/>
    </row>
    <row r="5283" spans="46:46">
      <c r="AT5283"/>
    </row>
    <row r="5284" spans="46:46">
      <c r="AT5284"/>
    </row>
    <row r="5285" spans="46:46">
      <c r="AT5285"/>
    </row>
    <row r="5286" spans="46:46">
      <c r="AT5286"/>
    </row>
    <row r="5287" spans="46:46">
      <c r="AT5287"/>
    </row>
    <row r="5288" spans="46:46">
      <c r="AT5288"/>
    </row>
    <row r="5289" spans="46:46">
      <c r="AT5289"/>
    </row>
    <row r="5290" spans="46:46">
      <c r="AT5290"/>
    </row>
    <row r="5291" spans="46:46">
      <c r="AT5291"/>
    </row>
    <row r="5292" spans="46:46">
      <c r="AT5292"/>
    </row>
    <row r="5293" spans="46:46">
      <c r="AT5293"/>
    </row>
    <row r="5294" spans="46:46">
      <c r="AT5294"/>
    </row>
    <row r="5295" spans="46:46">
      <c r="AT5295"/>
    </row>
    <row r="5296" spans="46:46">
      <c r="AT5296"/>
    </row>
    <row r="5297" spans="46:46">
      <c r="AT5297"/>
    </row>
    <row r="5298" spans="46:46">
      <c r="AT5298"/>
    </row>
    <row r="5299" spans="46:46">
      <c r="AT5299"/>
    </row>
    <row r="5300" spans="46:46">
      <c r="AT5300"/>
    </row>
    <row r="5301" spans="46:46">
      <c r="AT5301"/>
    </row>
    <row r="5302" spans="46:46">
      <c r="AT5302"/>
    </row>
    <row r="5303" spans="46:46">
      <c r="AT5303"/>
    </row>
    <row r="5304" spans="46:46">
      <c r="AT5304"/>
    </row>
    <row r="5305" spans="46:46">
      <c r="AT5305"/>
    </row>
    <row r="5306" spans="46:46">
      <c r="AT5306"/>
    </row>
    <row r="5307" spans="46:46">
      <c r="AT5307"/>
    </row>
    <row r="5308" spans="46:46">
      <c r="AT5308"/>
    </row>
    <row r="5309" spans="46:46">
      <c r="AT5309"/>
    </row>
    <row r="5310" spans="46:46">
      <c r="AT5310"/>
    </row>
    <row r="5311" spans="46:46">
      <c r="AT5311"/>
    </row>
    <row r="5312" spans="46:46">
      <c r="AT5312"/>
    </row>
    <row r="5313" spans="46:46">
      <c r="AT5313"/>
    </row>
    <row r="5314" spans="46:46">
      <c r="AT5314"/>
    </row>
    <row r="5315" spans="46:46">
      <c r="AT5315"/>
    </row>
    <row r="5316" spans="46:46">
      <c r="AT5316"/>
    </row>
    <row r="5317" spans="46:46">
      <c r="AT5317"/>
    </row>
    <row r="5318" spans="46:46">
      <c r="AT5318"/>
    </row>
    <row r="5319" spans="46:46">
      <c r="AT5319"/>
    </row>
    <row r="5320" spans="46:46">
      <c r="AT5320"/>
    </row>
    <row r="5321" spans="46:46">
      <c r="AT5321"/>
    </row>
    <row r="5322" spans="46:46">
      <c r="AT5322"/>
    </row>
    <row r="5323" spans="46:46">
      <c r="AT5323"/>
    </row>
    <row r="5324" spans="46:46">
      <c r="AT5324"/>
    </row>
    <row r="5325" spans="46:46">
      <c r="AT5325"/>
    </row>
    <row r="5326" spans="46:46">
      <c r="AT5326"/>
    </row>
    <row r="5327" spans="46:46">
      <c r="AT5327"/>
    </row>
    <row r="5328" spans="46:46">
      <c r="AT5328"/>
    </row>
    <row r="5329" spans="46:46">
      <c r="AT5329"/>
    </row>
    <row r="5330" spans="46:46">
      <c r="AT5330"/>
    </row>
    <row r="5331" spans="46:46">
      <c r="AT5331"/>
    </row>
    <row r="5332" spans="46:46">
      <c r="AT5332"/>
    </row>
    <row r="5333" spans="46:46">
      <c r="AT5333"/>
    </row>
    <row r="5334" spans="46:46">
      <c r="AT5334"/>
    </row>
    <row r="5335" spans="46:46">
      <c r="AT5335"/>
    </row>
    <row r="5336" spans="46:46">
      <c r="AT5336"/>
    </row>
    <row r="5337" spans="46:46">
      <c r="AT5337"/>
    </row>
    <row r="5338" spans="46:46">
      <c r="AT5338"/>
    </row>
    <row r="5339" spans="46:46">
      <c r="AT5339"/>
    </row>
    <row r="5340" spans="46:46">
      <c r="AT5340"/>
    </row>
    <row r="5341" spans="46:46">
      <c r="AT5341"/>
    </row>
    <row r="5342" spans="46:46">
      <c r="AT5342"/>
    </row>
    <row r="5343" spans="46:46">
      <c r="AT5343"/>
    </row>
    <row r="5344" spans="46:46">
      <c r="AT5344"/>
    </row>
    <row r="5345" spans="46:46">
      <c r="AT5345"/>
    </row>
    <row r="5346" spans="46:46">
      <c r="AT5346"/>
    </row>
    <row r="5347" spans="46:46">
      <c r="AT5347"/>
    </row>
    <row r="5348" spans="46:46">
      <c r="AT5348"/>
    </row>
    <row r="5349" spans="46:46">
      <c r="AT5349"/>
    </row>
    <row r="5350" spans="46:46">
      <c r="AT5350"/>
    </row>
    <row r="5351" spans="46:46">
      <c r="AT5351"/>
    </row>
    <row r="5352" spans="46:46">
      <c r="AT5352"/>
    </row>
    <row r="5353" spans="46:46">
      <c r="AT5353"/>
    </row>
    <row r="5354" spans="46:46">
      <c r="AT5354"/>
    </row>
    <row r="5355" spans="46:46">
      <c r="AT5355"/>
    </row>
    <row r="5356" spans="46:46">
      <c r="AT5356"/>
    </row>
    <row r="5357" spans="46:46">
      <c r="AT5357"/>
    </row>
    <row r="5358" spans="46:46">
      <c r="AT5358"/>
    </row>
    <row r="5359" spans="46:46">
      <c r="AT5359"/>
    </row>
    <row r="5360" spans="46:46">
      <c r="AT5360"/>
    </row>
    <row r="5361" spans="46:46">
      <c r="AT5361"/>
    </row>
    <row r="5362" spans="46:46">
      <c r="AT5362"/>
    </row>
    <row r="5363" spans="46:46">
      <c r="AT5363"/>
    </row>
    <row r="5364" spans="46:46">
      <c r="AT5364"/>
    </row>
    <row r="5365" spans="46:46">
      <c r="AT5365"/>
    </row>
    <row r="5366" spans="46:46">
      <c r="AT5366"/>
    </row>
    <row r="5367" spans="46:46">
      <c r="AT5367"/>
    </row>
    <row r="5368" spans="46:46">
      <c r="AT5368"/>
    </row>
    <row r="5369" spans="46:46">
      <c r="AT5369"/>
    </row>
    <row r="5370" spans="46:46">
      <c r="AT5370"/>
    </row>
    <row r="5371" spans="46:46">
      <c r="AT5371"/>
    </row>
    <row r="5372" spans="46:46">
      <c r="AT5372"/>
    </row>
    <row r="5373" spans="46:46">
      <c r="AT5373"/>
    </row>
    <row r="5374" spans="46:46">
      <c r="AT5374"/>
    </row>
    <row r="5375" spans="46:46">
      <c r="AT5375"/>
    </row>
    <row r="5376" spans="46:46">
      <c r="AT5376"/>
    </row>
    <row r="5377" spans="46:46">
      <c r="AT5377"/>
    </row>
    <row r="5378" spans="46:46">
      <c r="AT5378"/>
    </row>
    <row r="5379" spans="46:46">
      <c r="AT5379"/>
    </row>
    <row r="5380" spans="46:46">
      <c r="AT5380"/>
    </row>
    <row r="5381" spans="46:46">
      <c r="AT5381"/>
    </row>
    <row r="5382" spans="46:46">
      <c r="AT5382"/>
    </row>
    <row r="5383" spans="46:46">
      <c r="AT5383"/>
    </row>
    <row r="5384" spans="46:46">
      <c r="AT5384"/>
    </row>
    <row r="5385" spans="46:46">
      <c r="AT5385"/>
    </row>
    <row r="5386" spans="46:46">
      <c r="AT5386"/>
    </row>
    <row r="5387" spans="46:46">
      <c r="AT5387"/>
    </row>
    <row r="5388" spans="46:46">
      <c r="AT5388"/>
    </row>
    <row r="5389" spans="46:46">
      <c r="AT5389"/>
    </row>
    <row r="5390" spans="46:46">
      <c r="AT5390"/>
    </row>
    <row r="5391" spans="46:46">
      <c r="AT5391"/>
    </row>
    <row r="5392" spans="46:46">
      <c r="AT5392"/>
    </row>
    <row r="5393" spans="46:46">
      <c r="AT5393"/>
    </row>
    <row r="5394" spans="46:46">
      <c r="AT5394"/>
    </row>
    <row r="5395" spans="46:46">
      <c r="AT5395"/>
    </row>
    <row r="5396" spans="46:46">
      <c r="AT5396"/>
    </row>
    <row r="5397" spans="46:46">
      <c r="AT5397"/>
    </row>
    <row r="5398" spans="46:46">
      <c r="AT5398"/>
    </row>
    <row r="5399" spans="46:46">
      <c r="AT5399"/>
    </row>
    <row r="5400" spans="46:46">
      <c r="AT5400"/>
    </row>
    <row r="5401" spans="46:46">
      <c r="AT5401"/>
    </row>
    <row r="5402" spans="46:46">
      <c r="AT5402"/>
    </row>
    <row r="5403" spans="46:46">
      <c r="AT5403"/>
    </row>
    <row r="5404" spans="46:46">
      <c r="AT5404"/>
    </row>
    <row r="5405" spans="46:46">
      <c r="AT5405"/>
    </row>
    <row r="5406" spans="46:46">
      <c r="AT5406"/>
    </row>
    <row r="5407" spans="46:46">
      <c r="AT5407"/>
    </row>
    <row r="5408" spans="46:46">
      <c r="AT5408"/>
    </row>
    <row r="5409" spans="46:46">
      <c r="AT5409"/>
    </row>
    <row r="5410" spans="46:46">
      <c r="AT5410"/>
    </row>
    <row r="5411" spans="46:46">
      <c r="AT5411"/>
    </row>
    <row r="5412" spans="46:46">
      <c r="AT5412"/>
    </row>
    <row r="5413" spans="46:46">
      <c r="AT5413"/>
    </row>
    <row r="5414" spans="46:46">
      <c r="AT5414"/>
    </row>
    <row r="5415" spans="46:46">
      <c r="AT5415"/>
    </row>
    <row r="5416" spans="46:46">
      <c r="AT5416"/>
    </row>
    <row r="5417" spans="46:46">
      <c r="AT5417"/>
    </row>
    <row r="5418" spans="46:46">
      <c r="AT5418"/>
    </row>
    <row r="5419" spans="46:46">
      <c r="AT5419"/>
    </row>
    <row r="5420" spans="46:46">
      <c r="AT5420"/>
    </row>
    <row r="5421" spans="46:46">
      <c r="AT5421"/>
    </row>
    <row r="5422" spans="46:46">
      <c r="AT5422"/>
    </row>
    <row r="5423" spans="46:46">
      <c r="AT5423"/>
    </row>
    <row r="5424" spans="46:46">
      <c r="AT5424"/>
    </row>
    <row r="5425" spans="46:46">
      <c r="AT5425"/>
    </row>
    <row r="5426" spans="46:46">
      <c r="AT5426"/>
    </row>
    <row r="5427" spans="46:46">
      <c r="AT5427"/>
    </row>
    <row r="5428" spans="46:46">
      <c r="AT5428"/>
    </row>
    <row r="5429" spans="46:46">
      <c r="AT5429"/>
    </row>
    <row r="5430" spans="46:46">
      <c r="AT5430"/>
    </row>
    <row r="5431" spans="46:46">
      <c r="AT5431"/>
    </row>
    <row r="5432" spans="46:46">
      <c r="AT5432"/>
    </row>
    <row r="5433" spans="46:46">
      <c r="AT5433"/>
    </row>
    <row r="5434" spans="46:46">
      <c r="AT5434"/>
    </row>
    <row r="5435" spans="46:46">
      <c r="AT5435"/>
    </row>
    <row r="5436" spans="46:46">
      <c r="AT5436"/>
    </row>
    <row r="5437" spans="46:46">
      <c r="AT5437"/>
    </row>
    <row r="5438" spans="46:46">
      <c r="AT5438"/>
    </row>
    <row r="5439" spans="46:46">
      <c r="AT5439"/>
    </row>
    <row r="5440" spans="46:46">
      <c r="AT5440"/>
    </row>
    <row r="5441" spans="46:46">
      <c r="AT5441"/>
    </row>
    <row r="5442" spans="46:46">
      <c r="AT5442"/>
    </row>
    <row r="5443" spans="46:46">
      <c r="AT5443"/>
    </row>
    <row r="5444" spans="46:46">
      <c r="AT5444"/>
    </row>
    <row r="5445" spans="46:46">
      <c r="AT5445"/>
    </row>
    <row r="5446" spans="46:46">
      <c r="AT5446"/>
    </row>
    <row r="5447" spans="46:46">
      <c r="AT5447"/>
    </row>
    <row r="5448" spans="46:46">
      <c r="AT5448"/>
    </row>
    <row r="5449" spans="46:46">
      <c r="AT5449"/>
    </row>
    <row r="5450" spans="46:46">
      <c r="AT5450"/>
    </row>
    <row r="5451" spans="46:46">
      <c r="AT5451"/>
    </row>
    <row r="5452" spans="46:46">
      <c r="AT5452"/>
    </row>
    <row r="5453" spans="46:46">
      <c r="AT5453"/>
    </row>
    <row r="5454" spans="46:46">
      <c r="AT5454"/>
    </row>
    <row r="5455" spans="46:46">
      <c r="AT5455"/>
    </row>
    <row r="5456" spans="46:46">
      <c r="AT5456"/>
    </row>
    <row r="5457" spans="46:46">
      <c r="AT5457"/>
    </row>
    <row r="5458" spans="46:46">
      <c r="AT5458"/>
    </row>
    <row r="5459" spans="46:46">
      <c r="AT5459"/>
    </row>
    <row r="5460" spans="46:46">
      <c r="AT5460"/>
    </row>
    <row r="5461" spans="46:46">
      <c r="AT5461"/>
    </row>
    <row r="5462" spans="46:46">
      <c r="AT5462"/>
    </row>
    <row r="5463" spans="46:46">
      <c r="AT5463"/>
    </row>
    <row r="5464" spans="46:46">
      <c r="AT5464"/>
    </row>
    <row r="5465" spans="46:46">
      <c r="AT5465"/>
    </row>
    <row r="5466" spans="46:46">
      <c r="AT5466"/>
    </row>
    <row r="5467" spans="46:46">
      <c r="AT5467"/>
    </row>
    <row r="5468" spans="46:46">
      <c r="AT5468"/>
    </row>
    <row r="5469" spans="46:46">
      <c r="AT5469"/>
    </row>
    <row r="5470" spans="46:46">
      <c r="AT5470"/>
    </row>
    <row r="5471" spans="46:46">
      <c r="AT5471"/>
    </row>
    <row r="5472" spans="46:46">
      <c r="AT5472"/>
    </row>
    <row r="5473" spans="46:46">
      <c r="AT5473"/>
    </row>
    <row r="5474" spans="46:46">
      <c r="AT5474"/>
    </row>
    <row r="5475" spans="46:46">
      <c r="AT5475"/>
    </row>
    <row r="5476" spans="46:46">
      <c r="AT5476"/>
    </row>
    <row r="5477" spans="46:46">
      <c r="AT5477"/>
    </row>
    <row r="5478" spans="46:46">
      <c r="AT5478"/>
    </row>
    <row r="5479" spans="46:46">
      <c r="AT5479"/>
    </row>
    <row r="5480" spans="46:46">
      <c r="AT5480"/>
    </row>
    <row r="5481" spans="46:46">
      <c r="AT5481"/>
    </row>
    <row r="5482" spans="46:46">
      <c r="AT5482"/>
    </row>
    <row r="5483" spans="46:46">
      <c r="AT5483"/>
    </row>
    <row r="5484" spans="46:46">
      <c r="AT5484"/>
    </row>
    <row r="5485" spans="46:46">
      <c r="AT5485"/>
    </row>
    <row r="5486" spans="46:46">
      <c r="AT5486"/>
    </row>
    <row r="5487" spans="46:46">
      <c r="AT5487"/>
    </row>
    <row r="5488" spans="46:46">
      <c r="AT5488"/>
    </row>
    <row r="5489" spans="46:46">
      <c r="AT5489"/>
    </row>
    <row r="5490" spans="46:46">
      <c r="AT5490"/>
    </row>
    <row r="5491" spans="46:46">
      <c r="AT5491"/>
    </row>
    <row r="5492" spans="46:46">
      <c r="AT5492"/>
    </row>
    <row r="5493" spans="46:46">
      <c r="AT5493"/>
    </row>
    <row r="5494" spans="46:46">
      <c r="AT5494"/>
    </row>
    <row r="5495" spans="46:46">
      <c r="AT5495"/>
    </row>
    <row r="5496" spans="46:46">
      <c r="AT5496"/>
    </row>
    <row r="5497" spans="46:46">
      <c r="AT5497"/>
    </row>
    <row r="5498" spans="46:46">
      <c r="AT5498"/>
    </row>
    <row r="5499" spans="46:46">
      <c r="AT5499"/>
    </row>
    <row r="5500" spans="46:46">
      <c r="AT5500"/>
    </row>
    <row r="5501" spans="46:46">
      <c r="AT5501"/>
    </row>
    <row r="5502" spans="46:46">
      <c r="AT5502"/>
    </row>
    <row r="5503" spans="46:46">
      <c r="AT5503"/>
    </row>
    <row r="5504" spans="46:46">
      <c r="AT5504"/>
    </row>
    <row r="5505" spans="46:46">
      <c r="AT5505"/>
    </row>
    <row r="5506" spans="46:46">
      <c r="AT5506"/>
    </row>
    <row r="5507" spans="46:46">
      <c r="AT5507"/>
    </row>
    <row r="5508" spans="46:46">
      <c r="AT5508"/>
    </row>
    <row r="5509" spans="46:46">
      <c r="AT5509"/>
    </row>
    <row r="5510" spans="46:46">
      <c r="AT5510"/>
    </row>
    <row r="5511" spans="46:46">
      <c r="AT5511"/>
    </row>
    <row r="5512" spans="46:46">
      <c r="AT5512"/>
    </row>
    <row r="5513" spans="46:46">
      <c r="AT5513"/>
    </row>
    <row r="5514" spans="46:46">
      <c r="AT5514"/>
    </row>
    <row r="5515" spans="46:46">
      <c r="AT5515"/>
    </row>
    <row r="5516" spans="46:46">
      <c r="AT5516"/>
    </row>
    <row r="5517" spans="46:46">
      <c r="AT5517"/>
    </row>
    <row r="5518" spans="46:46">
      <c r="AT5518"/>
    </row>
    <row r="5519" spans="46:46">
      <c r="AT5519"/>
    </row>
    <row r="5520" spans="46:46">
      <c r="AT5520"/>
    </row>
    <row r="5521" spans="46:46">
      <c r="AT5521"/>
    </row>
    <row r="5522" spans="46:46">
      <c r="AT5522"/>
    </row>
    <row r="5523" spans="46:46">
      <c r="AT5523"/>
    </row>
    <row r="5524" spans="46:46">
      <c r="AT5524"/>
    </row>
    <row r="5525" spans="46:46">
      <c r="AT5525"/>
    </row>
    <row r="5526" spans="46:46">
      <c r="AT5526"/>
    </row>
    <row r="5527" spans="46:46">
      <c r="AT5527"/>
    </row>
    <row r="5528" spans="46:46">
      <c r="AT5528"/>
    </row>
    <row r="5529" spans="46:46">
      <c r="AT5529"/>
    </row>
    <row r="5530" spans="46:46">
      <c r="AT5530"/>
    </row>
    <row r="5531" spans="46:46">
      <c r="AT5531"/>
    </row>
    <row r="5532" spans="46:46">
      <c r="AT5532"/>
    </row>
    <row r="5533" spans="46:46">
      <c r="AT5533"/>
    </row>
    <row r="5534" spans="46:46">
      <c r="AT5534"/>
    </row>
    <row r="5535" spans="46:46">
      <c r="AT5535"/>
    </row>
    <row r="5536" spans="46:46">
      <c r="AT5536"/>
    </row>
    <row r="5537" spans="46:46">
      <c r="AT5537"/>
    </row>
    <row r="5538" spans="46:46">
      <c r="AT5538"/>
    </row>
    <row r="5539" spans="46:46">
      <c r="AT5539"/>
    </row>
    <row r="5540" spans="46:46">
      <c r="AT5540"/>
    </row>
    <row r="5541" spans="46:46">
      <c r="AT5541"/>
    </row>
    <row r="5542" spans="46:46">
      <c r="AT5542"/>
    </row>
    <row r="5543" spans="46:46">
      <c r="AT5543"/>
    </row>
    <row r="5544" spans="46:46">
      <c r="AT5544"/>
    </row>
    <row r="5545" spans="46:46">
      <c r="AT5545"/>
    </row>
    <row r="5546" spans="46:46">
      <c r="AT5546"/>
    </row>
    <row r="5547" spans="46:46">
      <c r="AT5547"/>
    </row>
    <row r="5548" spans="46:46">
      <c r="AT5548"/>
    </row>
    <row r="5549" spans="46:46">
      <c r="AT5549"/>
    </row>
    <row r="5550" spans="46:46">
      <c r="AT5550"/>
    </row>
    <row r="5551" spans="46:46">
      <c r="AT5551"/>
    </row>
    <row r="5552" spans="46:46">
      <c r="AT5552"/>
    </row>
    <row r="5553" spans="46:46">
      <c r="AT5553"/>
    </row>
    <row r="5554" spans="46:46">
      <c r="AT5554"/>
    </row>
    <row r="5555" spans="46:46">
      <c r="AT5555"/>
    </row>
    <row r="5556" spans="46:46">
      <c r="AT5556"/>
    </row>
    <row r="5557" spans="46:46">
      <c r="AT5557"/>
    </row>
    <row r="5558" spans="46:46">
      <c r="AT5558"/>
    </row>
    <row r="5559" spans="46:46">
      <c r="AT5559"/>
    </row>
    <row r="5560" spans="46:46">
      <c r="AT5560"/>
    </row>
    <row r="5561" spans="46:46">
      <c r="AT5561"/>
    </row>
    <row r="5562" spans="46:46">
      <c r="AT5562"/>
    </row>
    <row r="5563" spans="46:46">
      <c r="AT5563"/>
    </row>
    <row r="5564" spans="46:46">
      <c r="AT5564"/>
    </row>
    <row r="5565" spans="46:46">
      <c r="AT5565"/>
    </row>
    <row r="5566" spans="46:46">
      <c r="AT5566"/>
    </row>
    <row r="5567" spans="46:46">
      <c r="AT5567"/>
    </row>
    <row r="5568" spans="46:46">
      <c r="AT5568"/>
    </row>
    <row r="5569" spans="46:46">
      <c r="AT5569"/>
    </row>
    <row r="5570" spans="46:46">
      <c r="AT5570"/>
    </row>
    <row r="5571" spans="46:46">
      <c r="AT5571"/>
    </row>
    <row r="5572" spans="46:46">
      <c r="AT5572"/>
    </row>
    <row r="5573" spans="46:46">
      <c r="AT5573"/>
    </row>
    <row r="5574" spans="46:46">
      <c r="AT5574"/>
    </row>
    <row r="5575" spans="46:46">
      <c r="AT5575"/>
    </row>
    <row r="5576" spans="46:46">
      <c r="AT5576"/>
    </row>
    <row r="5577" spans="46:46">
      <c r="AT5577"/>
    </row>
    <row r="5578" spans="46:46">
      <c r="AT5578"/>
    </row>
    <row r="5579" spans="46:46">
      <c r="AT5579"/>
    </row>
    <row r="5580" spans="46:46">
      <c r="AT5580"/>
    </row>
    <row r="5581" spans="46:46">
      <c r="AT5581"/>
    </row>
    <row r="5582" spans="46:46">
      <c r="AT5582"/>
    </row>
    <row r="5583" spans="46:46">
      <c r="AT5583"/>
    </row>
    <row r="5584" spans="46:46">
      <c r="AT5584"/>
    </row>
    <row r="5585" spans="46:46">
      <c r="AT5585"/>
    </row>
    <row r="5586" spans="46:46">
      <c r="AT5586"/>
    </row>
    <row r="5587" spans="46:46">
      <c r="AT5587"/>
    </row>
    <row r="5588" spans="46:46">
      <c r="AT5588"/>
    </row>
    <row r="5589" spans="46:46">
      <c r="AT5589"/>
    </row>
    <row r="5590" spans="46:46">
      <c r="AT5590"/>
    </row>
    <row r="5591" spans="46:46">
      <c r="AT5591"/>
    </row>
    <row r="5592" spans="46:46">
      <c r="AT5592"/>
    </row>
    <row r="5593" spans="46:46">
      <c r="AT5593"/>
    </row>
    <row r="5594" spans="46:46">
      <c r="AT5594"/>
    </row>
    <row r="5595" spans="46:46">
      <c r="AT5595"/>
    </row>
    <row r="5596" spans="46:46">
      <c r="AT5596"/>
    </row>
    <row r="5597" spans="46:46">
      <c r="AT5597"/>
    </row>
    <row r="5598" spans="46:46">
      <c r="AT5598"/>
    </row>
    <row r="5599" spans="46:46">
      <c r="AT5599"/>
    </row>
    <row r="5600" spans="46:46">
      <c r="AT5600"/>
    </row>
    <row r="5601" spans="46:46">
      <c r="AT5601"/>
    </row>
    <row r="5602" spans="46:46">
      <c r="AT5602"/>
    </row>
    <row r="5603" spans="46:46">
      <c r="AT5603"/>
    </row>
    <row r="5604" spans="46:46">
      <c r="AT5604"/>
    </row>
    <row r="5605" spans="46:46">
      <c r="AT5605"/>
    </row>
    <row r="5606" spans="46:46">
      <c r="AT5606"/>
    </row>
    <row r="5607" spans="46:46">
      <c r="AT5607"/>
    </row>
    <row r="5608" spans="46:46">
      <c r="AT5608"/>
    </row>
    <row r="5609" spans="46:46">
      <c r="AT5609"/>
    </row>
    <row r="5610" spans="46:46">
      <c r="AT5610"/>
    </row>
    <row r="5611" spans="46:46">
      <c r="AT5611"/>
    </row>
    <row r="5612" spans="46:46">
      <c r="AT5612"/>
    </row>
    <row r="5613" spans="46:46">
      <c r="AT5613"/>
    </row>
    <row r="5614" spans="46:46">
      <c r="AT5614"/>
    </row>
    <row r="5615" spans="46:46">
      <c r="AT5615"/>
    </row>
    <row r="5616" spans="46:46">
      <c r="AT5616"/>
    </row>
    <row r="5617" spans="46:46">
      <c r="AT5617"/>
    </row>
    <row r="5618" spans="46:46">
      <c r="AT5618"/>
    </row>
    <row r="5619" spans="46:46">
      <c r="AT5619"/>
    </row>
    <row r="5620" spans="46:46">
      <c r="AT5620"/>
    </row>
    <row r="5621" spans="46:46">
      <c r="AT5621"/>
    </row>
    <row r="5622" spans="46:46">
      <c r="AT5622"/>
    </row>
    <row r="5623" spans="46:46">
      <c r="AT5623"/>
    </row>
    <row r="5624" spans="46:46">
      <c r="AT5624"/>
    </row>
    <row r="5625" spans="46:46">
      <c r="AT5625"/>
    </row>
    <row r="5626" spans="46:46">
      <c r="AT5626"/>
    </row>
    <row r="5627" spans="46:46">
      <c r="AT5627"/>
    </row>
    <row r="5628" spans="46:46">
      <c r="AT5628"/>
    </row>
    <row r="5629" spans="46:46">
      <c r="AT5629"/>
    </row>
    <row r="5630" spans="46:46">
      <c r="AT5630"/>
    </row>
    <row r="5631" spans="46:46">
      <c r="AT5631"/>
    </row>
    <row r="5632" spans="46:46">
      <c r="AT5632"/>
    </row>
    <row r="5633" spans="46:46">
      <c r="AT5633"/>
    </row>
    <row r="5634" spans="46:46">
      <c r="AT5634"/>
    </row>
    <row r="5635" spans="46:46">
      <c r="AT5635"/>
    </row>
    <row r="5636" spans="46:46">
      <c r="AT5636"/>
    </row>
    <row r="5637" spans="46:46">
      <c r="AT5637"/>
    </row>
    <row r="5638" spans="46:46">
      <c r="AT5638"/>
    </row>
    <row r="5639" spans="46:46">
      <c r="AT5639"/>
    </row>
    <row r="5640" spans="46:46">
      <c r="AT5640"/>
    </row>
    <row r="5641" spans="46:46">
      <c r="AT5641"/>
    </row>
    <row r="5642" spans="46:46">
      <c r="AT5642"/>
    </row>
    <row r="5643" spans="46:46">
      <c r="AT5643"/>
    </row>
    <row r="5644" spans="46:46">
      <c r="AT5644"/>
    </row>
    <row r="5645" spans="46:46">
      <c r="AT5645"/>
    </row>
    <row r="5646" spans="46:46">
      <c r="AT5646"/>
    </row>
    <row r="5647" spans="46:46">
      <c r="AT5647"/>
    </row>
    <row r="5648" spans="46:46">
      <c r="AT5648"/>
    </row>
    <row r="5649" spans="46:46">
      <c r="AT5649"/>
    </row>
    <row r="5650" spans="46:46">
      <c r="AT5650"/>
    </row>
    <row r="5651" spans="46:46">
      <c r="AT5651"/>
    </row>
    <row r="5652" spans="46:46">
      <c r="AT5652"/>
    </row>
    <row r="5653" spans="46:46">
      <c r="AT5653"/>
    </row>
    <row r="5654" spans="46:46">
      <c r="AT5654"/>
    </row>
    <row r="5655" spans="46:46">
      <c r="AT5655"/>
    </row>
    <row r="5656" spans="46:46">
      <c r="AT5656"/>
    </row>
    <row r="5657" spans="46:46">
      <c r="AT5657"/>
    </row>
    <row r="5658" spans="46:46">
      <c r="AT5658"/>
    </row>
    <row r="5659" spans="46:46">
      <c r="AT5659"/>
    </row>
    <row r="5660" spans="46:46">
      <c r="AT5660"/>
    </row>
    <row r="5661" spans="46:46">
      <c r="AT5661"/>
    </row>
    <row r="5662" spans="46:46">
      <c r="AT5662"/>
    </row>
    <row r="5663" spans="46:46">
      <c r="AT5663"/>
    </row>
    <row r="5664" spans="46:46">
      <c r="AT5664"/>
    </row>
    <row r="5665" spans="46:46">
      <c r="AT5665"/>
    </row>
    <row r="5666" spans="46:46">
      <c r="AT5666"/>
    </row>
    <row r="5667" spans="46:46">
      <c r="AT5667"/>
    </row>
    <row r="5668" spans="46:46">
      <c r="AT5668"/>
    </row>
    <row r="5669" spans="46:46">
      <c r="AT5669"/>
    </row>
    <row r="5670" spans="46:46">
      <c r="AT5670"/>
    </row>
    <row r="5671" spans="46:46">
      <c r="AT5671"/>
    </row>
    <row r="5672" spans="46:46">
      <c r="AT5672"/>
    </row>
    <row r="5673" spans="46:46">
      <c r="AT5673"/>
    </row>
    <row r="5674" spans="46:46">
      <c r="AT5674"/>
    </row>
    <row r="5675" spans="46:46">
      <c r="AT5675"/>
    </row>
    <row r="5676" spans="46:46">
      <c r="AT5676"/>
    </row>
    <row r="5677" spans="46:46">
      <c r="AT5677"/>
    </row>
    <row r="5678" spans="46:46">
      <c r="AT5678"/>
    </row>
    <row r="5679" spans="46:46">
      <c r="AT5679"/>
    </row>
    <row r="5680" spans="46:46">
      <c r="AT5680"/>
    </row>
    <row r="5681" spans="46:46">
      <c r="AT5681"/>
    </row>
    <row r="5682" spans="46:46">
      <c r="AT5682"/>
    </row>
    <row r="5683" spans="46:46">
      <c r="AT5683"/>
    </row>
    <row r="5684" spans="46:46">
      <c r="AT5684"/>
    </row>
    <row r="5685" spans="46:46">
      <c r="AT5685"/>
    </row>
    <row r="5686" spans="46:46">
      <c r="AT5686"/>
    </row>
    <row r="5687" spans="46:46">
      <c r="AT5687"/>
    </row>
    <row r="5688" spans="46:46">
      <c r="AT5688"/>
    </row>
    <row r="5689" spans="46:46">
      <c r="AT5689"/>
    </row>
    <row r="5690" spans="46:46">
      <c r="AT5690"/>
    </row>
    <row r="5691" spans="46:46">
      <c r="AT5691"/>
    </row>
    <row r="5692" spans="46:46">
      <c r="AT5692"/>
    </row>
    <row r="5693" spans="46:46">
      <c r="AT5693"/>
    </row>
    <row r="5694" spans="46:46">
      <c r="AT5694"/>
    </row>
    <row r="5695" spans="46:46">
      <c r="AT5695"/>
    </row>
    <row r="5696" spans="46:46">
      <c r="AT5696"/>
    </row>
    <row r="5697" spans="46:46">
      <c r="AT5697"/>
    </row>
    <row r="5698" spans="46:46">
      <c r="AT5698"/>
    </row>
    <row r="5699" spans="46:46">
      <c r="AT5699"/>
    </row>
    <row r="5700" spans="46:46">
      <c r="AT5700"/>
    </row>
    <row r="5701" spans="46:46">
      <c r="AT5701"/>
    </row>
    <row r="5702" spans="46:46">
      <c r="AT5702"/>
    </row>
    <row r="5703" spans="46:46">
      <c r="AT5703"/>
    </row>
    <row r="5704" spans="46:46">
      <c r="AT5704"/>
    </row>
    <row r="5705" spans="46:46">
      <c r="AT5705"/>
    </row>
    <row r="5706" spans="46:46">
      <c r="AT5706"/>
    </row>
    <row r="5707" spans="46:46">
      <c r="AT5707"/>
    </row>
    <row r="5708" spans="46:46">
      <c r="AT5708"/>
    </row>
    <row r="5709" spans="46:46">
      <c r="AT5709"/>
    </row>
    <row r="5710" spans="46:46">
      <c r="AT5710"/>
    </row>
    <row r="5711" spans="46:46">
      <c r="AT5711"/>
    </row>
    <row r="5712" spans="46:46">
      <c r="AT5712"/>
    </row>
    <row r="5713" spans="46:46">
      <c r="AT5713"/>
    </row>
    <row r="5714" spans="46:46">
      <c r="AT5714"/>
    </row>
    <row r="5715" spans="46:46">
      <c r="AT5715"/>
    </row>
    <row r="5716" spans="46:46">
      <c r="AT5716"/>
    </row>
    <row r="5717" spans="46:46">
      <c r="AT5717"/>
    </row>
    <row r="5718" spans="46:46">
      <c r="AT5718"/>
    </row>
    <row r="5719" spans="46:46">
      <c r="AT5719"/>
    </row>
    <row r="5720" spans="46:46">
      <c r="AT5720"/>
    </row>
    <row r="5721" spans="46:46">
      <c r="AT5721"/>
    </row>
    <row r="5722" spans="46:46">
      <c r="AT5722"/>
    </row>
    <row r="5723" spans="46:46">
      <c r="AT5723"/>
    </row>
    <row r="5724" spans="46:46">
      <c r="AT5724"/>
    </row>
    <row r="5725" spans="46:46">
      <c r="AT5725"/>
    </row>
    <row r="5726" spans="46:46">
      <c r="AT5726"/>
    </row>
    <row r="5727" spans="46:46">
      <c r="AT5727"/>
    </row>
    <row r="5728" spans="46:46">
      <c r="AT5728"/>
    </row>
    <row r="5729" spans="46:46">
      <c r="AT5729"/>
    </row>
    <row r="5730" spans="46:46">
      <c r="AT5730"/>
    </row>
    <row r="5731" spans="46:46">
      <c r="AT5731"/>
    </row>
    <row r="5732" spans="46:46">
      <c r="AT5732"/>
    </row>
    <row r="5733" spans="46:46">
      <c r="AT5733"/>
    </row>
    <row r="5734" spans="46:46">
      <c r="AT5734"/>
    </row>
    <row r="5735" spans="46:46">
      <c r="AT5735"/>
    </row>
    <row r="5736" spans="46:46">
      <c r="AT5736"/>
    </row>
    <row r="5737" spans="46:46">
      <c r="AT5737"/>
    </row>
    <row r="5738" spans="46:46">
      <c r="AT5738"/>
    </row>
    <row r="5739" spans="46:46">
      <c r="AT5739"/>
    </row>
    <row r="5740" spans="46:46">
      <c r="AT5740"/>
    </row>
    <row r="5741" spans="46:46">
      <c r="AT5741"/>
    </row>
    <row r="5742" spans="46:46">
      <c r="AT5742"/>
    </row>
    <row r="5743" spans="46:46">
      <c r="AT5743"/>
    </row>
    <row r="5744" spans="46:46">
      <c r="AT5744"/>
    </row>
    <row r="5745" spans="46:46">
      <c r="AT5745"/>
    </row>
    <row r="5746" spans="46:46">
      <c r="AT5746"/>
    </row>
    <row r="5747" spans="46:46">
      <c r="AT5747"/>
    </row>
    <row r="5748" spans="46:46">
      <c r="AT5748"/>
    </row>
    <row r="5749" spans="46:46">
      <c r="AT5749"/>
    </row>
    <row r="5750" spans="46:46">
      <c r="AT5750"/>
    </row>
    <row r="5751" spans="46:46">
      <c r="AT5751"/>
    </row>
    <row r="5752" spans="46:46">
      <c r="AT5752"/>
    </row>
    <row r="5753" spans="46:46">
      <c r="AT5753"/>
    </row>
    <row r="5754" spans="46:46">
      <c r="AT5754"/>
    </row>
    <row r="5755" spans="46:46">
      <c r="AT5755"/>
    </row>
    <row r="5756" spans="46:46">
      <c r="AT5756"/>
    </row>
    <row r="5757" spans="46:46">
      <c r="AT5757"/>
    </row>
    <row r="5758" spans="46:46">
      <c r="AT5758"/>
    </row>
    <row r="5759" spans="46:46">
      <c r="AT5759"/>
    </row>
    <row r="5760" spans="46:46">
      <c r="AT5760"/>
    </row>
    <row r="5761" spans="46:46">
      <c r="AT5761"/>
    </row>
    <row r="5762" spans="46:46">
      <c r="AT5762"/>
    </row>
    <row r="5763" spans="46:46">
      <c r="AT5763"/>
    </row>
    <row r="5764" spans="46:46">
      <c r="AT5764"/>
    </row>
    <row r="5765" spans="46:46">
      <c r="AT5765"/>
    </row>
    <row r="5766" spans="46:46">
      <c r="AT5766"/>
    </row>
    <row r="5767" spans="46:46">
      <c r="AT5767"/>
    </row>
    <row r="5768" spans="46:46">
      <c r="AT5768"/>
    </row>
    <row r="5769" spans="46:46">
      <c r="AT5769"/>
    </row>
    <row r="5770" spans="46:46">
      <c r="AT5770"/>
    </row>
    <row r="5771" spans="46:46">
      <c r="AT5771"/>
    </row>
    <row r="5772" spans="46:46">
      <c r="AT5772"/>
    </row>
    <row r="5773" spans="46:46">
      <c r="AT5773"/>
    </row>
    <row r="5774" spans="46:46">
      <c r="AT5774"/>
    </row>
    <row r="5775" spans="46:46">
      <c r="AT5775"/>
    </row>
    <row r="5776" spans="46:46">
      <c r="AT5776"/>
    </row>
    <row r="5777" spans="46:46">
      <c r="AT5777"/>
    </row>
    <row r="5778" spans="46:46">
      <c r="AT5778"/>
    </row>
    <row r="5779" spans="46:46">
      <c r="AT5779"/>
    </row>
    <row r="5780" spans="46:46">
      <c r="AT5780"/>
    </row>
    <row r="5781" spans="46:46">
      <c r="AT5781"/>
    </row>
    <row r="5782" spans="46:46">
      <c r="AT5782"/>
    </row>
    <row r="5783" spans="46:46">
      <c r="AT5783"/>
    </row>
    <row r="5784" spans="46:46">
      <c r="AT5784"/>
    </row>
    <row r="5785" spans="46:46">
      <c r="AT5785"/>
    </row>
    <row r="5786" spans="46:46">
      <c r="AT5786"/>
    </row>
    <row r="5787" spans="46:46">
      <c r="AT5787"/>
    </row>
    <row r="5788" spans="46:46">
      <c r="AT5788"/>
    </row>
    <row r="5789" spans="46:46">
      <c r="AT5789"/>
    </row>
    <row r="5790" spans="46:46">
      <c r="AT5790"/>
    </row>
    <row r="5791" spans="46:46">
      <c r="AT5791"/>
    </row>
    <row r="5792" spans="46:46">
      <c r="AT5792"/>
    </row>
    <row r="5793" spans="46:46">
      <c r="AT5793"/>
    </row>
    <row r="5794" spans="46:46">
      <c r="AT5794"/>
    </row>
    <row r="5795" spans="46:46">
      <c r="AT5795"/>
    </row>
    <row r="5796" spans="46:46">
      <c r="AT5796"/>
    </row>
    <row r="5797" spans="46:46">
      <c r="AT5797"/>
    </row>
    <row r="5798" spans="46:46">
      <c r="AT5798"/>
    </row>
    <row r="5799" spans="46:46">
      <c r="AT5799"/>
    </row>
    <row r="5800" spans="46:46">
      <c r="AT5800"/>
    </row>
    <row r="5801" spans="46:46">
      <c r="AT5801"/>
    </row>
    <row r="5802" spans="46:46">
      <c r="AT5802"/>
    </row>
    <row r="5803" spans="46:46">
      <c r="AT5803"/>
    </row>
    <row r="5804" spans="46:46">
      <c r="AT5804"/>
    </row>
    <row r="5805" spans="46:46">
      <c r="AT5805"/>
    </row>
    <row r="5806" spans="46:46">
      <c r="AT5806"/>
    </row>
    <row r="5807" spans="46:46">
      <c r="AT5807"/>
    </row>
    <row r="5808" spans="46:46">
      <c r="AT5808"/>
    </row>
    <row r="5809" spans="46:46">
      <c r="AT5809"/>
    </row>
    <row r="5810" spans="46:46">
      <c r="AT5810"/>
    </row>
    <row r="5811" spans="46:46">
      <c r="AT5811"/>
    </row>
    <row r="5812" spans="46:46">
      <c r="AT5812"/>
    </row>
    <row r="5813" spans="46:46">
      <c r="AT5813"/>
    </row>
    <row r="5814" spans="46:46">
      <c r="AT5814"/>
    </row>
    <row r="5815" spans="46:46">
      <c r="AT5815"/>
    </row>
    <row r="5816" spans="46:46">
      <c r="AT5816"/>
    </row>
    <row r="5817" spans="46:46">
      <c r="AT5817"/>
    </row>
    <row r="5818" spans="46:46">
      <c r="AT5818"/>
    </row>
    <row r="5819" spans="46:46">
      <c r="AT5819"/>
    </row>
    <row r="5820" spans="46:46">
      <c r="AT5820"/>
    </row>
    <row r="5821" spans="46:46">
      <c r="AT5821"/>
    </row>
    <row r="5822" spans="46:46">
      <c r="AT5822"/>
    </row>
    <row r="5823" spans="46:46">
      <c r="AT5823"/>
    </row>
    <row r="5824" spans="46:46">
      <c r="AT5824"/>
    </row>
    <row r="5825" spans="46:46">
      <c r="AT5825"/>
    </row>
    <row r="5826" spans="46:46">
      <c r="AT5826"/>
    </row>
    <row r="5827" spans="46:46">
      <c r="AT5827"/>
    </row>
    <row r="5828" spans="46:46">
      <c r="AT5828"/>
    </row>
    <row r="5829" spans="46:46">
      <c r="AT5829"/>
    </row>
    <row r="5830" spans="46:46">
      <c r="AT5830"/>
    </row>
    <row r="5831" spans="46:46">
      <c r="AT5831"/>
    </row>
    <row r="5832" spans="46:46">
      <c r="AT5832"/>
    </row>
    <row r="5833" spans="46:46">
      <c r="AT5833"/>
    </row>
    <row r="5834" spans="46:46">
      <c r="AT5834"/>
    </row>
    <row r="5835" spans="46:46">
      <c r="AT5835"/>
    </row>
    <row r="5836" spans="46:46">
      <c r="AT5836"/>
    </row>
    <row r="5837" spans="46:46">
      <c r="AT5837"/>
    </row>
    <row r="5838" spans="46:46">
      <c r="AT5838"/>
    </row>
    <row r="5839" spans="46:46">
      <c r="AT5839"/>
    </row>
    <row r="5840" spans="46:46">
      <c r="AT5840"/>
    </row>
    <row r="5841" spans="46:46">
      <c r="AT5841"/>
    </row>
    <row r="5842" spans="46:46">
      <c r="AT5842"/>
    </row>
    <row r="5843" spans="46:46">
      <c r="AT5843"/>
    </row>
    <row r="5844" spans="46:46">
      <c r="AT5844"/>
    </row>
    <row r="5845" spans="46:46">
      <c r="AT5845"/>
    </row>
    <row r="5846" spans="46:46">
      <c r="AT5846"/>
    </row>
    <row r="5847" spans="46:46">
      <c r="AT5847"/>
    </row>
    <row r="5848" spans="46:46">
      <c r="AT5848"/>
    </row>
    <row r="5849" spans="46:46">
      <c r="AT5849"/>
    </row>
    <row r="5850" spans="46:46">
      <c r="AT5850"/>
    </row>
    <row r="5851" spans="46:46">
      <c r="AT5851"/>
    </row>
    <row r="5852" spans="46:46">
      <c r="AT5852"/>
    </row>
    <row r="5853" spans="46:46">
      <c r="AT5853"/>
    </row>
    <row r="5854" spans="46:46">
      <c r="AT5854"/>
    </row>
    <row r="5855" spans="46:46">
      <c r="AT5855"/>
    </row>
    <row r="5856" spans="46:46">
      <c r="AT5856"/>
    </row>
    <row r="5857" spans="46:46">
      <c r="AT5857"/>
    </row>
    <row r="5858" spans="46:46">
      <c r="AT5858"/>
    </row>
    <row r="5859" spans="46:46">
      <c r="AT5859"/>
    </row>
    <row r="5860" spans="46:46">
      <c r="AT5860"/>
    </row>
    <row r="5861" spans="46:46">
      <c r="AT5861"/>
    </row>
    <row r="5862" spans="46:46">
      <c r="AT5862"/>
    </row>
    <row r="5863" spans="46:46">
      <c r="AT5863"/>
    </row>
    <row r="5864" spans="46:46">
      <c r="AT5864"/>
    </row>
    <row r="5865" spans="46:46">
      <c r="AT5865"/>
    </row>
    <row r="5866" spans="46:46">
      <c r="AT5866"/>
    </row>
    <row r="5867" spans="46:46">
      <c r="AT5867"/>
    </row>
    <row r="5868" spans="46:46">
      <c r="AT5868"/>
    </row>
    <row r="5869" spans="46:46">
      <c r="AT5869"/>
    </row>
    <row r="5870" spans="46:46">
      <c r="AT5870"/>
    </row>
    <row r="5871" spans="46:46">
      <c r="AT5871"/>
    </row>
    <row r="5872" spans="46:46">
      <c r="AT5872"/>
    </row>
    <row r="5873" spans="46:46">
      <c r="AT5873"/>
    </row>
    <row r="5874" spans="46:46">
      <c r="AT5874"/>
    </row>
    <row r="5875" spans="46:46">
      <c r="AT5875"/>
    </row>
    <row r="5876" spans="46:46">
      <c r="AT5876"/>
    </row>
    <row r="5877" spans="46:46">
      <c r="AT5877"/>
    </row>
    <row r="5878" spans="46:46">
      <c r="AT5878"/>
    </row>
    <row r="5879" spans="46:46">
      <c r="AT5879"/>
    </row>
    <row r="5880" spans="46:46">
      <c r="AT5880"/>
    </row>
    <row r="5881" spans="46:46">
      <c r="AT5881"/>
    </row>
    <row r="5882" spans="46:46">
      <c r="AT5882"/>
    </row>
    <row r="5883" spans="46:46">
      <c r="AT5883"/>
    </row>
    <row r="5884" spans="46:46">
      <c r="AT5884"/>
    </row>
    <row r="5885" spans="46:46">
      <c r="AT5885"/>
    </row>
    <row r="5886" spans="46:46">
      <c r="AT5886"/>
    </row>
    <row r="5887" spans="46:46">
      <c r="AT5887"/>
    </row>
    <row r="5888" spans="46:46">
      <c r="AT5888"/>
    </row>
    <row r="5889" spans="46:46">
      <c r="AT5889"/>
    </row>
    <row r="5890" spans="46:46">
      <c r="AT5890"/>
    </row>
    <row r="5891" spans="46:46">
      <c r="AT5891"/>
    </row>
    <row r="5892" spans="46:46">
      <c r="AT5892"/>
    </row>
    <row r="5893" spans="46:46">
      <c r="AT5893"/>
    </row>
    <row r="5894" spans="46:46">
      <c r="AT5894"/>
    </row>
    <row r="5895" spans="46:46">
      <c r="AT5895"/>
    </row>
    <row r="5896" spans="46:46">
      <c r="AT5896"/>
    </row>
    <row r="5897" spans="46:46">
      <c r="AT5897"/>
    </row>
    <row r="5898" spans="46:46">
      <c r="AT5898"/>
    </row>
    <row r="5899" spans="46:46">
      <c r="AT5899"/>
    </row>
    <row r="5900" spans="46:46">
      <c r="AT5900"/>
    </row>
    <row r="5901" spans="46:46">
      <c r="AT5901"/>
    </row>
    <row r="5902" spans="46:46">
      <c r="AT5902"/>
    </row>
    <row r="5903" spans="46:46">
      <c r="AT5903"/>
    </row>
    <row r="5904" spans="46:46">
      <c r="AT5904"/>
    </row>
    <row r="5905" spans="46:46">
      <c r="AT5905"/>
    </row>
    <row r="5906" spans="46:46">
      <c r="AT5906"/>
    </row>
    <row r="5907" spans="46:46">
      <c r="AT5907"/>
    </row>
    <row r="5908" spans="46:46">
      <c r="AT5908"/>
    </row>
    <row r="5909" spans="46:46">
      <c r="AT5909"/>
    </row>
    <row r="5910" spans="46:46">
      <c r="AT5910"/>
    </row>
    <row r="5911" spans="46:46">
      <c r="AT5911"/>
    </row>
    <row r="5912" spans="46:46">
      <c r="AT5912"/>
    </row>
    <row r="5913" spans="46:46">
      <c r="AT5913"/>
    </row>
    <row r="5914" spans="46:46">
      <c r="AT5914"/>
    </row>
    <row r="5915" spans="46:46">
      <c r="AT5915"/>
    </row>
    <row r="5916" spans="46:46">
      <c r="AT5916"/>
    </row>
    <row r="5917" spans="46:46">
      <c r="AT5917"/>
    </row>
    <row r="5918" spans="46:46">
      <c r="AT5918"/>
    </row>
    <row r="5919" spans="46:46">
      <c r="AT5919"/>
    </row>
    <row r="5920" spans="46:46">
      <c r="AT5920"/>
    </row>
    <row r="5921" spans="46:46">
      <c r="AT5921"/>
    </row>
    <row r="5922" spans="46:46">
      <c r="AT5922"/>
    </row>
    <row r="5923" spans="46:46">
      <c r="AT5923"/>
    </row>
    <row r="5924" spans="46:46">
      <c r="AT5924"/>
    </row>
    <row r="5925" spans="46:46">
      <c r="AT5925"/>
    </row>
    <row r="5926" spans="46:46">
      <c r="AT5926"/>
    </row>
    <row r="5927" spans="46:46">
      <c r="AT5927"/>
    </row>
    <row r="5928" spans="46:46">
      <c r="AT5928"/>
    </row>
    <row r="5929" spans="46:46">
      <c r="AT5929"/>
    </row>
    <row r="5930" spans="46:46">
      <c r="AT5930"/>
    </row>
    <row r="5931" spans="46:46">
      <c r="AT5931"/>
    </row>
    <row r="5932" spans="46:46">
      <c r="AT5932"/>
    </row>
    <row r="5933" spans="46:46">
      <c r="AT5933"/>
    </row>
    <row r="5934" spans="46:46">
      <c r="AT5934"/>
    </row>
    <row r="5935" spans="46:46">
      <c r="AT5935"/>
    </row>
    <row r="5936" spans="46:46">
      <c r="AT5936"/>
    </row>
    <row r="5937" spans="46:46">
      <c r="AT5937"/>
    </row>
    <row r="5938" spans="46:46">
      <c r="AT5938"/>
    </row>
    <row r="5939" spans="46:46">
      <c r="AT5939"/>
    </row>
    <row r="5940" spans="46:46">
      <c r="AT5940"/>
    </row>
    <row r="5941" spans="46:46">
      <c r="AT5941"/>
    </row>
    <row r="5942" spans="46:46">
      <c r="AT5942"/>
    </row>
    <row r="5943" spans="46:46">
      <c r="AT5943"/>
    </row>
    <row r="5944" spans="46:46">
      <c r="AT5944"/>
    </row>
    <row r="5945" spans="46:46">
      <c r="AT5945"/>
    </row>
    <row r="5946" spans="46:46">
      <c r="AT5946"/>
    </row>
    <row r="5947" spans="46:46">
      <c r="AT5947"/>
    </row>
    <row r="5948" spans="46:46">
      <c r="AT5948"/>
    </row>
    <row r="5949" spans="46:46">
      <c r="AT5949"/>
    </row>
    <row r="5950" spans="46:46">
      <c r="AT5950"/>
    </row>
    <row r="5951" spans="46:46">
      <c r="AT5951"/>
    </row>
    <row r="5952" spans="46:46">
      <c r="AT5952"/>
    </row>
    <row r="5953" spans="46:46">
      <c r="AT5953"/>
    </row>
    <row r="5954" spans="46:46">
      <c r="AT5954"/>
    </row>
    <row r="5955" spans="46:46">
      <c r="AT5955"/>
    </row>
    <row r="5956" spans="46:46">
      <c r="AT5956"/>
    </row>
    <row r="5957" spans="46:46">
      <c r="AT5957"/>
    </row>
    <row r="5958" spans="46:46">
      <c r="AT5958"/>
    </row>
    <row r="5959" spans="46:46">
      <c r="AT5959"/>
    </row>
    <row r="5960" spans="46:46">
      <c r="AT5960"/>
    </row>
    <row r="5961" spans="46:46">
      <c r="AT5961"/>
    </row>
    <row r="5962" spans="46:46">
      <c r="AT5962"/>
    </row>
    <row r="5963" spans="46:46">
      <c r="AT5963"/>
    </row>
    <row r="5964" spans="46:46">
      <c r="AT5964"/>
    </row>
    <row r="5965" spans="46:46">
      <c r="AT5965"/>
    </row>
    <row r="5966" spans="46:46">
      <c r="AT5966"/>
    </row>
    <row r="5967" spans="46:46">
      <c r="AT5967"/>
    </row>
    <row r="5968" spans="46:46">
      <c r="AT5968"/>
    </row>
    <row r="5969" spans="46:46">
      <c r="AT5969"/>
    </row>
    <row r="5970" spans="46:46">
      <c r="AT5970"/>
    </row>
    <row r="5971" spans="46:46">
      <c r="AT5971"/>
    </row>
    <row r="5972" spans="46:46">
      <c r="AT5972"/>
    </row>
    <row r="5973" spans="46:46">
      <c r="AT5973"/>
    </row>
    <row r="5974" spans="46:46">
      <c r="AT5974"/>
    </row>
    <row r="5975" spans="46:46">
      <c r="AT5975"/>
    </row>
    <row r="5976" spans="46:46">
      <c r="AT5976"/>
    </row>
    <row r="5977" spans="46:46">
      <c r="AT5977"/>
    </row>
    <row r="5978" spans="46:46">
      <c r="AT5978"/>
    </row>
    <row r="5979" spans="46:46">
      <c r="AT5979"/>
    </row>
    <row r="5980" spans="46:46">
      <c r="AT5980"/>
    </row>
    <row r="5981" spans="46:46">
      <c r="AT5981"/>
    </row>
    <row r="5982" spans="46:46">
      <c r="AT5982"/>
    </row>
    <row r="5983" spans="46:46">
      <c r="AT5983"/>
    </row>
    <row r="5984" spans="46:46">
      <c r="AT5984"/>
    </row>
    <row r="5985" spans="46:46">
      <c r="AT5985"/>
    </row>
    <row r="5986" spans="46:46">
      <c r="AT5986"/>
    </row>
    <row r="5987" spans="46:46">
      <c r="AT5987"/>
    </row>
    <row r="5988" spans="46:46">
      <c r="AT5988"/>
    </row>
    <row r="5989" spans="46:46">
      <c r="AT5989"/>
    </row>
    <row r="5990" spans="46:46">
      <c r="AT5990"/>
    </row>
    <row r="5991" spans="46:46">
      <c r="AT5991"/>
    </row>
    <row r="5992" spans="46:46">
      <c r="AT5992"/>
    </row>
    <row r="5993" spans="46:46">
      <c r="AT5993"/>
    </row>
    <row r="5994" spans="46:46">
      <c r="AT5994"/>
    </row>
    <row r="5995" spans="46:46">
      <c r="AT5995"/>
    </row>
    <row r="5996" spans="46:46">
      <c r="AT5996"/>
    </row>
    <row r="5997" spans="46:46">
      <c r="AT5997"/>
    </row>
    <row r="5998" spans="46:46">
      <c r="AT5998"/>
    </row>
    <row r="5999" spans="46:46">
      <c r="AT5999"/>
    </row>
    <row r="6000" spans="46:46">
      <c r="AT6000"/>
    </row>
    <row r="6001" spans="46:46">
      <c r="AT6001"/>
    </row>
    <row r="6002" spans="46:46">
      <c r="AT6002"/>
    </row>
    <row r="6003" spans="46:46">
      <c r="AT6003"/>
    </row>
    <row r="6004" spans="46:46">
      <c r="AT6004"/>
    </row>
    <row r="6005" spans="46:46">
      <c r="AT6005"/>
    </row>
    <row r="6006" spans="46:46">
      <c r="AT6006"/>
    </row>
    <row r="6007" spans="46:46">
      <c r="AT6007"/>
    </row>
    <row r="6008" spans="46:46">
      <c r="AT6008"/>
    </row>
    <row r="6009" spans="46:46">
      <c r="AT6009"/>
    </row>
    <row r="6010" spans="46:46">
      <c r="AT6010"/>
    </row>
    <row r="6011" spans="46:46">
      <c r="AT6011"/>
    </row>
    <row r="6012" spans="46:46">
      <c r="AT6012"/>
    </row>
    <row r="6013" spans="46:46">
      <c r="AT6013"/>
    </row>
    <row r="6014" spans="46:46">
      <c r="AT6014"/>
    </row>
    <row r="6015" spans="46:46">
      <c r="AT6015"/>
    </row>
    <row r="6016" spans="46:46">
      <c r="AT6016"/>
    </row>
    <row r="6017" spans="46:46">
      <c r="AT6017"/>
    </row>
    <row r="6018" spans="46:46">
      <c r="AT6018"/>
    </row>
    <row r="6019" spans="46:46">
      <c r="AT6019"/>
    </row>
    <row r="6020" spans="46:46">
      <c r="AT6020"/>
    </row>
    <row r="6021" spans="46:46">
      <c r="AT6021"/>
    </row>
    <row r="6022" spans="46:46">
      <c r="AT6022"/>
    </row>
    <row r="6023" spans="46:46">
      <c r="AT6023"/>
    </row>
    <row r="6024" spans="46:46">
      <c r="AT6024"/>
    </row>
    <row r="6025" spans="46:46">
      <c r="AT6025"/>
    </row>
    <row r="6026" spans="46:46">
      <c r="AT6026"/>
    </row>
    <row r="6027" spans="46:46">
      <c r="AT6027"/>
    </row>
    <row r="6028" spans="46:46">
      <c r="AT6028"/>
    </row>
    <row r="6029" spans="46:46">
      <c r="AT6029"/>
    </row>
    <row r="6030" spans="46:46">
      <c r="AT6030"/>
    </row>
    <row r="6031" spans="46:46">
      <c r="AT6031"/>
    </row>
    <row r="6032" spans="46:46">
      <c r="AT6032"/>
    </row>
    <row r="6033" spans="46:46">
      <c r="AT6033"/>
    </row>
    <row r="6034" spans="46:46">
      <c r="AT6034"/>
    </row>
    <row r="6035" spans="46:46">
      <c r="AT6035"/>
    </row>
    <row r="6036" spans="46:46">
      <c r="AT6036"/>
    </row>
    <row r="6037" spans="46:46">
      <c r="AT6037"/>
    </row>
    <row r="6038" spans="46:46">
      <c r="AT6038"/>
    </row>
    <row r="6039" spans="46:46">
      <c r="AT6039"/>
    </row>
    <row r="6040" spans="46:46">
      <c r="AT6040"/>
    </row>
    <row r="6041" spans="46:46">
      <c r="AT6041"/>
    </row>
    <row r="6042" spans="46:46">
      <c r="AT6042"/>
    </row>
    <row r="6043" spans="46:46">
      <c r="AT6043"/>
    </row>
    <row r="6044" spans="46:46">
      <c r="AT6044"/>
    </row>
    <row r="6045" spans="46:46">
      <c r="AT6045"/>
    </row>
    <row r="6046" spans="46:46">
      <c r="AT6046"/>
    </row>
    <row r="6047" spans="46:46">
      <c r="AT6047"/>
    </row>
    <row r="6048" spans="46:46">
      <c r="AT6048"/>
    </row>
    <row r="6049" spans="46:46">
      <c r="AT6049"/>
    </row>
    <row r="6050" spans="46:46">
      <c r="AT6050"/>
    </row>
    <row r="6051" spans="46:46">
      <c r="AT6051"/>
    </row>
    <row r="6052" spans="46:46">
      <c r="AT6052"/>
    </row>
    <row r="6053" spans="46:46">
      <c r="AT6053"/>
    </row>
    <row r="6054" spans="46:46">
      <c r="AT6054"/>
    </row>
    <row r="6055" spans="46:46">
      <c r="AT6055"/>
    </row>
    <row r="6056" spans="46:46">
      <c r="AT6056"/>
    </row>
    <row r="6057" spans="46:46">
      <c r="AT6057"/>
    </row>
    <row r="6058" spans="46:46">
      <c r="AT6058"/>
    </row>
    <row r="6059" spans="46:46">
      <c r="AT6059"/>
    </row>
    <row r="6060" spans="46:46">
      <c r="AT6060"/>
    </row>
    <row r="6061" spans="46:46">
      <c r="AT6061"/>
    </row>
    <row r="6062" spans="46:46">
      <c r="AT6062"/>
    </row>
    <row r="6063" spans="46:46">
      <c r="AT6063"/>
    </row>
    <row r="6064" spans="46:46">
      <c r="AT6064"/>
    </row>
    <row r="6065" spans="46:46">
      <c r="AT6065"/>
    </row>
    <row r="6066" spans="46:46">
      <c r="AT6066"/>
    </row>
    <row r="6067" spans="46:46">
      <c r="AT6067"/>
    </row>
    <row r="6068" spans="46:46">
      <c r="AT6068"/>
    </row>
    <row r="6069" spans="46:46">
      <c r="AT6069"/>
    </row>
    <row r="6070" spans="46:46">
      <c r="AT6070"/>
    </row>
    <row r="6071" spans="46:46">
      <c r="AT6071"/>
    </row>
    <row r="6072" spans="46:46">
      <c r="AT6072"/>
    </row>
    <row r="6073" spans="46:46">
      <c r="AT6073"/>
    </row>
    <row r="6074" spans="46:46">
      <c r="AT6074"/>
    </row>
    <row r="6075" spans="46:46">
      <c r="AT6075"/>
    </row>
    <row r="6076" spans="46:46">
      <c r="AT6076"/>
    </row>
    <row r="6077" spans="46:46">
      <c r="AT6077"/>
    </row>
    <row r="6078" spans="46:46">
      <c r="AT6078"/>
    </row>
    <row r="6079" spans="46:46">
      <c r="AT6079"/>
    </row>
    <row r="6080" spans="46:46">
      <c r="AT6080"/>
    </row>
    <row r="6081" spans="46:46">
      <c r="AT6081"/>
    </row>
    <row r="6082" spans="46:46">
      <c r="AT6082"/>
    </row>
    <row r="6083" spans="46:46">
      <c r="AT6083"/>
    </row>
    <row r="6084" spans="46:46">
      <c r="AT6084"/>
    </row>
    <row r="6085" spans="46:46">
      <c r="AT6085"/>
    </row>
    <row r="6086" spans="46:46">
      <c r="AT6086"/>
    </row>
    <row r="6087" spans="46:46">
      <c r="AT6087"/>
    </row>
    <row r="6088" spans="46:46">
      <c r="AT6088"/>
    </row>
    <row r="6089" spans="46:46">
      <c r="AT6089"/>
    </row>
    <row r="6090" spans="46:46">
      <c r="AT6090"/>
    </row>
    <row r="6091" spans="46:46">
      <c r="AT6091"/>
    </row>
    <row r="6092" spans="46:46">
      <c r="AT6092"/>
    </row>
    <row r="6093" spans="46:46">
      <c r="AT6093"/>
    </row>
    <row r="6094" spans="46:46">
      <c r="AT6094"/>
    </row>
    <row r="6095" spans="46:46">
      <c r="AT6095"/>
    </row>
    <row r="6096" spans="46:46">
      <c r="AT6096"/>
    </row>
    <row r="6097" spans="46:46">
      <c r="AT6097"/>
    </row>
    <row r="6098" spans="46:46">
      <c r="AT6098"/>
    </row>
    <row r="6099" spans="46:46">
      <c r="AT6099"/>
    </row>
    <row r="6100" spans="46:46">
      <c r="AT6100"/>
    </row>
    <row r="6101" spans="46:46">
      <c r="AT6101"/>
    </row>
    <row r="6102" spans="46:46">
      <c r="AT6102"/>
    </row>
    <row r="6103" spans="46:46">
      <c r="AT6103"/>
    </row>
    <row r="6104" spans="46:46">
      <c r="AT6104"/>
    </row>
    <row r="6105" spans="46:46">
      <c r="AT6105"/>
    </row>
    <row r="6106" spans="46:46">
      <c r="AT6106"/>
    </row>
    <row r="6107" spans="46:46">
      <c r="AT6107"/>
    </row>
    <row r="6108" spans="46:46">
      <c r="AT6108"/>
    </row>
    <row r="6109" spans="46:46">
      <c r="AT6109"/>
    </row>
    <row r="6110" spans="46:46">
      <c r="AT6110"/>
    </row>
    <row r="6111" spans="46:46">
      <c r="AT6111"/>
    </row>
    <row r="6112" spans="46:46">
      <c r="AT6112"/>
    </row>
    <row r="6113" spans="46:46">
      <c r="AT6113"/>
    </row>
    <row r="6114" spans="46:46">
      <c r="AT6114"/>
    </row>
    <row r="6115" spans="46:46">
      <c r="AT6115"/>
    </row>
    <row r="6116" spans="46:46">
      <c r="AT6116"/>
    </row>
    <row r="6117" spans="46:46">
      <c r="AT6117"/>
    </row>
    <row r="6118" spans="46:46">
      <c r="AT6118"/>
    </row>
    <row r="6119" spans="46:46">
      <c r="AT6119"/>
    </row>
    <row r="6120" spans="46:46">
      <c r="AT6120"/>
    </row>
    <row r="6121" spans="46:46">
      <c r="AT6121"/>
    </row>
    <row r="6122" spans="46:46">
      <c r="AT6122"/>
    </row>
    <row r="6123" spans="46:46">
      <c r="AT6123"/>
    </row>
    <row r="6124" spans="46:46">
      <c r="AT6124"/>
    </row>
    <row r="6125" spans="46:46">
      <c r="AT6125"/>
    </row>
    <row r="6126" spans="46:46">
      <c r="AT6126"/>
    </row>
    <row r="6127" spans="46:46">
      <c r="AT6127"/>
    </row>
    <row r="6128" spans="46:46">
      <c r="AT6128"/>
    </row>
    <row r="6129" spans="46:46">
      <c r="AT6129"/>
    </row>
    <row r="6130" spans="46:46">
      <c r="AT6130"/>
    </row>
    <row r="6131" spans="46:46">
      <c r="AT6131"/>
    </row>
    <row r="6132" spans="46:46">
      <c r="AT6132"/>
    </row>
    <row r="6133" spans="46:46">
      <c r="AT6133"/>
    </row>
    <row r="6134" spans="46:46">
      <c r="AT6134"/>
    </row>
    <row r="6135" spans="46:46">
      <c r="AT6135"/>
    </row>
    <row r="6136" spans="46:46">
      <c r="AT6136"/>
    </row>
    <row r="6137" spans="46:46">
      <c r="AT6137"/>
    </row>
    <row r="6138" spans="46:46">
      <c r="AT6138"/>
    </row>
    <row r="6139" spans="46:46">
      <c r="AT6139"/>
    </row>
    <row r="6140" spans="46:46">
      <c r="AT6140"/>
    </row>
    <row r="6141" spans="46:46">
      <c r="AT6141"/>
    </row>
    <row r="6142" spans="46:46">
      <c r="AT6142"/>
    </row>
    <row r="6143" spans="46:46">
      <c r="AT6143"/>
    </row>
    <row r="6144" spans="46:46">
      <c r="AT6144"/>
    </row>
    <row r="6145" spans="46:46">
      <c r="AT6145"/>
    </row>
    <row r="6146" spans="46:46">
      <c r="AT6146"/>
    </row>
    <row r="6147" spans="46:46">
      <c r="AT6147"/>
    </row>
    <row r="6148" spans="46:46">
      <c r="AT6148"/>
    </row>
    <row r="6149" spans="46:46">
      <c r="AT6149"/>
    </row>
    <row r="6150" spans="46:46">
      <c r="AT6150"/>
    </row>
    <row r="6151" spans="46:46">
      <c r="AT6151"/>
    </row>
    <row r="6152" spans="46:46">
      <c r="AT6152"/>
    </row>
    <row r="6153" spans="46:46">
      <c r="AT6153"/>
    </row>
    <row r="6154" spans="46:46">
      <c r="AT6154"/>
    </row>
    <row r="6155" spans="46:46">
      <c r="AT6155"/>
    </row>
    <row r="6156" spans="46:46">
      <c r="AT6156"/>
    </row>
    <row r="6157" spans="46:46">
      <c r="AT6157"/>
    </row>
    <row r="6158" spans="46:46">
      <c r="AT6158"/>
    </row>
    <row r="6159" spans="46:46">
      <c r="AT6159"/>
    </row>
    <row r="6160" spans="46:46">
      <c r="AT6160"/>
    </row>
    <row r="6161" spans="46:46">
      <c r="AT6161"/>
    </row>
    <row r="6162" spans="46:46">
      <c r="AT6162"/>
    </row>
    <row r="6163" spans="46:46">
      <c r="AT6163"/>
    </row>
    <row r="6164" spans="46:46">
      <c r="AT6164"/>
    </row>
    <row r="6165" spans="46:46">
      <c r="AT6165"/>
    </row>
    <row r="6166" spans="46:46">
      <c r="AT6166"/>
    </row>
    <row r="6167" spans="46:46">
      <c r="AT6167"/>
    </row>
    <row r="6168" spans="46:46">
      <c r="AT6168"/>
    </row>
    <row r="6169" spans="46:46">
      <c r="AT6169"/>
    </row>
    <row r="6170" spans="46:46">
      <c r="AT6170"/>
    </row>
    <row r="6171" spans="46:46">
      <c r="AT6171"/>
    </row>
    <row r="6172" spans="46:46">
      <c r="AT6172"/>
    </row>
    <row r="6173" spans="46:46">
      <c r="AT6173"/>
    </row>
    <row r="6174" spans="46:46">
      <c r="AT6174"/>
    </row>
    <row r="6175" spans="46:46">
      <c r="AT6175"/>
    </row>
    <row r="6176" spans="46:46">
      <c r="AT6176"/>
    </row>
    <row r="6177" spans="46:46">
      <c r="AT6177"/>
    </row>
    <row r="6178" spans="46:46">
      <c r="AT6178"/>
    </row>
    <row r="6179" spans="46:46">
      <c r="AT6179"/>
    </row>
    <row r="6180" spans="46:46">
      <c r="AT6180"/>
    </row>
    <row r="6181" spans="46:46">
      <c r="AT6181"/>
    </row>
    <row r="6182" spans="46:46">
      <c r="AT6182"/>
    </row>
    <row r="6183" spans="46:46">
      <c r="AT6183"/>
    </row>
    <row r="6184" spans="46:46">
      <c r="AT6184"/>
    </row>
    <row r="6185" spans="46:46">
      <c r="AT6185"/>
    </row>
    <row r="6186" spans="46:46">
      <c r="AT6186"/>
    </row>
    <row r="6187" spans="46:46">
      <c r="AT6187"/>
    </row>
    <row r="6188" spans="46:46">
      <c r="AT6188"/>
    </row>
    <row r="6189" spans="46:46">
      <c r="AT6189"/>
    </row>
    <row r="6190" spans="46:46">
      <c r="AT6190"/>
    </row>
    <row r="6191" spans="46:46">
      <c r="AT6191"/>
    </row>
    <row r="6192" spans="46:46">
      <c r="AT6192"/>
    </row>
    <row r="6193" spans="46:46">
      <c r="AT6193"/>
    </row>
    <row r="6194" spans="46:46">
      <c r="AT6194"/>
    </row>
    <row r="6195" spans="46:46">
      <c r="AT6195"/>
    </row>
    <row r="6196" spans="46:46">
      <c r="AT6196"/>
    </row>
    <row r="6197" spans="46:46">
      <c r="AT6197"/>
    </row>
    <row r="6198" spans="46:46">
      <c r="AT6198"/>
    </row>
    <row r="6199" spans="46:46">
      <c r="AT6199"/>
    </row>
    <row r="6200" spans="46:46">
      <c r="AT6200"/>
    </row>
    <row r="6201" spans="46:46">
      <c r="AT6201"/>
    </row>
    <row r="6202" spans="46:46">
      <c r="AT6202"/>
    </row>
    <row r="6203" spans="46:46">
      <c r="AT6203"/>
    </row>
    <row r="6204" spans="46:46">
      <c r="AT6204"/>
    </row>
    <row r="6205" spans="46:46">
      <c r="AT6205"/>
    </row>
    <row r="6206" spans="46:46">
      <c r="AT6206"/>
    </row>
    <row r="6207" spans="46:46">
      <c r="AT6207"/>
    </row>
    <row r="6208" spans="46:46">
      <c r="AT6208"/>
    </row>
    <row r="6209" spans="46:46">
      <c r="AT6209"/>
    </row>
    <row r="6210" spans="46:46">
      <c r="AT6210"/>
    </row>
    <row r="6211" spans="46:46">
      <c r="AT6211"/>
    </row>
    <row r="6212" spans="46:46">
      <c r="AT6212"/>
    </row>
    <row r="6213" spans="46:46">
      <c r="AT6213"/>
    </row>
    <row r="6214" spans="46:46">
      <c r="AT6214"/>
    </row>
    <row r="6215" spans="46:46">
      <c r="AT6215"/>
    </row>
    <row r="6216" spans="46:46">
      <c r="AT6216"/>
    </row>
    <row r="6217" spans="46:46">
      <c r="AT6217"/>
    </row>
    <row r="6218" spans="46:46">
      <c r="AT6218"/>
    </row>
    <row r="6219" spans="46:46">
      <c r="AT6219"/>
    </row>
    <row r="6220" spans="46:46">
      <c r="AT6220"/>
    </row>
    <row r="6221" spans="46:46">
      <c r="AT6221"/>
    </row>
    <row r="6222" spans="46:46">
      <c r="AT6222"/>
    </row>
    <row r="6223" spans="46:46">
      <c r="AT6223"/>
    </row>
    <row r="6224" spans="46:46">
      <c r="AT6224"/>
    </row>
    <row r="6225" spans="46:46">
      <c r="AT6225"/>
    </row>
    <row r="6226" spans="46:46">
      <c r="AT6226"/>
    </row>
    <row r="6227" spans="46:46">
      <c r="AT6227"/>
    </row>
    <row r="6228" spans="46:46">
      <c r="AT6228"/>
    </row>
    <row r="6229" spans="46:46">
      <c r="AT6229"/>
    </row>
    <row r="6230" spans="46:46">
      <c r="AT6230"/>
    </row>
    <row r="6231" spans="46:46">
      <c r="AT6231"/>
    </row>
    <row r="6232" spans="46:46">
      <c r="AT6232"/>
    </row>
    <row r="6233" spans="46:46">
      <c r="AT6233"/>
    </row>
    <row r="6234" spans="46:46">
      <c r="AT6234"/>
    </row>
    <row r="6235" spans="46:46">
      <c r="AT6235"/>
    </row>
    <row r="6236" spans="46:46">
      <c r="AT6236"/>
    </row>
    <row r="6237" spans="46:46">
      <c r="AT6237"/>
    </row>
    <row r="6238" spans="46:46">
      <c r="AT6238"/>
    </row>
    <row r="6239" spans="46:46">
      <c r="AT6239"/>
    </row>
    <row r="6240" spans="46:46">
      <c r="AT6240"/>
    </row>
    <row r="6241" spans="46:46">
      <c r="AT6241"/>
    </row>
    <row r="6242" spans="46:46">
      <c r="AT6242"/>
    </row>
    <row r="6243" spans="46:46">
      <c r="AT6243"/>
    </row>
    <row r="6244" spans="46:46">
      <c r="AT6244"/>
    </row>
    <row r="6245" spans="46:46">
      <c r="AT6245"/>
    </row>
    <row r="6246" spans="46:46">
      <c r="AT6246"/>
    </row>
    <row r="6247" spans="46:46">
      <c r="AT6247"/>
    </row>
    <row r="6248" spans="46:46">
      <c r="AT6248"/>
    </row>
    <row r="6249" spans="46:46">
      <c r="AT6249"/>
    </row>
    <row r="6250" spans="46:46">
      <c r="AT6250"/>
    </row>
    <row r="6251" spans="46:46">
      <c r="AT6251"/>
    </row>
    <row r="6252" spans="46:46">
      <c r="AT6252"/>
    </row>
    <row r="6253" spans="46:46">
      <c r="AT6253"/>
    </row>
    <row r="6254" spans="46:46">
      <c r="AT6254"/>
    </row>
    <row r="6255" spans="46:46">
      <c r="AT6255"/>
    </row>
    <row r="6256" spans="46:46">
      <c r="AT6256"/>
    </row>
    <row r="6257" spans="46:46">
      <c r="AT6257"/>
    </row>
    <row r="6258" spans="46:46">
      <c r="AT6258"/>
    </row>
    <row r="6259" spans="46:46">
      <c r="AT6259"/>
    </row>
    <row r="6260" spans="46:46">
      <c r="AT6260"/>
    </row>
    <row r="6261" spans="46:46">
      <c r="AT6261"/>
    </row>
    <row r="6262" spans="46:46">
      <c r="AT6262"/>
    </row>
    <row r="6263" spans="46:46">
      <c r="AT6263"/>
    </row>
    <row r="6264" spans="46:46">
      <c r="AT6264"/>
    </row>
    <row r="6265" spans="46:46">
      <c r="AT6265"/>
    </row>
    <row r="6266" spans="46:46">
      <c r="AT6266"/>
    </row>
    <row r="6267" spans="46:46">
      <c r="AT6267"/>
    </row>
    <row r="6268" spans="46:46">
      <c r="AT6268"/>
    </row>
    <row r="6269" spans="46:46">
      <c r="AT6269"/>
    </row>
    <row r="6270" spans="46:46">
      <c r="AT6270"/>
    </row>
    <row r="6271" spans="46:46">
      <c r="AT6271"/>
    </row>
    <row r="6272" spans="46:46">
      <c r="AT6272"/>
    </row>
    <row r="6273" spans="46:46">
      <c r="AT6273"/>
    </row>
    <row r="6274" spans="46:46">
      <c r="AT6274"/>
    </row>
    <row r="6275" spans="46:46">
      <c r="AT6275"/>
    </row>
    <row r="6276" spans="46:46">
      <c r="AT6276"/>
    </row>
    <row r="6277" spans="46:46">
      <c r="AT6277"/>
    </row>
    <row r="6278" spans="46:46">
      <c r="AT6278"/>
    </row>
    <row r="6279" spans="46:46">
      <c r="AT6279"/>
    </row>
    <row r="6280" spans="46:46">
      <c r="AT6280"/>
    </row>
    <row r="6281" spans="46:46">
      <c r="AT6281"/>
    </row>
    <row r="6282" spans="46:46">
      <c r="AT6282"/>
    </row>
    <row r="6283" spans="46:46">
      <c r="AT6283"/>
    </row>
    <row r="6284" spans="46:46">
      <c r="AT6284"/>
    </row>
    <row r="6285" spans="46:46">
      <c r="AT6285"/>
    </row>
    <row r="6286" spans="46:46">
      <c r="AT6286"/>
    </row>
    <row r="6287" spans="46:46">
      <c r="AT6287"/>
    </row>
    <row r="6288" spans="46:46">
      <c r="AT6288"/>
    </row>
    <row r="6289" spans="46:46">
      <c r="AT6289"/>
    </row>
    <row r="6290" spans="46:46">
      <c r="AT6290"/>
    </row>
    <row r="6291" spans="46:46">
      <c r="AT6291"/>
    </row>
    <row r="6292" spans="46:46">
      <c r="AT6292"/>
    </row>
    <row r="6293" spans="46:46">
      <c r="AT6293"/>
    </row>
    <row r="6294" spans="46:46">
      <c r="AT6294"/>
    </row>
    <row r="6295" spans="46:46">
      <c r="AT6295"/>
    </row>
    <row r="6296" spans="46:46">
      <c r="AT6296"/>
    </row>
    <row r="6297" spans="46:46">
      <c r="AT6297"/>
    </row>
    <row r="6298" spans="46:46">
      <c r="AT6298"/>
    </row>
    <row r="6299" spans="46:46">
      <c r="AT6299"/>
    </row>
    <row r="6300" spans="46:46">
      <c r="AT6300"/>
    </row>
    <row r="6301" spans="46:46">
      <c r="AT6301"/>
    </row>
    <row r="6302" spans="46:46">
      <c r="AT6302"/>
    </row>
    <row r="6303" spans="46:46">
      <c r="AT6303"/>
    </row>
    <row r="6304" spans="46:46">
      <c r="AT6304"/>
    </row>
    <row r="6305" spans="46:46">
      <c r="AT6305"/>
    </row>
    <row r="6306" spans="46:46">
      <c r="AT6306"/>
    </row>
    <row r="6307" spans="46:46">
      <c r="AT6307"/>
    </row>
    <row r="6308" spans="46:46">
      <c r="AT6308"/>
    </row>
    <row r="6309" spans="46:46">
      <c r="AT6309"/>
    </row>
    <row r="6310" spans="46:46">
      <c r="AT6310"/>
    </row>
    <row r="6311" spans="46:46">
      <c r="AT6311"/>
    </row>
    <row r="6312" spans="46:46">
      <c r="AT6312"/>
    </row>
    <row r="6313" spans="46:46">
      <c r="AT6313"/>
    </row>
    <row r="6314" spans="46:46">
      <c r="AT6314"/>
    </row>
    <row r="6315" spans="46:46">
      <c r="AT6315"/>
    </row>
    <row r="6316" spans="46:46">
      <c r="AT6316"/>
    </row>
    <row r="6317" spans="46:46">
      <c r="AT6317"/>
    </row>
    <row r="6318" spans="46:46">
      <c r="AT6318"/>
    </row>
    <row r="6319" spans="46:46">
      <c r="AT6319"/>
    </row>
    <row r="6320" spans="46:46">
      <c r="AT6320"/>
    </row>
    <row r="6321" spans="46:46">
      <c r="AT6321"/>
    </row>
    <row r="6322" spans="46:46">
      <c r="AT6322"/>
    </row>
    <row r="6323" spans="46:46">
      <c r="AT6323"/>
    </row>
    <row r="6324" spans="46:46">
      <c r="AT6324"/>
    </row>
    <row r="6325" spans="46:46">
      <c r="AT6325"/>
    </row>
    <row r="6326" spans="46:46">
      <c r="AT6326"/>
    </row>
    <row r="6327" spans="46:46">
      <c r="AT6327"/>
    </row>
    <row r="6328" spans="46:46">
      <c r="AT6328"/>
    </row>
    <row r="6329" spans="46:46">
      <c r="AT6329"/>
    </row>
    <row r="6330" spans="46:46">
      <c r="AT6330"/>
    </row>
    <row r="6331" spans="46:46">
      <c r="AT6331"/>
    </row>
    <row r="6332" spans="46:46">
      <c r="AT6332"/>
    </row>
    <row r="6333" spans="46:46">
      <c r="AT6333"/>
    </row>
    <row r="6334" spans="46:46">
      <c r="AT6334"/>
    </row>
    <row r="6335" spans="46:46">
      <c r="AT6335"/>
    </row>
    <row r="6336" spans="46:46">
      <c r="AT6336"/>
    </row>
    <row r="6337" spans="46:46">
      <c r="AT6337"/>
    </row>
    <row r="6338" spans="46:46">
      <c r="AT6338"/>
    </row>
    <row r="6339" spans="46:46">
      <c r="AT6339"/>
    </row>
    <row r="6340" spans="46:46">
      <c r="AT6340"/>
    </row>
    <row r="6341" spans="46:46">
      <c r="AT6341"/>
    </row>
    <row r="6342" spans="46:46">
      <c r="AT6342"/>
    </row>
    <row r="6343" spans="46:46">
      <c r="AT6343"/>
    </row>
    <row r="6344" spans="46:46">
      <c r="AT6344"/>
    </row>
    <row r="6345" spans="46:46">
      <c r="AT6345"/>
    </row>
    <row r="6346" spans="46:46">
      <c r="AT6346"/>
    </row>
    <row r="6347" spans="46:46">
      <c r="AT6347"/>
    </row>
    <row r="6348" spans="46:46">
      <c r="AT6348"/>
    </row>
    <row r="6349" spans="46:46">
      <c r="AT6349"/>
    </row>
    <row r="6350" spans="46:46">
      <c r="AT6350"/>
    </row>
    <row r="6351" spans="46:46">
      <c r="AT6351"/>
    </row>
    <row r="6352" spans="46:46">
      <c r="AT6352"/>
    </row>
    <row r="6353" spans="46:46">
      <c r="AT6353"/>
    </row>
    <row r="6354" spans="46:46">
      <c r="AT6354"/>
    </row>
    <row r="6355" spans="46:46">
      <c r="AT6355"/>
    </row>
    <row r="6356" spans="46:46">
      <c r="AT6356"/>
    </row>
    <row r="6357" spans="46:46">
      <c r="AT6357"/>
    </row>
    <row r="6358" spans="46:46">
      <c r="AT6358"/>
    </row>
    <row r="6359" spans="46:46">
      <c r="AT6359"/>
    </row>
    <row r="6360" spans="46:46">
      <c r="AT6360"/>
    </row>
    <row r="6361" spans="46:46">
      <c r="AT6361"/>
    </row>
    <row r="6362" spans="46:46">
      <c r="AT6362"/>
    </row>
    <row r="6363" spans="46:46">
      <c r="AT6363"/>
    </row>
    <row r="6364" spans="46:46">
      <c r="AT6364"/>
    </row>
    <row r="6365" spans="46:46">
      <c r="AT6365"/>
    </row>
    <row r="6366" spans="46:46">
      <c r="AT6366"/>
    </row>
    <row r="6367" spans="46:46">
      <c r="AT6367"/>
    </row>
    <row r="6368" spans="46:46">
      <c r="AT6368"/>
    </row>
    <row r="6369" spans="46:46">
      <c r="AT6369"/>
    </row>
    <row r="6370" spans="46:46">
      <c r="AT6370"/>
    </row>
    <row r="6371" spans="46:46">
      <c r="AT6371"/>
    </row>
    <row r="6372" spans="46:46">
      <c r="AT6372"/>
    </row>
    <row r="6373" spans="46:46">
      <c r="AT6373"/>
    </row>
    <row r="6374" spans="46:46">
      <c r="AT6374"/>
    </row>
    <row r="6375" spans="46:46">
      <c r="AT6375"/>
    </row>
    <row r="6376" spans="46:46">
      <c r="AT6376"/>
    </row>
    <row r="6377" spans="46:46">
      <c r="AT6377"/>
    </row>
    <row r="6378" spans="46:46">
      <c r="AT6378"/>
    </row>
    <row r="6379" spans="46:46">
      <c r="AT6379"/>
    </row>
    <row r="6380" spans="46:46">
      <c r="AT6380"/>
    </row>
    <row r="6381" spans="46:46">
      <c r="AT6381"/>
    </row>
    <row r="6382" spans="46:46">
      <c r="AT6382"/>
    </row>
    <row r="6383" spans="46:46">
      <c r="AT6383"/>
    </row>
    <row r="6384" spans="46:46">
      <c r="AT6384"/>
    </row>
    <row r="6385" spans="46:46">
      <c r="AT6385"/>
    </row>
    <row r="6386" spans="46:46">
      <c r="AT6386"/>
    </row>
    <row r="6387" spans="46:46">
      <c r="AT6387"/>
    </row>
    <row r="6388" spans="46:46">
      <c r="AT6388"/>
    </row>
    <row r="6389" spans="46:46">
      <c r="AT6389"/>
    </row>
    <row r="6390" spans="46:46">
      <c r="AT6390"/>
    </row>
    <row r="6391" spans="46:46">
      <c r="AT6391"/>
    </row>
    <row r="6392" spans="46:46">
      <c r="AT6392"/>
    </row>
    <row r="6393" spans="46:46">
      <c r="AT6393"/>
    </row>
    <row r="6394" spans="46:46">
      <c r="AT6394"/>
    </row>
    <row r="6395" spans="46:46">
      <c r="AT6395"/>
    </row>
    <row r="6396" spans="46:46">
      <c r="AT6396"/>
    </row>
    <row r="6397" spans="46:46">
      <c r="AT6397"/>
    </row>
    <row r="6398" spans="46:46">
      <c r="AT6398"/>
    </row>
    <row r="6399" spans="46:46">
      <c r="AT6399"/>
    </row>
    <row r="6400" spans="46:46">
      <c r="AT6400"/>
    </row>
    <row r="6401" spans="46:46">
      <c r="AT6401"/>
    </row>
    <row r="6402" spans="46:46">
      <c r="AT6402"/>
    </row>
    <row r="6403" spans="46:46">
      <c r="AT6403"/>
    </row>
    <row r="6404" spans="46:46">
      <c r="AT6404"/>
    </row>
    <row r="6405" spans="46:46">
      <c r="AT6405"/>
    </row>
    <row r="6406" spans="46:46">
      <c r="AT6406"/>
    </row>
    <row r="6407" spans="46:46">
      <c r="AT6407"/>
    </row>
    <row r="6408" spans="46:46">
      <c r="AT6408"/>
    </row>
    <row r="6409" spans="46:46">
      <c r="AT6409"/>
    </row>
    <row r="6410" spans="46:46">
      <c r="AT6410"/>
    </row>
    <row r="6411" spans="46:46">
      <c r="AT6411"/>
    </row>
    <row r="6412" spans="46:46">
      <c r="AT6412"/>
    </row>
    <row r="6413" spans="46:46">
      <c r="AT6413"/>
    </row>
    <row r="6414" spans="46:46">
      <c r="AT6414"/>
    </row>
    <row r="6415" spans="46:46">
      <c r="AT6415"/>
    </row>
    <row r="6416" spans="46:46">
      <c r="AT6416"/>
    </row>
    <row r="6417" spans="46:46">
      <c r="AT6417"/>
    </row>
    <row r="6418" spans="46:46">
      <c r="AT6418"/>
    </row>
    <row r="6419" spans="46:46">
      <c r="AT6419"/>
    </row>
    <row r="6420" spans="46:46">
      <c r="AT6420"/>
    </row>
    <row r="6421" spans="46:46">
      <c r="AT6421"/>
    </row>
    <row r="6422" spans="46:46">
      <c r="AT6422"/>
    </row>
    <row r="6423" spans="46:46">
      <c r="AT6423"/>
    </row>
    <row r="6424" spans="46:46">
      <c r="AT6424"/>
    </row>
    <row r="6425" spans="46:46">
      <c r="AT6425"/>
    </row>
    <row r="6426" spans="46:46">
      <c r="AT6426"/>
    </row>
    <row r="6427" spans="46:46">
      <c r="AT6427"/>
    </row>
    <row r="6428" spans="46:46">
      <c r="AT6428"/>
    </row>
    <row r="6429" spans="46:46">
      <c r="AT6429"/>
    </row>
    <row r="6430" spans="46:46">
      <c r="AT6430"/>
    </row>
    <row r="6431" spans="46:46">
      <c r="AT6431"/>
    </row>
    <row r="6432" spans="46:46">
      <c r="AT6432"/>
    </row>
    <row r="6433" spans="46:46">
      <c r="AT6433"/>
    </row>
    <row r="6434" spans="46:46">
      <c r="AT6434"/>
    </row>
    <row r="6435" spans="46:46">
      <c r="AT6435"/>
    </row>
    <row r="6436" spans="46:46">
      <c r="AT6436"/>
    </row>
    <row r="6437" spans="46:46">
      <c r="AT6437"/>
    </row>
    <row r="6438" spans="46:46">
      <c r="AT6438"/>
    </row>
    <row r="6439" spans="46:46">
      <c r="AT6439"/>
    </row>
    <row r="6440" spans="46:46">
      <c r="AT6440"/>
    </row>
    <row r="6441" spans="46:46">
      <c r="AT6441"/>
    </row>
    <row r="6442" spans="46:46">
      <c r="AT6442"/>
    </row>
    <row r="6443" spans="46:46">
      <c r="AT6443"/>
    </row>
    <row r="6444" spans="46:46">
      <c r="AT6444"/>
    </row>
    <row r="6445" spans="46:46">
      <c r="AT6445"/>
    </row>
    <row r="6446" spans="46:46">
      <c r="AT6446"/>
    </row>
    <row r="6447" spans="46:46">
      <c r="AT6447"/>
    </row>
    <row r="6448" spans="46:46">
      <c r="AT6448"/>
    </row>
    <row r="6449" spans="46:46">
      <c r="AT6449"/>
    </row>
    <row r="6450" spans="46:46">
      <c r="AT6450"/>
    </row>
    <row r="6451" spans="46:46">
      <c r="AT6451"/>
    </row>
    <row r="6452" spans="46:46">
      <c r="AT6452"/>
    </row>
    <row r="6453" spans="46:46">
      <c r="AT6453"/>
    </row>
    <row r="6454" spans="46:46">
      <c r="AT6454"/>
    </row>
    <row r="6455" spans="46:46">
      <c r="AT6455"/>
    </row>
    <row r="6456" spans="46:46">
      <c r="AT6456"/>
    </row>
    <row r="6457" spans="46:46">
      <c r="AT6457"/>
    </row>
    <row r="6458" spans="46:46">
      <c r="AT6458"/>
    </row>
    <row r="6459" spans="46:46">
      <c r="AT6459"/>
    </row>
    <row r="6460" spans="46:46">
      <c r="AT6460"/>
    </row>
    <row r="6461" spans="46:46">
      <c r="AT6461"/>
    </row>
    <row r="6462" spans="46:46">
      <c r="AT6462"/>
    </row>
    <row r="6463" spans="46:46">
      <c r="AT6463"/>
    </row>
    <row r="6464" spans="46:46">
      <c r="AT6464"/>
    </row>
    <row r="6465" spans="46:46">
      <c r="AT6465"/>
    </row>
    <row r="6466" spans="46:46">
      <c r="AT6466"/>
    </row>
    <row r="6467" spans="46:46">
      <c r="AT6467"/>
    </row>
    <row r="6468" spans="46:46">
      <c r="AT6468"/>
    </row>
    <row r="6469" spans="46:46">
      <c r="AT6469"/>
    </row>
    <row r="6470" spans="46:46">
      <c r="AT6470"/>
    </row>
    <row r="6471" spans="46:46">
      <c r="AT6471"/>
    </row>
    <row r="6472" spans="46:46">
      <c r="AT6472"/>
    </row>
    <row r="6473" spans="46:46">
      <c r="AT6473"/>
    </row>
    <row r="6474" spans="46:46">
      <c r="AT6474"/>
    </row>
    <row r="6475" spans="46:46">
      <c r="AT6475"/>
    </row>
    <row r="6476" spans="46:46">
      <c r="AT6476"/>
    </row>
    <row r="6477" spans="46:46">
      <c r="AT6477"/>
    </row>
    <row r="6478" spans="46:46">
      <c r="AT6478"/>
    </row>
    <row r="6479" spans="46:46">
      <c r="AT6479"/>
    </row>
    <row r="6480" spans="46:46">
      <c r="AT6480"/>
    </row>
    <row r="6481" spans="46:46">
      <c r="AT6481"/>
    </row>
    <row r="6482" spans="46:46">
      <c r="AT6482"/>
    </row>
    <row r="6483" spans="46:46">
      <c r="AT6483"/>
    </row>
    <row r="6484" spans="46:46">
      <c r="AT6484"/>
    </row>
    <row r="6485" spans="46:46">
      <c r="AT6485"/>
    </row>
    <row r="6486" spans="46:46">
      <c r="AT6486"/>
    </row>
    <row r="6487" spans="46:46">
      <c r="AT6487"/>
    </row>
    <row r="6488" spans="46:46">
      <c r="AT6488"/>
    </row>
    <row r="6489" spans="46:46">
      <c r="AT6489"/>
    </row>
    <row r="6490" spans="46:46">
      <c r="AT6490"/>
    </row>
    <row r="6491" spans="46:46">
      <c r="AT6491"/>
    </row>
    <row r="6492" spans="46:46">
      <c r="AT6492"/>
    </row>
    <row r="6493" spans="46:46">
      <c r="AT6493"/>
    </row>
    <row r="6494" spans="46:46">
      <c r="AT6494"/>
    </row>
    <row r="6495" spans="46:46">
      <c r="AT6495"/>
    </row>
    <row r="6496" spans="46:46">
      <c r="AT6496"/>
    </row>
    <row r="6497" spans="46:46">
      <c r="AT6497"/>
    </row>
    <row r="6498" spans="46:46">
      <c r="AT6498"/>
    </row>
    <row r="6499" spans="46:46">
      <c r="AT6499"/>
    </row>
    <row r="6500" spans="46:46">
      <c r="AT6500"/>
    </row>
    <row r="6501" spans="46:46">
      <c r="AT6501"/>
    </row>
    <row r="6502" spans="46:46">
      <c r="AT6502"/>
    </row>
    <row r="6503" spans="46:46">
      <c r="AT6503"/>
    </row>
    <row r="6504" spans="46:46">
      <c r="AT6504"/>
    </row>
    <row r="6505" spans="46:46">
      <c r="AT6505"/>
    </row>
    <row r="6506" spans="46:46">
      <c r="AT6506"/>
    </row>
    <row r="6507" spans="46:46">
      <c r="AT6507"/>
    </row>
    <row r="6508" spans="46:46">
      <c r="AT6508"/>
    </row>
    <row r="6509" spans="46:46">
      <c r="AT6509"/>
    </row>
    <row r="6510" spans="46:46">
      <c r="AT6510"/>
    </row>
    <row r="6511" spans="46:46">
      <c r="AT6511"/>
    </row>
    <row r="6512" spans="46:46">
      <c r="AT6512"/>
    </row>
    <row r="6513" spans="46:46">
      <c r="AT6513"/>
    </row>
    <row r="6514" spans="46:46">
      <c r="AT6514"/>
    </row>
    <row r="6515" spans="46:46">
      <c r="AT6515"/>
    </row>
    <row r="6516" spans="46:46">
      <c r="AT6516"/>
    </row>
    <row r="6517" spans="46:46">
      <c r="AT6517"/>
    </row>
    <row r="6518" spans="46:46">
      <c r="AT6518"/>
    </row>
    <row r="6519" spans="46:46">
      <c r="AT6519"/>
    </row>
    <row r="6520" spans="46:46">
      <c r="AT6520"/>
    </row>
    <row r="6521" spans="46:46">
      <c r="AT6521"/>
    </row>
    <row r="6522" spans="46:46">
      <c r="AT6522"/>
    </row>
    <row r="6523" spans="46:46">
      <c r="AT6523"/>
    </row>
    <row r="6524" spans="46:46">
      <c r="AT6524"/>
    </row>
    <row r="6525" spans="46:46">
      <c r="AT6525"/>
    </row>
    <row r="6526" spans="46:46">
      <c r="AT6526"/>
    </row>
    <row r="6527" spans="46:46">
      <c r="AT6527"/>
    </row>
    <row r="6528" spans="46:46">
      <c r="AT6528"/>
    </row>
    <row r="6529" spans="46:46">
      <c r="AT6529"/>
    </row>
    <row r="6530" spans="46:46">
      <c r="AT6530"/>
    </row>
    <row r="6531" spans="46:46">
      <c r="AT6531"/>
    </row>
    <row r="6532" spans="46:46">
      <c r="AT6532"/>
    </row>
    <row r="6533" spans="46:46">
      <c r="AT6533"/>
    </row>
    <row r="6534" spans="46:46">
      <c r="AT6534"/>
    </row>
    <row r="6535" spans="46:46">
      <c r="AT6535"/>
    </row>
    <row r="6536" spans="46:46">
      <c r="AT6536"/>
    </row>
    <row r="6537" spans="46:46">
      <c r="AT6537"/>
    </row>
    <row r="6538" spans="46:46">
      <c r="AT6538"/>
    </row>
    <row r="6539" spans="46:46">
      <c r="AT6539"/>
    </row>
    <row r="6540" spans="46:46">
      <c r="AT6540"/>
    </row>
    <row r="6541" spans="46:46">
      <c r="AT6541"/>
    </row>
    <row r="6542" spans="46:46">
      <c r="AT6542"/>
    </row>
    <row r="6543" spans="46:46">
      <c r="AT6543"/>
    </row>
    <row r="6544" spans="46:46">
      <c r="AT6544"/>
    </row>
    <row r="6545" spans="46:46">
      <c r="AT6545"/>
    </row>
    <row r="6546" spans="46:46">
      <c r="AT6546"/>
    </row>
    <row r="6547" spans="46:46">
      <c r="AT6547"/>
    </row>
    <row r="6548" spans="46:46">
      <c r="AT6548"/>
    </row>
    <row r="6549" spans="46:46">
      <c r="AT6549"/>
    </row>
    <row r="6550" spans="46:46">
      <c r="AT6550"/>
    </row>
    <row r="6551" spans="46:46">
      <c r="AT6551"/>
    </row>
    <row r="6552" spans="46:46">
      <c r="AT6552"/>
    </row>
    <row r="6553" spans="46:46">
      <c r="AT6553"/>
    </row>
    <row r="6554" spans="46:46">
      <c r="AT6554"/>
    </row>
    <row r="6555" spans="46:46">
      <c r="AT6555"/>
    </row>
    <row r="6556" spans="46:46">
      <c r="AT6556"/>
    </row>
    <row r="6557" spans="46:46">
      <c r="AT6557"/>
    </row>
    <row r="6558" spans="46:46">
      <c r="AT6558"/>
    </row>
    <row r="6559" spans="46:46">
      <c r="AT6559"/>
    </row>
    <row r="6560" spans="46:46">
      <c r="AT6560"/>
    </row>
    <row r="6561" spans="46:46">
      <c r="AT6561"/>
    </row>
    <row r="6562" spans="46:46">
      <c r="AT6562"/>
    </row>
    <row r="6563" spans="46:46">
      <c r="AT6563"/>
    </row>
    <row r="6564" spans="46:46">
      <c r="AT6564"/>
    </row>
    <row r="6565" spans="46:46">
      <c r="AT6565"/>
    </row>
    <row r="6566" spans="46:46">
      <c r="AT6566"/>
    </row>
    <row r="6567" spans="46:46">
      <c r="AT6567"/>
    </row>
    <row r="6568" spans="46:46">
      <c r="AT6568"/>
    </row>
    <row r="6569" spans="46:46">
      <c r="AT6569"/>
    </row>
    <row r="6570" spans="46:46">
      <c r="AT6570"/>
    </row>
    <row r="6571" spans="46:46">
      <c r="AT6571"/>
    </row>
    <row r="6572" spans="46:46">
      <c r="AT6572"/>
    </row>
    <row r="6573" spans="46:46">
      <c r="AT6573"/>
    </row>
    <row r="6574" spans="46:46">
      <c r="AT6574"/>
    </row>
    <row r="6575" spans="46:46">
      <c r="AT6575"/>
    </row>
    <row r="6576" spans="46:46">
      <c r="AT6576"/>
    </row>
    <row r="6577" spans="46:46">
      <c r="AT6577"/>
    </row>
    <row r="6578" spans="46:46">
      <c r="AT6578"/>
    </row>
    <row r="6579" spans="46:46">
      <c r="AT6579"/>
    </row>
    <row r="6580" spans="46:46">
      <c r="AT6580"/>
    </row>
    <row r="6581" spans="46:46">
      <c r="AT6581"/>
    </row>
    <row r="6582" spans="46:46">
      <c r="AT6582"/>
    </row>
    <row r="6583" spans="46:46">
      <c r="AT6583"/>
    </row>
    <row r="6584" spans="46:46">
      <c r="AT6584"/>
    </row>
    <row r="6585" spans="46:46">
      <c r="AT6585"/>
    </row>
    <row r="6586" spans="46:46">
      <c r="AT6586"/>
    </row>
    <row r="6587" spans="46:46">
      <c r="AT6587"/>
    </row>
    <row r="6588" spans="46:46">
      <c r="AT6588"/>
    </row>
    <row r="6589" spans="46:46">
      <c r="AT6589"/>
    </row>
    <row r="6590" spans="46:46">
      <c r="AT6590"/>
    </row>
    <row r="6591" spans="46:46">
      <c r="AT6591"/>
    </row>
    <row r="6592" spans="46:46">
      <c r="AT6592"/>
    </row>
    <row r="6593" spans="46:46">
      <c r="AT6593"/>
    </row>
    <row r="6594" spans="46:46">
      <c r="AT6594"/>
    </row>
    <row r="6595" spans="46:46">
      <c r="AT6595"/>
    </row>
    <row r="6596" spans="46:46">
      <c r="AT6596"/>
    </row>
    <row r="6597" spans="46:46">
      <c r="AT6597"/>
    </row>
    <row r="6598" spans="46:46">
      <c r="AT6598"/>
    </row>
    <row r="6599" spans="46:46">
      <c r="AT6599"/>
    </row>
    <row r="6600" spans="46:46">
      <c r="AT6600"/>
    </row>
    <row r="6601" spans="46:46">
      <c r="AT6601"/>
    </row>
    <row r="6602" spans="46:46">
      <c r="AT6602"/>
    </row>
    <row r="6603" spans="46:46">
      <c r="AT6603"/>
    </row>
    <row r="6604" spans="46:46">
      <c r="AT6604"/>
    </row>
    <row r="6605" spans="46:46">
      <c r="AT6605"/>
    </row>
    <row r="6606" spans="46:46">
      <c r="AT6606"/>
    </row>
    <row r="6607" spans="46:46">
      <c r="AT6607"/>
    </row>
    <row r="6608" spans="46:46">
      <c r="AT6608"/>
    </row>
    <row r="6609" spans="46:46">
      <c r="AT6609"/>
    </row>
    <row r="6610" spans="46:46">
      <c r="AT6610"/>
    </row>
    <row r="6611" spans="46:46">
      <c r="AT6611"/>
    </row>
    <row r="6612" spans="46:46">
      <c r="AT6612"/>
    </row>
    <row r="6613" spans="46:46">
      <c r="AT6613"/>
    </row>
    <row r="6614" spans="46:46">
      <c r="AT6614"/>
    </row>
    <row r="6615" spans="46:46">
      <c r="AT6615"/>
    </row>
    <row r="6616" spans="46:46">
      <c r="AT6616"/>
    </row>
    <row r="6617" spans="46:46">
      <c r="AT6617"/>
    </row>
    <row r="6618" spans="46:46">
      <c r="AT6618"/>
    </row>
    <row r="6619" spans="46:46">
      <c r="AT6619"/>
    </row>
    <row r="6620" spans="46:46">
      <c r="AT6620"/>
    </row>
    <row r="6621" spans="46:46">
      <c r="AT6621"/>
    </row>
    <row r="6622" spans="46:46">
      <c r="AT6622"/>
    </row>
    <row r="6623" spans="46:46">
      <c r="AT6623"/>
    </row>
    <row r="6624" spans="46:46">
      <c r="AT6624"/>
    </row>
    <row r="6625" spans="46:46">
      <c r="AT6625"/>
    </row>
    <row r="6626" spans="46:46">
      <c r="AT6626"/>
    </row>
    <row r="6627" spans="46:46">
      <c r="AT6627"/>
    </row>
    <row r="6628" spans="46:46">
      <c r="AT6628"/>
    </row>
    <row r="6629" spans="46:46">
      <c r="AT6629"/>
    </row>
    <row r="6630" spans="46:46">
      <c r="AT6630"/>
    </row>
    <row r="6631" spans="46:46">
      <c r="AT6631"/>
    </row>
    <row r="6632" spans="46:46">
      <c r="AT6632"/>
    </row>
    <row r="6633" spans="46:46">
      <c r="AT6633"/>
    </row>
    <row r="6634" spans="46:46">
      <c r="AT6634"/>
    </row>
    <row r="6635" spans="46:46">
      <c r="AT6635"/>
    </row>
    <row r="6636" spans="46:46">
      <c r="AT6636"/>
    </row>
    <row r="6637" spans="46:46">
      <c r="AT6637"/>
    </row>
    <row r="6638" spans="46:46">
      <c r="AT6638"/>
    </row>
    <row r="6639" spans="46:46">
      <c r="AT6639"/>
    </row>
    <row r="6640" spans="46:46">
      <c r="AT6640"/>
    </row>
    <row r="6641" spans="46:46">
      <c r="AT6641"/>
    </row>
    <row r="6642" spans="46:46">
      <c r="AT6642"/>
    </row>
    <row r="6643" spans="46:46">
      <c r="AT6643"/>
    </row>
    <row r="6644" spans="46:46">
      <c r="AT6644"/>
    </row>
    <row r="6645" spans="46:46">
      <c r="AT6645"/>
    </row>
    <row r="6646" spans="46:46">
      <c r="AT6646"/>
    </row>
    <row r="6647" spans="46:46">
      <c r="AT6647"/>
    </row>
    <row r="6648" spans="46:46">
      <c r="AT6648"/>
    </row>
    <row r="6649" spans="46:46">
      <c r="AT6649"/>
    </row>
    <row r="6650" spans="46:46">
      <c r="AT6650"/>
    </row>
    <row r="6651" spans="46:46">
      <c r="AT6651"/>
    </row>
    <row r="6652" spans="46:46">
      <c r="AT6652"/>
    </row>
    <row r="6653" spans="46:46">
      <c r="AT6653"/>
    </row>
    <row r="6654" spans="46:46">
      <c r="AT6654"/>
    </row>
    <row r="6655" spans="46:46">
      <c r="AT6655"/>
    </row>
    <row r="6656" spans="46:46">
      <c r="AT6656"/>
    </row>
    <row r="6657" spans="46:46">
      <c r="AT6657"/>
    </row>
    <row r="6658" spans="46:46">
      <c r="AT6658"/>
    </row>
    <row r="6659" spans="46:46">
      <c r="AT6659"/>
    </row>
    <row r="6660" spans="46:46">
      <c r="AT6660"/>
    </row>
    <row r="6661" spans="46:46">
      <c r="AT6661"/>
    </row>
    <row r="6662" spans="46:46">
      <c r="AT6662"/>
    </row>
    <row r="6663" spans="46:46">
      <c r="AT6663"/>
    </row>
    <row r="6664" spans="46:46">
      <c r="AT6664"/>
    </row>
    <row r="6665" spans="46:46">
      <c r="AT6665"/>
    </row>
    <row r="6666" spans="46:46">
      <c r="AT6666"/>
    </row>
    <row r="6667" spans="46:46">
      <c r="AT6667"/>
    </row>
    <row r="6668" spans="46:46">
      <c r="AT6668"/>
    </row>
    <row r="6669" spans="46:46">
      <c r="AT6669"/>
    </row>
    <row r="6670" spans="46:46">
      <c r="AT6670"/>
    </row>
    <row r="6671" spans="46:46">
      <c r="AT6671"/>
    </row>
    <row r="6672" spans="46:46">
      <c r="AT6672"/>
    </row>
    <row r="6673" spans="46:46">
      <c r="AT6673"/>
    </row>
    <row r="6674" spans="46:46">
      <c r="AT6674"/>
    </row>
    <row r="6675" spans="46:46">
      <c r="AT6675"/>
    </row>
    <row r="6676" spans="46:46">
      <c r="AT6676"/>
    </row>
    <row r="6677" spans="46:46">
      <c r="AT6677"/>
    </row>
    <row r="6678" spans="46:46">
      <c r="AT6678"/>
    </row>
    <row r="6679" spans="46:46">
      <c r="AT6679"/>
    </row>
    <row r="6680" spans="46:46">
      <c r="AT6680"/>
    </row>
    <row r="6681" spans="46:46">
      <c r="AT6681"/>
    </row>
    <row r="6682" spans="46:46">
      <c r="AT6682"/>
    </row>
    <row r="6683" spans="46:46">
      <c r="AT6683"/>
    </row>
    <row r="6684" spans="46:46">
      <c r="AT6684"/>
    </row>
    <row r="6685" spans="46:46">
      <c r="AT6685"/>
    </row>
    <row r="6686" spans="46:46">
      <c r="AT6686"/>
    </row>
    <row r="6687" spans="46:46">
      <c r="AT6687"/>
    </row>
    <row r="6688" spans="46:46">
      <c r="AT6688"/>
    </row>
    <row r="6689" spans="46:46">
      <c r="AT6689"/>
    </row>
    <row r="6690" spans="46:46">
      <c r="AT6690"/>
    </row>
    <row r="6691" spans="46:46">
      <c r="AT6691"/>
    </row>
    <row r="6692" spans="46:46">
      <c r="AT6692"/>
    </row>
    <row r="6693" spans="46:46">
      <c r="AT6693"/>
    </row>
    <row r="6694" spans="46:46">
      <c r="AT6694"/>
    </row>
    <row r="6695" spans="46:46">
      <c r="AT6695"/>
    </row>
    <row r="6696" spans="46:46">
      <c r="AT6696"/>
    </row>
    <row r="6697" spans="46:46">
      <c r="AT6697"/>
    </row>
    <row r="6698" spans="46:46">
      <c r="AT6698"/>
    </row>
    <row r="6699" spans="46:46">
      <c r="AT6699"/>
    </row>
    <row r="6700" spans="46:46">
      <c r="AT6700"/>
    </row>
    <row r="6701" spans="46:46">
      <c r="AT6701"/>
    </row>
    <row r="6702" spans="46:46">
      <c r="AT6702"/>
    </row>
    <row r="6703" spans="46:46">
      <c r="AT6703"/>
    </row>
    <row r="6704" spans="46:46">
      <c r="AT6704"/>
    </row>
    <row r="6705" spans="46:46">
      <c r="AT6705"/>
    </row>
    <row r="6706" spans="46:46">
      <c r="AT6706"/>
    </row>
    <row r="6707" spans="46:46">
      <c r="AT6707"/>
    </row>
    <row r="6708" spans="46:46">
      <c r="AT6708"/>
    </row>
    <row r="6709" spans="46:46">
      <c r="AT6709"/>
    </row>
    <row r="6710" spans="46:46">
      <c r="AT6710"/>
    </row>
    <row r="6711" spans="46:46">
      <c r="AT6711"/>
    </row>
    <row r="6712" spans="46:46">
      <c r="AT6712"/>
    </row>
    <row r="6713" spans="46:46">
      <c r="AT6713"/>
    </row>
    <row r="6714" spans="46:46">
      <c r="AT6714"/>
    </row>
    <row r="6715" spans="46:46">
      <c r="AT6715"/>
    </row>
    <row r="6716" spans="46:46">
      <c r="AT6716"/>
    </row>
    <row r="6717" spans="46:46">
      <c r="AT6717"/>
    </row>
    <row r="6718" spans="46:46">
      <c r="AT6718"/>
    </row>
    <row r="6719" spans="46:46">
      <c r="AT6719"/>
    </row>
    <row r="6720" spans="46:46">
      <c r="AT6720"/>
    </row>
    <row r="6721" spans="46:46">
      <c r="AT6721"/>
    </row>
    <row r="6722" spans="46:46">
      <c r="AT6722"/>
    </row>
    <row r="6723" spans="46:46">
      <c r="AT6723"/>
    </row>
    <row r="6724" spans="46:46">
      <c r="AT6724"/>
    </row>
    <row r="6725" spans="46:46">
      <c r="AT6725"/>
    </row>
    <row r="6726" spans="46:46">
      <c r="AT6726"/>
    </row>
    <row r="6727" spans="46:46">
      <c r="AT6727"/>
    </row>
    <row r="6728" spans="46:46">
      <c r="AT6728"/>
    </row>
    <row r="6729" spans="46:46">
      <c r="AT6729"/>
    </row>
    <row r="6730" spans="46:46">
      <c r="AT6730"/>
    </row>
    <row r="6731" spans="46:46">
      <c r="AT6731"/>
    </row>
    <row r="6732" spans="46:46">
      <c r="AT6732"/>
    </row>
    <row r="6733" spans="46:46">
      <c r="AT6733"/>
    </row>
    <row r="6734" spans="46:46">
      <c r="AT6734"/>
    </row>
    <row r="6735" spans="46:46">
      <c r="AT6735"/>
    </row>
    <row r="6736" spans="46:46">
      <c r="AT6736"/>
    </row>
    <row r="6737" spans="46:46">
      <c r="AT6737"/>
    </row>
    <row r="6738" spans="46:46">
      <c r="AT6738"/>
    </row>
    <row r="6739" spans="46:46">
      <c r="AT6739"/>
    </row>
    <row r="6740" spans="46:46">
      <c r="AT6740"/>
    </row>
    <row r="6741" spans="46:46">
      <c r="AT6741"/>
    </row>
    <row r="6742" spans="46:46">
      <c r="AT6742"/>
    </row>
    <row r="6743" spans="46:46">
      <c r="AT6743"/>
    </row>
    <row r="6744" spans="46:46">
      <c r="AT6744"/>
    </row>
    <row r="6745" spans="46:46">
      <c r="AT6745"/>
    </row>
    <row r="6746" spans="46:46">
      <c r="AT6746"/>
    </row>
    <row r="6747" spans="46:46">
      <c r="AT6747"/>
    </row>
    <row r="6748" spans="46:46">
      <c r="AT6748"/>
    </row>
    <row r="6749" spans="46:46">
      <c r="AT6749"/>
    </row>
    <row r="6750" spans="46:46">
      <c r="AT6750"/>
    </row>
    <row r="6751" spans="46:46">
      <c r="AT6751"/>
    </row>
    <row r="6752" spans="46:46">
      <c r="AT6752"/>
    </row>
    <row r="6753" spans="46:46">
      <c r="AT6753"/>
    </row>
    <row r="6754" spans="46:46">
      <c r="AT6754"/>
    </row>
    <row r="6755" spans="46:46">
      <c r="AT6755"/>
    </row>
    <row r="6756" spans="46:46">
      <c r="AT6756"/>
    </row>
    <row r="6757" spans="46:46">
      <c r="AT6757"/>
    </row>
    <row r="6758" spans="46:46">
      <c r="AT6758"/>
    </row>
    <row r="6759" spans="46:46">
      <c r="AT6759"/>
    </row>
    <row r="6760" spans="46:46">
      <c r="AT6760"/>
    </row>
    <row r="6761" spans="46:46">
      <c r="AT6761"/>
    </row>
    <row r="6762" spans="46:46">
      <c r="AT6762"/>
    </row>
    <row r="6763" spans="46:46">
      <c r="AT6763"/>
    </row>
    <row r="6764" spans="46:46">
      <c r="AT6764"/>
    </row>
    <row r="6765" spans="46:46">
      <c r="AT6765"/>
    </row>
    <row r="6766" spans="46:46">
      <c r="AT6766"/>
    </row>
    <row r="6767" spans="46:46">
      <c r="AT6767"/>
    </row>
    <row r="6768" spans="46:46">
      <c r="AT6768"/>
    </row>
    <row r="6769" spans="46:46">
      <c r="AT6769"/>
    </row>
    <row r="6770" spans="46:46">
      <c r="AT6770"/>
    </row>
    <row r="6771" spans="46:46">
      <c r="AT6771"/>
    </row>
    <row r="6772" spans="46:46">
      <c r="AT6772"/>
    </row>
    <row r="6773" spans="46:46">
      <c r="AT6773"/>
    </row>
    <row r="6774" spans="46:46">
      <c r="AT6774"/>
    </row>
    <row r="6775" spans="46:46">
      <c r="AT6775"/>
    </row>
    <row r="6776" spans="46:46">
      <c r="AT6776"/>
    </row>
    <row r="6777" spans="46:46">
      <c r="AT6777"/>
    </row>
    <row r="6778" spans="46:46">
      <c r="AT6778"/>
    </row>
    <row r="6779" spans="46:46">
      <c r="AT6779"/>
    </row>
    <row r="6780" spans="46:46">
      <c r="AT6780"/>
    </row>
    <row r="6781" spans="46:46">
      <c r="AT6781"/>
    </row>
    <row r="6782" spans="46:46">
      <c r="AT6782"/>
    </row>
    <row r="6783" spans="46:46">
      <c r="AT6783"/>
    </row>
    <row r="6784" spans="46:46">
      <c r="AT6784"/>
    </row>
    <row r="6785" spans="46:46">
      <c r="AT6785"/>
    </row>
    <row r="6786" spans="46:46">
      <c r="AT6786"/>
    </row>
    <row r="6787" spans="46:46">
      <c r="AT6787"/>
    </row>
    <row r="6788" spans="46:46">
      <c r="AT6788"/>
    </row>
    <row r="6789" spans="46:46">
      <c r="AT6789"/>
    </row>
    <row r="6790" spans="46:46">
      <c r="AT6790"/>
    </row>
    <row r="6791" spans="46:46">
      <c r="AT6791"/>
    </row>
    <row r="6792" spans="46:46">
      <c r="AT6792"/>
    </row>
    <row r="6793" spans="46:46">
      <c r="AT6793"/>
    </row>
    <row r="6794" spans="46:46">
      <c r="AT6794"/>
    </row>
    <row r="6795" spans="46:46">
      <c r="AT6795"/>
    </row>
    <row r="6796" spans="46:46">
      <c r="AT6796"/>
    </row>
    <row r="6797" spans="46:46">
      <c r="AT6797"/>
    </row>
    <row r="6798" spans="46:46">
      <c r="AT6798"/>
    </row>
    <row r="6799" spans="46:46">
      <c r="AT6799"/>
    </row>
    <row r="6800" spans="46:46">
      <c r="AT6800"/>
    </row>
    <row r="6801" spans="46:46">
      <c r="AT6801"/>
    </row>
    <row r="6802" spans="46:46">
      <c r="AT6802"/>
    </row>
    <row r="6803" spans="46:46">
      <c r="AT6803"/>
    </row>
    <row r="6804" spans="46:46">
      <c r="AT6804"/>
    </row>
    <row r="6805" spans="46:46">
      <c r="AT6805"/>
    </row>
    <row r="6806" spans="46:46">
      <c r="AT6806"/>
    </row>
    <row r="6807" spans="46:46">
      <c r="AT6807"/>
    </row>
    <row r="6808" spans="46:46">
      <c r="AT6808"/>
    </row>
    <row r="6809" spans="46:46">
      <c r="AT6809"/>
    </row>
    <row r="6810" spans="46:46">
      <c r="AT6810"/>
    </row>
    <row r="6811" spans="46:46">
      <c r="AT6811"/>
    </row>
    <row r="6812" spans="46:46">
      <c r="AT6812"/>
    </row>
    <row r="6813" spans="46:46">
      <c r="AT6813"/>
    </row>
    <row r="6814" spans="46:46">
      <c r="AT6814"/>
    </row>
    <row r="6815" spans="46:46">
      <c r="AT6815"/>
    </row>
    <row r="6816" spans="46:46">
      <c r="AT6816"/>
    </row>
    <row r="6817" spans="46:46">
      <c r="AT6817"/>
    </row>
    <row r="6818" spans="46:46">
      <c r="AT6818"/>
    </row>
    <row r="6819" spans="46:46">
      <c r="AT6819"/>
    </row>
    <row r="6820" spans="46:46">
      <c r="AT6820"/>
    </row>
    <row r="6821" spans="46:46">
      <c r="AT6821"/>
    </row>
    <row r="6822" spans="46:46">
      <c r="AT6822"/>
    </row>
    <row r="6823" spans="46:46">
      <c r="AT6823"/>
    </row>
    <row r="6824" spans="46:46">
      <c r="AT6824"/>
    </row>
    <row r="6825" spans="46:46">
      <c r="AT6825"/>
    </row>
    <row r="6826" spans="46:46">
      <c r="AT6826"/>
    </row>
    <row r="6827" spans="46:46">
      <c r="AT6827"/>
    </row>
    <row r="6828" spans="46:46">
      <c r="AT6828"/>
    </row>
    <row r="6829" spans="46:46">
      <c r="AT6829"/>
    </row>
    <row r="6830" spans="46:46">
      <c r="AT6830"/>
    </row>
    <row r="6831" spans="46:46">
      <c r="AT6831"/>
    </row>
    <row r="6832" spans="46:46">
      <c r="AT6832"/>
    </row>
    <row r="6833" spans="46:46">
      <c r="AT6833"/>
    </row>
    <row r="6834" spans="46:46">
      <c r="AT6834"/>
    </row>
    <row r="6835" spans="46:46">
      <c r="AT6835"/>
    </row>
    <row r="6836" spans="46:46">
      <c r="AT6836"/>
    </row>
    <row r="6837" spans="46:46">
      <c r="AT6837"/>
    </row>
    <row r="6838" spans="46:46">
      <c r="AT6838"/>
    </row>
    <row r="6839" spans="46:46">
      <c r="AT6839"/>
    </row>
    <row r="6840" spans="46:46">
      <c r="AT6840"/>
    </row>
    <row r="6841" spans="46:46">
      <c r="AT6841"/>
    </row>
    <row r="6842" spans="46:46">
      <c r="AT6842"/>
    </row>
    <row r="6843" spans="46:46">
      <c r="AT6843"/>
    </row>
    <row r="6844" spans="46:46">
      <c r="AT6844"/>
    </row>
    <row r="6845" spans="46:46">
      <c r="AT6845"/>
    </row>
    <row r="6846" spans="46:46">
      <c r="AT6846"/>
    </row>
    <row r="6847" spans="46:46">
      <c r="AT6847"/>
    </row>
    <row r="6848" spans="46:46">
      <c r="AT6848"/>
    </row>
    <row r="6849" spans="46:46">
      <c r="AT6849"/>
    </row>
    <row r="6850" spans="46:46">
      <c r="AT6850"/>
    </row>
    <row r="6851" spans="46:46">
      <c r="AT6851"/>
    </row>
    <row r="6852" spans="46:46">
      <c r="AT6852"/>
    </row>
    <row r="6853" spans="46:46">
      <c r="AT6853"/>
    </row>
    <row r="6854" spans="46:46">
      <c r="AT6854"/>
    </row>
    <row r="6855" spans="46:46">
      <c r="AT6855"/>
    </row>
    <row r="6856" spans="46:46">
      <c r="AT6856"/>
    </row>
    <row r="6857" spans="46:46">
      <c r="AT6857"/>
    </row>
    <row r="6858" spans="46:46">
      <c r="AT6858"/>
    </row>
    <row r="6859" spans="46:46">
      <c r="AT6859"/>
    </row>
    <row r="6860" spans="46:46">
      <c r="AT6860"/>
    </row>
    <row r="6861" spans="46:46">
      <c r="AT6861"/>
    </row>
    <row r="6862" spans="46:46">
      <c r="AT6862"/>
    </row>
    <row r="6863" spans="46:46">
      <c r="AT6863"/>
    </row>
    <row r="6864" spans="46:46">
      <c r="AT6864"/>
    </row>
    <row r="6865" spans="46:46">
      <c r="AT6865"/>
    </row>
    <row r="6866" spans="46:46">
      <c r="AT6866"/>
    </row>
    <row r="6867" spans="46:46">
      <c r="AT6867"/>
    </row>
    <row r="6868" spans="46:46">
      <c r="AT6868"/>
    </row>
    <row r="6869" spans="46:46">
      <c r="AT6869"/>
    </row>
    <row r="6870" spans="46:46">
      <c r="AT6870"/>
    </row>
    <row r="6871" spans="46:46">
      <c r="AT6871"/>
    </row>
    <row r="6872" spans="46:46">
      <c r="AT6872"/>
    </row>
    <row r="6873" spans="46:46">
      <c r="AT6873"/>
    </row>
    <row r="6874" spans="46:46">
      <c r="AT6874"/>
    </row>
    <row r="6875" spans="46:46">
      <c r="AT6875"/>
    </row>
    <row r="6876" spans="46:46">
      <c r="AT6876"/>
    </row>
    <row r="6877" spans="46:46">
      <c r="AT6877"/>
    </row>
    <row r="6878" spans="46:46">
      <c r="AT6878"/>
    </row>
    <row r="6879" spans="46:46">
      <c r="AT6879"/>
    </row>
    <row r="6880" spans="46:46">
      <c r="AT6880"/>
    </row>
    <row r="6881" spans="46:46">
      <c r="AT6881"/>
    </row>
    <row r="6882" spans="46:46">
      <c r="AT6882"/>
    </row>
    <row r="6883" spans="46:46">
      <c r="AT6883"/>
    </row>
    <row r="6884" spans="46:46">
      <c r="AT6884"/>
    </row>
    <row r="6885" spans="46:46">
      <c r="AT6885"/>
    </row>
    <row r="6886" spans="46:46">
      <c r="AT6886"/>
    </row>
    <row r="6887" spans="46:46">
      <c r="AT6887"/>
    </row>
    <row r="6888" spans="46:46">
      <c r="AT6888"/>
    </row>
    <row r="6889" spans="46:46">
      <c r="AT6889"/>
    </row>
    <row r="6890" spans="46:46">
      <c r="AT6890"/>
    </row>
    <row r="6891" spans="46:46">
      <c r="AT6891"/>
    </row>
    <row r="6892" spans="46:46">
      <c r="AT6892"/>
    </row>
    <row r="6893" spans="46:46">
      <c r="AT6893"/>
    </row>
    <row r="6894" spans="46:46">
      <c r="AT6894"/>
    </row>
    <row r="6895" spans="46:46">
      <c r="AT6895"/>
    </row>
    <row r="6896" spans="46:46">
      <c r="AT6896"/>
    </row>
    <row r="6897" spans="46:46">
      <c r="AT6897"/>
    </row>
    <row r="6898" spans="46:46">
      <c r="AT6898"/>
    </row>
    <row r="6899" spans="46:46">
      <c r="AT6899"/>
    </row>
    <row r="6900" spans="46:46">
      <c r="AT6900"/>
    </row>
    <row r="6901" spans="46:46">
      <c r="AT6901"/>
    </row>
    <row r="6902" spans="46:46">
      <c r="AT6902"/>
    </row>
    <row r="6903" spans="46:46">
      <c r="AT6903"/>
    </row>
    <row r="6904" spans="46:46">
      <c r="AT6904"/>
    </row>
    <row r="6905" spans="46:46">
      <c r="AT6905"/>
    </row>
    <row r="6906" spans="46:46">
      <c r="AT6906"/>
    </row>
    <row r="6907" spans="46:46">
      <c r="AT6907"/>
    </row>
    <row r="6908" spans="46:46">
      <c r="AT6908"/>
    </row>
    <row r="6909" spans="46:46">
      <c r="AT6909"/>
    </row>
    <row r="6910" spans="46:46">
      <c r="AT6910"/>
    </row>
    <row r="6911" spans="46:46">
      <c r="AT6911"/>
    </row>
    <row r="6912" spans="46:46">
      <c r="AT6912"/>
    </row>
    <row r="6913" spans="46:46">
      <c r="AT6913"/>
    </row>
    <row r="6914" spans="46:46">
      <c r="AT6914"/>
    </row>
    <row r="6915" spans="46:46">
      <c r="AT6915"/>
    </row>
    <row r="6916" spans="46:46">
      <c r="AT6916"/>
    </row>
    <row r="6917" spans="46:46">
      <c r="AT6917"/>
    </row>
    <row r="6918" spans="46:46">
      <c r="AT6918"/>
    </row>
    <row r="6919" spans="46:46">
      <c r="AT6919"/>
    </row>
    <row r="6920" spans="46:46">
      <c r="AT6920"/>
    </row>
    <row r="6921" spans="46:46">
      <c r="AT6921"/>
    </row>
    <row r="6922" spans="46:46">
      <c r="AT6922"/>
    </row>
    <row r="6923" spans="46:46">
      <c r="AT6923"/>
    </row>
    <row r="6924" spans="46:46">
      <c r="AT6924"/>
    </row>
    <row r="6925" spans="46:46">
      <c r="AT6925"/>
    </row>
    <row r="6926" spans="46:46">
      <c r="AT6926"/>
    </row>
    <row r="6927" spans="46:46">
      <c r="AT6927"/>
    </row>
    <row r="6928" spans="46:46">
      <c r="AT6928"/>
    </row>
    <row r="6929" spans="46:46">
      <c r="AT6929"/>
    </row>
    <row r="6930" spans="46:46">
      <c r="AT6930"/>
    </row>
    <row r="6931" spans="46:46">
      <c r="AT6931"/>
    </row>
    <row r="6932" spans="46:46">
      <c r="AT6932"/>
    </row>
    <row r="6933" spans="46:46">
      <c r="AT6933"/>
    </row>
    <row r="6934" spans="46:46">
      <c r="AT6934"/>
    </row>
    <row r="6935" spans="46:46">
      <c r="AT6935"/>
    </row>
    <row r="6936" spans="46:46">
      <c r="AT6936"/>
    </row>
    <row r="6937" spans="46:46">
      <c r="AT6937"/>
    </row>
    <row r="6938" spans="46:46">
      <c r="AT6938"/>
    </row>
    <row r="6939" spans="46:46">
      <c r="AT6939"/>
    </row>
    <row r="6940" spans="46:46">
      <c r="AT6940"/>
    </row>
    <row r="6941" spans="46:46">
      <c r="AT6941"/>
    </row>
    <row r="6942" spans="46:46">
      <c r="AT6942"/>
    </row>
    <row r="6943" spans="46:46">
      <c r="AT6943"/>
    </row>
    <row r="6944" spans="46:46">
      <c r="AT6944"/>
    </row>
    <row r="6945" spans="46:46">
      <c r="AT6945"/>
    </row>
    <row r="6946" spans="46:46">
      <c r="AT6946"/>
    </row>
    <row r="6947" spans="46:46">
      <c r="AT6947"/>
    </row>
    <row r="6948" spans="46:46">
      <c r="AT6948"/>
    </row>
    <row r="6949" spans="46:46">
      <c r="AT6949"/>
    </row>
    <row r="6950" spans="46:46">
      <c r="AT6950"/>
    </row>
    <row r="6951" spans="46:46">
      <c r="AT6951"/>
    </row>
    <row r="6952" spans="46:46">
      <c r="AT6952"/>
    </row>
    <row r="6953" spans="46:46">
      <c r="AT6953"/>
    </row>
    <row r="6954" spans="46:46">
      <c r="AT6954"/>
    </row>
    <row r="6955" spans="46:46">
      <c r="AT6955"/>
    </row>
    <row r="6956" spans="46:46">
      <c r="AT6956"/>
    </row>
    <row r="6957" spans="46:46">
      <c r="AT6957"/>
    </row>
    <row r="6958" spans="46:46">
      <c r="AT6958"/>
    </row>
    <row r="6959" spans="46:46">
      <c r="AT6959"/>
    </row>
    <row r="6960" spans="46:46">
      <c r="AT6960"/>
    </row>
    <row r="6961" spans="46:46">
      <c r="AT6961"/>
    </row>
    <row r="6962" spans="46:46">
      <c r="AT6962"/>
    </row>
    <row r="6963" spans="46:46">
      <c r="AT6963"/>
    </row>
    <row r="6964" spans="46:46">
      <c r="AT6964"/>
    </row>
    <row r="6965" spans="46:46">
      <c r="AT6965"/>
    </row>
    <row r="6966" spans="46:46">
      <c r="AT6966"/>
    </row>
    <row r="6967" spans="46:46">
      <c r="AT6967"/>
    </row>
    <row r="6968" spans="46:46">
      <c r="AT6968"/>
    </row>
    <row r="6969" spans="46:46">
      <c r="AT6969"/>
    </row>
    <row r="6970" spans="46:46">
      <c r="AT6970"/>
    </row>
    <row r="6971" spans="46:46">
      <c r="AT6971"/>
    </row>
    <row r="6972" spans="46:46">
      <c r="AT6972"/>
    </row>
    <row r="6973" spans="46:46">
      <c r="AT6973"/>
    </row>
    <row r="6974" spans="46:46">
      <c r="AT6974"/>
    </row>
    <row r="6975" spans="46:46">
      <c r="AT6975"/>
    </row>
    <row r="6976" spans="46:46">
      <c r="AT6976"/>
    </row>
    <row r="6977" spans="46:46">
      <c r="AT6977"/>
    </row>
    <row r="6978" spans="46:46">
      <c r="AT6978"/>
    </row>
    <row r="6979" spans="46:46">
      <c r="AT6979"/>
    </row>
    <row r="6980" spans="46:46">
      <c r="AT6980"/>
    </row>
    <row r="6981" spans="46:46">
      <c r="AT6981"/>
    </row>
    <row r="6982" spans="46:46">
      <c r="AT6982"/>
    </row>
    <row r="6983" spans="46:46">
      <c r="AT6983"/>
    </row>
    <row r="6984" spans="46:46">
      <c r="AT6984"/>
    </row>
    <row r="6985" spans="46:46">
      <c r="AT6985"/>
    </row>
    <row r="6986" spans="46:46">
      <c r="AT6986"/>
    </row>
    <row r="6987" spans="46:46">
      <c r="AT6987"/>
    </row>
    <row r="6988" spans="46:46">
      <c r="AT6988"/>
    </row>
    <row r="6989" spans="46:46">
      <c r="AT6989"/>
    </row>
    <row r="6990" spans="46:46">
      <c r="AT6990"/>
    </row>
    <row r="6991" spans="46:46">
      <c r="AT6991"/>
    </row>
    <row r="6992" spans="46:46">
      <c r="AT6992"/>
    </row>
    <row r="6993" spans="46:46">
      <c r="AT6993"/>
    </row>
    <row r="6994" spans="46:46">
      <c r="AT6994"/>
    </row>
    <row r="6995" spans="46:46">
      <c r="AT6995"/>
    </row>
    <row r="6996" spans="46:46">
      <c r="AT6996"/>
    </row>
    <row r="6997" spans="46:46">
      <c r="AT6997"/>
    </row>
    <row r="6998" spans="46:46">
      <c r="AT6998"/>
    </row>
    <row r="6999" spans="46:46">
      <c r="AT6999"/>
    </row>
    <row r="7000" spans="46:46">
      <c r="AT7000"/>
    </row>
    <row r="7001" spans="46:46">
      <c r="AT7001"/>
    </row>
    <row r="7002" spans="46:46">
      <c r="AT7002"/>
    </row>
    <row r="7003" spans="46:46">
      <c r="AT7003"/>
    </row>
    <row r="7004" spans="46:46">
      <c r="AT7004"/>
    </row>
    <row r="7005" spans="46:46">
      <c r="AT7005"/>
    </row>
    <row r="7006" spans="46:46">
      <c r="AT7006"/>
    </row>
    <row r="7007" spans="46:46">
      <c r="AT7007"/>
    </row>
    <row r="7008" spans="46:46">
      <c r="AT7008"/>
    </row>
    <row r="7009" spans="46:46">
      <c r="AT7009"/>
    </row>
    <row r="7010" spans="46:46">
      <c r="AT7010"/>
    </row>
    <row r="7011" spans="46:46">
      <c r="AT7011"/>
    </row>
    <row r="7012" spans="46:46">
      <c r="AT7012"/>
    </row>
    <row r="7013" spans="46:46">
      <c r="AT7013"/>
    </row>
    <row r="7014" spans="46:46">
      <c r="AT7014"/>
    </row>
    <row r="7015" spans="46:46">
      <c r="AT7015"/>
    </row>
    <row r="7016" spans="46:46">
      <c r="AT7016"/>
    </row>
    <row r="7017" spans="46:46">
      <c r="AT7017"/>
    </row>
    <row r="7018" spans="46:46">
      <c r="AT7018"/>
    </row>
    <row r="7019" spans="46:46">
      <c r="AT7019"/>
    </row>
    <row r="7020" spans="46:46">
      <c r="AT7020"/>
    </row>
    <row r="7021" spans="46:46">
      <c r="AT7021"/>
    </row>
    <row r="7022" spans="46:46">
      <c r="AT7022"/>
    </row>
    <row r="7023" spans="46:46">
      <c r="AT7023"/>
    </row>
    <row r="7024" spans="46:46">
      <c r="AT7024"/>
    </row>
    <row r="7025" spans="46:46">
      <c r="AT7025"/>
    </row>
    <row r="7026" spans="46:46">
      <c r="AT7026"/>
    </row>
    <row r="7027" spans="46:46">
      <c r="AT7027"/>
    </row>
    <row r="7028" spans="46:46">
      <c r="AT7028"/>
    </row>
    <row r="7029" spans="46:46">
      <c r="AT7029"/>
    </row>
    <row r="7030" spans="46:46">
      <c r="AT7030"/>
    </row>
    <row r="7031" spans="46:46">
      <c r="AT7031"/>
    </row>
    <row r="7032" spans="46:46">
      <c r="AT7032"/>
    </row>
    <row r="7033" spans="46:46">
      <c r="AT7033"/>
    </row>
    <row r="7034" spans="46:46">
      <c r="AT7034"/>
    </row>
    <row r="7035" spans="46:46">
      <c r="AT7035"/>
    </row>
    <row r="7036" spans="46:46">
      <c r="AT7036"/>
    </row>
    <row r="7037" spans="46:46">
      <c r="AT7037"/>
    </row>
    <row r="7038" spans="46:46">
      <c r="AT7038"/>
    </row>
    <row r="7039" spans="46:46">
      <c r="AT7039"/>
    </row>
    <row r="7040" spans="46:46">
      <c r="AT7040"/>
    </row>
    <row r="7041" spans="46:46">
      <c r="AT7041"/>
    </row>
    <row r="7042" spans="46:46">
      <c r="AT7042"/>
    </row>
    <row r="7043" spans="46:46">
      <c r="AT7043"/>
    </row>
    <row r="7044" spans="46:46">
      <c r="AT7044"/>
    </row>
    <row r="7045" spans="46:46">
      <c r="AT7045"/>
    </row>
    <row r="7046" spans="46:46">
      <c r="AT7046"/>
    </row>
    <row r="7047" spans="46:46">
      <c r="AT7047"/>
    </row>
    <row r="7048" spans="46:46">
      <c r="AT7048"/>
    </row>
    <row r="7049" spans="46:46">
      <c r="AT7049"/>
    </row>
    <row r="7050" spans="46:46">
      <c r="AT7050"/>
    </row>
    <row r="7051" spans="46:46">
      <c r="AT7051"/>
    </row>
    <row r="7052" spans="46:46">
      <c r="AT7052"/>
    </row>
    <row r="7053" spans="46:46">
      <c r="AT7053"/>
    </row>
    <row r="7054" spans="46:46">
      <c r="AT7054"/>
    </row>
    <row r="7055" spans="46:46">
      <c r="AT7055"/>
    </row>
    <row r="7056" spans="46:46">
      <c r="AT7056"/>
    </row>
    <row r="7057" spans="46:46">
      <c r="AT7057"/>
    </row>
    <row r="7058" spans="46:46">
      <c r="AT7058"/>
    </row>
    <row r="7059" spans="46:46">
      <c r="AT7059"/>
    </row>
    <row r="7060" spans="46:46">
      <c r="AT7060"/>
    </row>
    <row r="7061" spans="46:46">
      <c r="AT7061"/>
    </row>
    <row r="7062" spans="46:46">
      <c r="AT7062"/>
    </row>
    <row r="7063" spans="46:46">
      <c r="AT7063"/>
    </row>
    <row r="7064" spans="46:46">
      <c r="AT7064"/>
    </row>
    <row r="7065" spans="46:46">
      <c r="AT7065"/>
    </row>
    <row r="7066" spans="46:46">
      <c r="AT7066"/>
    </row>
    <row r="7067" spans="46:46">
      <c r="AT7067"/>
    </row>
    <row r="7068" spans="46:46">
      <c r="AT7068"/>
    </row>
    <row r="7069" spans="46:46">
      <c r="AT7069"/>
    </row>
    <row r="7070" spans="46:46">
      <c r="AT7070"/>
    </row>
    <row r="7071" spans="46:46">
      <c r="AT7071"/>
    </row>
    <row r="7072" spans="46:46">
      <c r="AT7072"/>
    </row>
    <row r="7073" spans="46:46">
      <c r="AT7073"/>
    </row>
    <row r="7074" spans="46:46">
      <c r="AT7074"/>
    </row>
    <row r="7075" spans="46:46">
      <c r="AT7075"/>
    </row>
    <row r="7076" spans="46:46">
      <c r="AT7076"/>
    </row>
    <row r="7077" spans="46:46">
      <c r="AT7077"/>
    </row>
    <row r="7078" spans="46:46">
      <c r="AT7078"/>
    </row>
    <row r="7079" spans="46:46">
      <c r="AT7079"/>
    </row>
    <row r="7080" spans="46:46">
      <c r="AT7080"/>
    </row>
    <row r="7081" spans="46:46">
      <c r="AT7081"/>
    </row>
    <row r="7082" spans="46:46">
      <c r="AT7082"/>
    </row>
    <row r="7083" spans="46:46">
      <c r="AT7083"/>
    </row>
    <row r="7084" spans="46:46">
      <c r="AT7084"/>
    </row>
    <row r="7085" spans="46:46">
      <c r="AT7085"/>
    </row>
    <row r="7086" spans="46:46">
      <c r="AT7086"/>
    </row>
    <row r="7087" spans="46:46">
      <c r="AT7087"/>
    </row>
    <row r="7088" spans="46:46">
      <c r="AT7088"/>
    </row>
    <row r="7089" spans="46:46">
      <c r="AT7089"/>
    </row>
    <row r="7090" spans="46:46">
      <c r="AT7090"/>
    </row>
    <row r="7091" spans="46:46">
      <c r="AT7091"/>
    </row>
    <row r="7092" spans="46:46">
      <c r="AT7092"/>
    </row>
    <row r="7093" spans="46:46">
      <c r="AT7093"/>
    </row>
    <row r="7094" spans="46:46">
      <c r="AT7094"/>
    </row>
    <row r="7095" spans="46:46">
      <c r="AT7095"/>
    </row>
    <row r="7096" spans="46:46">
      <c r="AT7096"/>
    </row>
    <row r="7097" spans="46:46">
      <c r="AT7097"/>
    </row>
    <row r="7098" spans="46:46">
      <c r="AT7098"/>
    </row>
    <row r="7099" spans="46:46">
      <c r="AT7099"/>
    </row>
    <row r="7100" spans="46:46">
      <c r="AT7100"/>
    </row>
    <row r="7101" spans="46:46">
      <c r="AT7101"/>
    </row>
    <row r="7102" spans="46:46">
      <c r="AT7102"/>
    </row>
    <row r="7103" spans="46:46">
      <c r="AT7103"/>
    </row>
    <row r="7104" spans="46:46">
      <c r="AT7104"/>
    </row>
    <row r="7105" spans="46:46">
      <c r="AT7105"/>
    </row>
    <row r="7106" spans="46:46">
      <c r="AT7106"/>
    </row>
    <row r="7107" spans="46:46">
      <c r="AT7107"/>
    </row>
    <row r="7108" spans="46:46">
      <c r="AT7108"/>
    </row>
    <row r="7109" spans="46:46">
      <c r="AT7109"/>
    </row>
    <row r="7110" spans="46:46">
      <c r="AT7110"/>
    </row>
    <row r="7111" spans="46:46">
      <c r="AT7111"/>
    </row>
    <row r="7112" spans="46:46">
      <c r="AT7112"/>
    </row>
    <row r="7113" spans="46:46">
      <c r="AT7113"/>
    </row>
    <row r="7114" spans="46:46">
      <c r="AT7114"/>
    </row>
    <row r="7115" spans="46:46">
      <c r="AT7115"/>
    </row>
    <row r="7116" spans="46:46">
      <c r="AT7116"/>
    </row>
    <row r="7117" spans="46:46">
      <c r="AT7117"/>
    </row>
    <row r="7118" spans="46:46">
      <c r="AT7118"/>
    </row>
    <row r="7119" spans="46:46">
      <c r="AT7119"/>
    </row>
    <row r="7120" spans="46:46">
      <c r="AT7120"/>
    </row>
    <row r="7121" spans="46:46">
      <c r="AT7121"/>
    </row>
    <row r="7122" spans="46:46">
      <c r="AT7122"/>
    </row>
    <row r="7123" spans="46:46">
      <c r="AT7123"/>
    </row>
    <row r="7124" spans="46:46">
      <c r="AT7124"/>
    </row>
    <row r="7125" spans="46:46">
      <c r="AT7125"/>
    </row>
    <row r="7126" spans="46:46">
      <c r="AT7126"/>
    </row>
    <row r="7127" spans="46:46">
      <c r="AT7127"/>
    </row>
    <row r="7128" spans="46:46">
      <c r="AT7128"/>
    </row>
    <row r="7129" spans="46:46">
      <c r="AT7129"/>
    </row>
    <row r="7130" spans="46:46">
      <c r="AT7130"/>
    </row>
    <row r="7131" spans="46:46">
      <c r="AT7131"/>
    </row>
    <row r="7132" spans="46:46">
      <c r="AT7132"/>
    </row>
    <row r="7133" spans="46:46">
      <c r="AT7133"/>
    </row>
    <row r="7134" spans="46:46">
      <c r="AT7134"/>
    </row>
    <row r="7135" spans="46:46">
      <c r="AT7135"/>
    </row>
    <row r="7136" spans="46:46">
      <c r="AT7136"/>
    </row>
    <row r="7137" spans="46:46">
      <c r="AT7137"/>
    </row>
    <row r="7138" spans="46:46">
      <c r="AT7138"/>
    </row>
    <row r="7139" spans="46:46">
      <c r="AT7139"/>
    </row>
    <row r="7140" spans="46:46">
      <c r="AT7140"/>
    </row>
    <row r="7141" spans="46:46">
      <c r="AT7141"/>
    </row>
    <row r="7142" spans="46:46">
      <c r="AT7142"/>
    </row>
    <row r="7143" spans="46:46">
      <c r="AT7143"/>
    </row>
    <row r="7144" spans="46:46">
      <c r="AT7144"/>
    </row>
    <row r="7145" spans="46:46">
      <c r="AT7145"/>
    </row>
    <row r="7146" spans="46:46">
      <c r="AT7146"/>
    </row>
    <row r="7147" spans="46:46">
      <c r="AT7147"/>
    </row>
    <row r="7148" spans="46:46">
      <c r="AT7148"/>
    </row>
    <row r="7149" spans="46:46">
      <c r="AT7149"/>
    </row>
    <row r="7150" spans="46:46">
      <c r="AT7150"/>
    </row>
    <row r="7151" spans="46:46">
      <c r="AT7151"/>
    </row>
    <row r="7152" spans="46:46">
      <c r="AT7152"/>
    </row>
    <row r="7153" spans="46:46">
      <c r="AT7153"/>
    </row>
    <row r="7154" spans="46:46">
      <c r="AT7154"/>
    </row>
    <row r="7155" spans="46:46">
      <c r="AT7155"/>
    </row>
    <row r="7156" spans="46:46">
      <c r="AT7156"/>
    </row>
    <row r="7157" spans="46:46">
      <c r="AT7157"/>
    </row>
    <row r="7158" spans="46:46">
      <c r="AT7158"/>
    </row>
    <row r="7159" spans="46:46">
      <c r="AT7159"/>
    </row>
    <row r="7160" spans="46:46">
      <c r="AT7160"/>
    </row>
    <row r="7161" spans="46:46">
      <c r="AT7161"/>
    </row>
    <row r="7162" spans="46:46">
      <c r="AT7162"/>
    </row>
    <row r="7163" spans="46:46">
      <c r="AT7163"/>
    </row>
    <row r="7164" spans="46:46">
      <c r="AT7164"/>
    </row>
    <row r="7165" spans="46:46">
      <c r="AT7165"/>
    </row>
    <row r="7166" spans="46:46">
      <c r="AT7166"/>
    </row>
    <row r="7167" spans="46:46">
      <c r="AT7167"/>
    </row>
    <row r="7168" spans="46:46">
      <c r="AT7168"/>
    </row>
    <row r="7169" spans="46:46">
      <c r="AT7169"/>
    </row>
    <row r="7170" spans="46:46">
      <c r="AT7170"/>
    </row>
    <row r="7171" spans="46:46">
      <c r="AT7171"/>
    </row>
    <row r="7172" spans="46:46">
      <c r="AT7172"/>
    </row>
    <row r="7173" spans="46:46">
      <c r="AT7173"/>
    </row>
    <row r="7174" spans="46:46">
      <c r="AT7174"/>
    </row>
    <row r="7175" spans="46:46">
      <c r="AT7175"/>
    </row>
    <row r="7176" spans="46:46">
      <c r="AT7176"/>
    </row>
    <row r="7177" spans="46:46">
      <c r="AT7177"/>
    </row>
    <row r="7178" spans="46:46">
      <c r="AT7178"/>
    </row>
    <row r="7179" spans="46:46">
      <c r="AT7179"/>
    </row>
    <row r="7180" spans="46:46">
      <c r="AT7180"/>
    </row>
    <row r="7181" spans="46:46">
      <c r="AT7181"/>
    </row>
    <row r="7182" spans="46:46">
      <c r="AT7182"/>
    </row>
    <row r="7183" spans="46:46">
      <c r="AT7183"/>
    </row>
    <row r="7184" spans="46:46">
      <c r="AT7184"/>
    </row>
    <row r="7185" spans="46:46">
      <c r="AT7185"/>
    </row>
    <row r="7186" spans="46:46">
      <c r="AT7186"/>
    </row>
    <row r="7187" spans="46:46">
      <c r="AT7187"/>
    </row>
    <row r="7188" spans="46:46">
      <c r="AT7188"/>
    </row>
    <row r="7189" spans="46:46">
      <c r="AT7189"/>
    </row>
    <row r="7190" spans="46:46">
      <c r="AT7190"/>
    </row>
    <row r="7191" spans="46:46">
      <c r="AT7191"/>
    </row>
    <row r="7192" spans="46:46">
      <c r="AT7192"/>
    </row>
    <row r="7193" spans="46:46">
      <c r="AT7193"/>
    </row>
    <row r="7194" spans="46:46">
      <c r="AT7194"/>
    </row>
    <row r="7195" spans="46:46">
      <c r="AT7195"/>
    </row>
    <row r="7196" spans="46:46">
      <c r="AT7196"/>
    </row>
    <row r="7197" spans="46:46">
      <c r="AT7197"/>
    </row>
    <row r="7198" spans="46:46">
      <c r="AT7198"/>
    </row>
    <row r="7199" spans="46:46">
      <c r="AT7199"/>
    </row>
    <row r="7200" spans="46:46">
      <c r="AT7200"/>
    </row>
    <row r="7201" spans="46:46">
      <c r="AT7201"/>
    </row>
    <row r="7202" spans="46:46">
      <c r="AT7202"/>
    </row>
    <row r="7203" spans="46:46">
      <c r="AT7203"/>
    </row>
    <row r="7204" spans="46:46">
      <c r="AT7204"/>
    </row>
    <row r="7205" spans="46:46">
      <c r="AT7205"/>
    </row>
    <row r="7206" spans="46:46">
      <c r="AT7206"/>
    </row>
    <row r="7207" spans="46:46">
      <c r="AT7207"/>
    </row>
    <row r="7208" spans="46:46">
      <c r="AT7208"/>
    </row>
    <row r="7209" spans="46:46">
      <c r="AT7209"/>
    </row>
    <row r="7210" spans="46:46">
      <c r="AT7210"/>
    </row>
    <row r="7211" spans="46:46">
      <c r="AT7211"/>
    </row>
    <row r="7212" spans="46:46">
      <c r="AT7212"/>
    </row>
    <row r="7213" spans="46:46">
      <c r="AT7213"/>
    </row>
    <row r="7214" spans="46:46">
      <c r="AT7214"/>
    </row>
    <row r="7215" spans="46:46">
      <c r="AT7215"/>
    </row>
    <row r="7216" spans="46:46">
      <c r="AT7216"/>
    </row>
    <row r="7217" spans="46:46">
      <c r="AT7217"/>
    </row>
    <row r="7218" spans="46:46">
      <c r="AT7218"/>
    </row>
    <row r="7219" spans="46:46">
      <c r="AT7219"/>
    </row>
    <row r="7220" spans="46:46">
      <c r="AT7220"/>
    </row>
    <row r="7221" spans="46:46">
      <c r="AT7221"/>
    </row>
    <row r="7222" spans="46:46">
      <c r="AT7222"/>
    </row>
    <row r="7223" spans="46:46">
      <c r="AT7223"/>
    </row>
    <row r="7224" spans="46:46">
      <c r="AT7224"/>
    </row>
    <row r="7225" spans="46:46">
      <c r="AT7225"/>
    </row>
    <row r="7226" spans="46:46">
      <c r="AT7226"/>
    </row>
    <row r="7227" spans="46:46">
      <c r="AT7227"/>
    </row>
    <row r="7228" spans="46:46">
      <c r="AT7228"/>
    </row>
    <row r="7229" spans="46:46">
      <c r="AT7229"/>
    </row>
    <row r="7230" spans="46:46">
      <c r="AT7230"/>
    </row>
    <row r="7231" spans="46:46">
      <c r="AT7231"/>
    </row>
    <row r="7232" spans="46:46">
      <c r="AT7232"/>
    </row>
    <row r="7233" spans="46:46">
      <c r="AT7233"/>
    </row>
    <row r="7234" spans="46:46">
      <c r="AT7234"/>
    </row>
    <row r="7235" spans="46:46">
      <c r="AT7235"/>
    </row>
    <row r="7236" spans="46:46">
      <c r="AT7236"/>
    </row>
    <row r="7237" spans="46:46">
      <c r="AT7237"/>
    </row>
    <row r="7238" spans="46:46">
      <c r="AT7238"/>
    </row>
    <row r="7239" spans="46:46">
      <c r="AT7239"/>
    </row>
    <row r="7240" spans="46:46">
      <c r="AT7240"/>
    </row>
    <row r="7241" spans="46:46">
      <c r="AT7241"/>
    </row>
    <row r="7242" spans="46:46">
      <c r="AT7242"/>
    </row>
    <row r="7243" spans="46:46">
      <c r="AT7243"/>
    </row>
    <row r="7244" spans="46:46">
      <c r="AT7244"/>
    </row>
    <row r="7245" spans="46:46">
      <c r="AT7245"/>
    </row>
    <row r="7246" spans="46:46">
      <c r="AT7246"/>
    </row>
    <row r="7247" spans="46:46">
      <c r="AT7247"/>
    </row>
    <row r="7248" spans="46:46">
      <c r="AT7248"/>
    </row>
    <row r="7249" spans="46:46">
      <c r="AT7249"/>
    </row>
    <row r="7250" spans="46:46">
      <c r="AT7250"/>
    </row>
    <row r="7251" spans="46:46">
      <c r="AT7251"/>
    </row>
    <row r="7252" spans="46:46">
      <c r="AT7252"/>
    </row>
    <row r="7253" spans="46:46">
      <c r="AT7253"/>
    </row>
    <row r="7254" spans="46:46">
      <c r="AT7254"/>
    </row>
    <row r="7255" spans="46:46">
      <c r="AT7255"/>
    </row>
    <row r="7256" spans="46:46">
      <c r="AT7256"/>
    </row>
    <row r="7257" spans="46:46">
      <c r="AT7257"/>
    </row>
    <row r="7258" spans="46:46">
      <c r="AT7258"/>
    </row>
    <row r="7259" spans="46:46">
      <c r="AT7259"/>
    </row>
    <row r="7260" spans="46:46">
      <c r="AT7260"/>
    </row>
    <row r="7261" spans="46:46">
      <c r="AT7261"/>
    </row>
    <row r="7262" spans="46:46">
      <c r="AT7262"/>
    </row>
    <row r="7263" spans="46:46">
      <c r="AT7263"/>
    </row>
    <row r="7264" spans="46:46">
      <c r="AT7264"/>
    </row>
    <row r="7265" spans="46:46">
      <c r="AT7265"/>
    </row>
    <row r="7266" spans="46:46">
      <c r="AT7266"/>
    </row>
    <row r="7267" spans="46:46">
      <c r="AT7267"/>
    </row>
    <row r="7268" spans="46:46">
      <c r="AT7268"/>
    </row>
    <row r="7269" spans="46:46">
      <c r="AT7269"/>
    </row>
    <row r="7270" spans="46:46">
      <c r="AT7270"/>
    </row>
    <row r="7271" spans="46:46">
      <c r="AT7271"/>
    </row>
    <row r="7272" spans="46:46">
      <c r="AT7272"/>
    </row>
    <row r="7273" spans="46:46">
      <c r="AT7273"/>
    </row>
    <row r="7274" spans="46:46">
      <c r="AT7274"/>
    </row>
    <row r="7275" spans="46:46">
      <c r="AT7275"/>
    </row>
    <row r="7276" spans="46:46">
      <c r="AT7276"/>
    </row>
    <row r="7277" spans="46:46">
      <c r="AT7277"/>
    </row>
    <row r="7278" spans="46:46">
      <c r="AT7278"/>
    </row>
    <row r="7279" spans="46:46">
      <c r="AT7279"/>
    </row>
    <row r="7280" spans="46:46">
      <c r="AT7280"/>
    </row>
    <row r="7281" spans="46:46">
      <c r="AT7281"/>
    </row>
    <row r="7282" spans="46:46">
      <c r="AT7282"/>
    </row>
    <row r="7283" spans="46:46">
      <c r="AT7283"/>
    </row>
    <row r="7284" spans="46:46">
      <c r="AT7284"/>
    </row>
    <row r="7285" spans="46:46">
      <c r="AT7285"/>
    </row>
    <row r="7286" spans="46:46">
      <c r="AT7286"/>
    </row>
    <row r="7287" spans="46:46">
      <c r="AT7287"/>
    </row>
    <row r="7288" spans="46:46">
      <c r="AT7288"/>
    </row>
    <row r="7289" spans="46:46">
      <c r="AT7289"/>
    </row>
    <row r="7290" spans="46:46">
      <c r="AT7290"/>
    </row>
    <row r="7291" spans="46:46">
      <c r="AT7291"/>
    </row>
    <row r="7292" spans="46:46">
      <c r="AT7292"/>
    </row>
    <row r="7293" spans="46:46">
      <c r="AT7293"/>
    </row>
    <row r="7294" spans="46:46">
      <c r="AT7294"/>
    </row>
    <row r="7295" spans="46:46">
      <c r="AT7295"/>
    </row>
    <row r="7296" spans="46:46">
      <c r="AT7296"/>
    </row>
    <row r="7297" spans="46:46">
      <c r="AT7297"/>
    </row>
    <row r="7298" spans="46:46">
      <c r="AT7298"/>
    </row>
    <row r="7299" spans="46:46">
      <c r="AT7299"/>
    </row>
    <row r="7300" spans="46:46">
      <c r="AT7300"/>
    </row>
    <row r="7301" spans="46:46">
      <c r="AT7301"/>
    </row>
    <row r="7302" spans="46:46">
      <c r="AT7302"/>
    </row>
    <row r="7303" spans="46:46">
      <c r="AT7303"/>
    </row>
    <row r="7304" spans="46:46">
      <c r="AT7304"/>
    </row>
    <row r="7305" spans="46:46">
      <c r="AT7305"/>
    </row>
    <row r="7306" spans="46:46">
      <c r="AT7306"/>
    </row>
    <row r="7307" spans="46:46">
      <c r="AT7307"/>
    </row>
    <row r="7308" spans="46:46">
      <c r="AT7308"/>
    </row>
    <row r="7309" spans="46:46">
      <c r="AT7309"/>
    </row>
    <row r="7310" spans="46:46">
      <c r="AT7310"/>
    </row>
    <row r="7311" spans="46:46">
      <c r="AT7311"/>
    </row>
    <row r="7312" spans="46:46">
      <c r="AT7312"/>
    </row>
    <row r="7313" spans="46:46">
      <c r="AT7313"/>
    </row>
    <row r="7314" spans="46:46">
      <c r="AT7314"/>
    </row>
    <row r="7315" spans="46:46">
      <c r="AT7315"/>
    </row>
    <row r="7316" spans="46:46">
      <c r="AT7316"/>
    </row>
    <row r="7317" spans="46:46">
      <c r="AT7317"/>
    </row>
    <row r="7318" spans="46:46">
      <c r="AT7318"/>
    </row>
    <row r="7319" spans="46:46">
      <c r="AT7319"/>
    </row>
    <row r="7320" spans="46:46">
      <c r="AT7320"/>
    </row>
    <row r="7321" spans="46:46">
      <c r="AT7321"/>
    </row>
    <row r="7322" spans="46:46">
      <c r="AT7322"/>
    </row>
    <row r="7323" spans="46:46">
      <c r="AT7323"/>
    </row>
    <row r="7324" spans="46:46">
      <c r="AT7324"/>
    </row>
    <row r="7325" spans="46:46">
      <c r="AT7325"/>
    </row>
    <row r="7326" spans="46:46">
      <c r="AT7326"/>
    </row>
    <row r="7327" spans="46:46">
      <c r="AT7327"/>
    </row>
    <row r="7328" spans="46:46">
      <c r="AT7328"/>
    </row>
    <row r="7329" spans="46:46">
      <c r="AT7329"/>
    </row>
    <row r="7330" spans="46:46">
      <c r="AT7330"/>
    </row>
    <row r="7331" spans="46:46">
      <c r="AT7331"/>
    </row>
    <row r="7332" spans="46:46">
      <c r="AT7332"/>
    </row>
    <row r="7333" spans="46:46">
      <c r="AT7333"/>
    </row>
    <row r="7334" spans="46:46">
      <c r="AT7334"/>
    </row>
    <row r="7335" spans="46:46">
      <c r="AT7335"/>
    </row>
    <row r="7336" spans="46:46">
      <c r="AT7336"/>
    </row>
    <row r="7337" spans="46:46">
      <c r="AT7337"/>
    </row>
    <row r="7338" spans="46:46">
      <c r="AT7338"/>
    </row>
    <row r="7339" spans="46:46">
      <c r="AT7339"/>
    </row>
    <row r="7340" spans="46:46">
      <c r="AT7340"/>
    </row>
    <row r="7341" spans="46:46">
      <c r="AT7341"/>
    </row>
    <row r="7342" spans="46:46">
      <c r="AT7342"/>
    </row>
    <row r="7343" spans="46:46">
      <c r="AT7343"/>
    </row>
    <row r="7344" spans="46:46">
      <c r="AT7344"/>
    </row>
    <row r="7345" spans="46:46">
      <c r="AT7345"/>
    </row>
    <row r="7346" spans="46:46">
      <c r="AT7346"/>
    </row>
    <row r="7347" spans="46:46">
      <c r="AT7347"/>
    </row>
    <row r="7348" spans="46:46">
      <c r="AT7348"/>
    </row>
    <row r="7349" spans="46:46">
      <c r="AT7349"/>
    </row>
    <row r="7350" spans="46:46">
      <c r="AT7350"/>
    </row>
    <row r="7351" spans="46:46">
      <c r="AT7351"/>
    </row>
    <row r="7352" spans="46:46">
      <c r="AT7352"/>
    </row>
    <row r="7353" spans="46:46">
      <c r="AT7353"/>
    </row>
    <row r="7354" spans="46:46">
      <c r="AT7354"/>
    </row>
    <row r="7355" spans="46:46">
      <c r="AT7355"/>
    </row>
    <row r="7356" spans="46:46">
      <c r="AT7356"/>
    </row>
    <row r="7357" spans="46:46">
      <c r="AT7357"/>
    </row>
    <row r="7358" spans="46:46">
      <c r="AT7358"/>
    </row>
    <row r="7359" spans="46:46">
      <c r="AT7359"/>
    </row>
    <row r="7360" spans="46:46">
      <c r="AT7360"/>
    </row>
    <row r="7361" spans="46:46">
      <c r="AT7361"/>
    </row>
    <row r="7362" spans="46:46">
      <c r="AT7362"/>
    </row>
    <row r="7363" spans="46:46">
      <c r="AT7363"/>
    </row>
    <row r="7364" spans="46:46">
      <c r="AT7364"/>
    </row>
    <row r="7365" spans="46:46">
      <c r="AT7365"/>
    </row>
    <row r="7366" spans="46:46">
      <c r="AT7366"/>
    </row>
    <row r="7367" spans="46:46">
      <c r="AT7367"/>
    </row>
    <row r="7368" spans="46:46">
      <c r="AT7368"/>
    </row>
    <row r="7369" spans="46:46">
      <c r="AT7369"/>
    </row>
    <row r="7370" spans="46:46">
      <c r="AT7370"/>
    </row>
    <row r="7371" spans="46:46">
      <c r="AT7371"/>
    </row>
    <row r="7372" spans="46:46">
      <c r="AT7372"/>
    </row>
    <row r="7373" spans="46:46">
      <c r="AT7373"/>
    </row>
    <row r="7374" spans="46:46">
      <c r="AT7374"/>
    </row>
    <row r="7375" spans="46:46">
      <c r="AT7375"/>
    </row>
    <row r="7376" spans="46:46">
      <c r="AT7376"/>
    </row>
    <row r="7377" spans="46:46">
      <c r="AT7377"/>
    </row>
    <row r="7378" spans="46:46">
      <c r="AT7378"/>
    </row>
    <row r="7379" spans="46:46">
      <c r="AT7379"/>
    </row>
    <row r="7380" spans="46:46">
      <c r="AT7380"/>
    </row>
    <row r="7381" spans="46:46">
      <c r="AT7381"/>
    </row>
    <row r="7382" spans="46:46">
      <c r="AT7382"/>
    </row>
    <row r="7383" spans="46:46">
      <c r="AT7383"/>
    </row>
    <row r="7384" spans="46:46">
      <c r="AT7384"/>
    </row>
    <row r="7385" spans="46:46">
      <c r="AT7385"/>
    </row>
    <row r="7386" spans="46:46">
      <c r="AT7386"/>
    </row>
    <row r="7387" spans="46:46">
      <c r="AT7387"/>
    </row>
    <row r="7388" spans="46:46">
      <c r="AT7388"/>
    </row>
    <row r="7389" spans="46:46">
      <c r="AT7389"/>
    </row>
    <row r="7390" spans="46:46">
      <c r="AT7390"/>
    </row>
    <row r="7391" spans="46:46">
      <c r="AT7391"/>
    </row>
    <row r="7392" spans="46:46">
      <c r="AT7392"/>
    </row>
    <row r="7393" spans="46:46">
      <c r="AT7393"/>
    </row>
    <row r="7394" spans="46:46">
      <c r="AT7394"/>
    </row>
    <row r="7395" spans="46:46">
      <c r="AT7395"/>
    </row>
    <row r="7396" spans="46:46">
      <c r="AT7396"/>
    </row>
    <row r="7397" spans="46:46">
      <c r="AT7397"/>
    </row>
    <row r="7398" spans="46:46">
      <c r="AT7398"/>
    </row>
    <row r="7399" spans="46:46">
      <c r="AT7399"/>
    </row>
    <row r="7400" spans="46:46">
      <c r="AT7400"/>
    </row>
    <row r="7401" spans="46:46">
      <c r="AT7401"/>
    </row>
    <row r="7402" spans="46:46">
      <c r="AT7402"/>
    </row>
    <row r="7403" spans="46:46">
      <c r="AT7403"/>
    </row>
    <row r="7404" spans="46:46">
      <c r="AT7404"/>
    </row>
    <row r="7405" spans="46:46">
      <c r="AT7405"/>
    </row>
    <row r="7406" spans="46:46">
      <c r="AT7406"/>
    </row>
    <row r="7407" spans="46:46">
      <c r="AT7407"/>
    </row>
    <row r="7408" spans="46:46">
      <c r="AT7408"/>
    </row>
    <row r="7409" spans="46:46">
      <c r="AT7409"/>
    </row>
    <row r="7410" spans="46:46">
      <c r="AT7410"/>
    </row>
    <row r="7411" spans="46:46">
      <c r="AT7411"/>
    </row>
    <row r="7412" spans="46:46">
      <c r="AT7412"/>
    </row>
    <row r="7413" spans="46:46">
      <c r="AT7413"/>
    </row>
    <row r="7414" spans="46:46">
      <c r="AT7414"/>
    </row>
    <row r="7415" spans="46:46">
      <c r="AT7415"/>
    </row>
    <row r="7416" spans="46:46">
      <c r="AT7416"/>
    </row>
    <row r="7417" spans="46:46">
      <c r="AT7417"/>
    </row>
    <row r="7418" spans="46:46">
      <c r="AT7418"/>
    </row>
    <row r="7419" spans="46:46">
      <c r="AT7419"/>
    </row>
    <row r="7420" spans="46:46">
      <c r="AT7420"/>
    </row>
    <row r="7421" spans="46:46">
      <c r="AT7421"/>
    </row>
    <row r="7422" spans="46:46">
      <c r="AT7422"/>
    </row>
    <row r="7423" spans="46:46">
      <c r="AT7423"/>
    </row>
    <row r="7424" spans="46:46">
      <c r="AT7424"/>
    </row>
    <row r="7425" spans="46:46">
      <c r="AT7425"/>
    </row>
    <row r="7426" spans="46:46">
      <c r="AT7426"/>
    </row>
    <row r="7427" spans="46:46">
      <c r="AT7427"/>
    </row>
    <row r="7428" spans="46:46">
      <c r="AT7428"/>
    </row>
    <row r="7429" spans="46:46">
      <c r="AT7429"/>
    </row>
    <row r="7430" spans="46:46">
      <c r="AT7430"/>
    </row>
    <row r="7431" spans="46:46">
      <c r="AT7431"/>
    </row>
    <row r="7432" spans="46:46">
      <c r="AT7432"/>
    </row>
    <row r="7433" spans="46:46">
      <c r="AT7433"/>
    </row>
    <row r="7434" spans="46:46">
      <c r="AT7434"/>
    </row>
    <row r="7435" spans="46:46">
      <c r="AT7435"/>
    </row>
    <row r="7436" spans="46:46">
      <c r="AT7436"/>
    </row>
    <row r="7437" spans="46:46">
      <c r="AT7437"/>
    </row>
    <row r="7438" spans="46:46">
      <c r="AT7438"/>
    </row>
    <row r="7439" spans="46:46">
      <c r="AT7439"/>
    </row>
    <row r="7440" spans="46:46">
      <c r="AT7440"/>
    </row>
    <row r="7441" spans="46:46">
      <c r="AT7441"/>
    </row>
    <row r="7442" spans="46:46">
      <c r="AT7442"/>
    </row>
    <row r="7443" spans="46:46">
      <c r="AT7443"/>
    </row>
    <row r="7444" spans="46:46">
      <c r="AT7444"/>
    </row>
    <row r="7445" spans="46:46">
      <c r="AT7445"/>
    </row>
    <row r="7446" spans="46:46">
      <c r="AT7446"/>
    </row>
    <row r="7447" spans="46:46">
      <c r="AT7447"/>
    </row>
    <row r="7448" spans="46:46">
      <c r="AT7448"/>
    </row>
    <row r="7449" spans="46:46">
      <c r="AT7449"/>
    </row>
    <row r="7450" spans="46:46">
      <c r="AT7450"/>
    </row>
    <row r="7451" spans="46:46">
      <c r="AT7451"/>
    </row>
    <row r="7452" spans="46:46">
      <c r="AT7452"/>
    </row>
    <row r="7453" spans="46:46">
      <c r="AT7453"/>
    </row>
    <row r="7454" spans="46:46">
      <c r="AT7454"/>
    </row>
    <row r="7455" spans="46:46">
      <c r="AT7455"/>
    </row>
    <row r="7456" spans="46:46">
      <c r="AT7456"/>
    </row>
    <row r="7457" spans="46:46">
      <c r="AT7457"/>
    </row>
    <row r="7458" spans="46:46">
      <c r="AT7458"/>
    </row>
    <row r="7459" spans="46:46">
      <c r="AT7459"/>
    </row>
    <row r="7460" spans="46:46">
      <c r="AT7460"/>
    </row>
    <row r="7461" spans="46:46">
      <c r="AT7461"/>
    </row>
    <row r="7462" spans="46:46">
      <c r="AT7462"/>
    </row>
    <row r="7463" spans="46:46">
      <c r="AT7463"/>
    </row>
    <row r="7464" spans="46:46">
      <c r="AT7464"/>
    </row>
    <row r="7465" spans="46:46">
      <c r="AT7465"/>
    </row>
    <row r="7466" spans="46:46">
      <c r="AT7466"/>
    </row>
    <row r="7467" spans="46:46">
      <c r="AT7467"/>
    </row>
    <row r="7468" spans="46:46">
      <c r="AT7468"/>
    </row>
    <row r="7469" spans="46:46">
      <c r="AT7469"/>
    </row>
    <row r="7470" spans="46:46">
      <c r="AT7470"/>
    </row>
    <row r="7471" spans="46:46">
      <c r="AT7471"/>
    </row>
    <row r="7472" spans="46:46">
      <c r="AT7472"/>
    </row>
    <row r="7473" spans="46:46">
      <c r="AT7473"/>
    </row>
    <row r="7474" spans="46:46">
      <c r="AT7474"/>
    </row>
    <row r="7475" spans="46:46">
      <c r="AT7475"/>
    </row>
    <row r="7476" spans="46:46">
      <c r="AT7476"/>
    </row>
    <row r="7477" spans="46:46">
      <c r="AT7477"/>
    </row>
    <row r="7478" spans="46:46">
      <c r="AT7478"/>
    </row>
    <row r="7479" spans="46:46">
      <c r="AT7479"/>
    </row>
    <row r="7480" spans="46:46">
      <c r="AT7480"/>
    </row>
    <row r="7481" spans="46:46">
      <c r="AT7481"/>
    </row>
    <row r="7482" spans="46:46">
      <c r="AT7482"/>
    </row>
    <row r="7483" spans="46:46">
      <c r="AT7483"/>
    </row>
    <row r="7484" spans="46:46">
      <c r="AT7484"/>
    </row>
    <row r="7485" spans="46:46">
      <c r="AT7485"/>
    </row>
    <row r="7486" spans="46:46">
      <c r="AT7486"/>
    </row>
    <row r="7487" spans="46:46">
      <c r="AT7487"/>
    </row>
    <row r="7488" spans="46:46">
      <c r="AT7488"/>
    </row>
    <row r="7489" spans="46:46">
      <c r="AT7489"/>
    </row>
    <row r="7490" spans="46:46">
      <c r="AT7490"/>
    </row>
    <row r="7491" spans="46:46">
      <c r="AT7491"/>
    </row>
    <row r="7492" spans="46:46">
      <c r="AT7492"/>
    </row>
    <row r="7493" spans="46:46">
      <c r="AT7493"/>
    </row>
    <row r="7494" spans="46:46">
      <c r="AT7494"/>
    </row>
    <row r="7495" spans="46:46">
      <c r="AT7495"/>
    </row>
    <row r="7496" spans="46:46">
      <c r="AT7496"/>
    </row>
    <row r="7497" spans="46:46">
      <c r="AT7497"/>
    </row>
    <row r="7498" spans="46:46">
      <c r="AT7498"/>
    </row>
    <row r="7499" spans="46:46">
      <c r="AT7499"/>
    </row>
    <row r="7500" spans="46:46">
      <c r="AT7500"/>
    </row>
    <row r="7501" spans="46:46">
      <c r="AT7501"/>
    </row>
    <row r="7502" spans="46:46">
      <c r="AT7502"/>
    </row>
    <row r="7503" spans="46:46">
      <c r="AT7503"/>
    </row>
    <row r="7504" spans="46:46">
      <c r="AT7504"/>
    </row>
    <row r="7505" spans="46:46">
      <c r="AT7505"/>
    </row>
    <row r="7506" spans="46:46">
      <c r="AT7506"/>
    </row>
    <row r="7507" spans="46:46">
      <c r="AT7507"/>
    </row>
    <row r="7508" spans="46:46">
      <c r="AT7508"/>
    </row>
    <row r="7509" spans="46:46">
      <c r="AT7509"/>
    </row>
    <row r="7510" spans="46:46">
      <c r="AT7510"/>
    </row>
    <row r="7511" spans="46:46">
      <c r="AT7511"/>
    </row>
    <row r="7512" spans="46:46">
      <c r="AT7512"/>
    </row>
    <row r="7513" spans="46:46">
      <c r="AT7513"/>
    </row>
    <row r="7514" spans="46:46">
      <c r="AT7514"/>
    </row>
    <row r="7515" spans="46:46">
      <c r="AT7515"/>
    </row>
    <row r="7516" spans="46:46">
      <c r="AT7516"/>
    </row>
    <row r="7517" spans="46:46">
      <c r="AT7517"/>
    </row>
    <row r="7518" spans="46:46">
      <c r="AT7518"/>
    </row>
    <row r="7519" spans="46:46">
      <c r="AT7519"/>
    </row>
    <row r="7520" spans="46:46">
      <c r="AT7520"/>
    </row>
    <row r="7521" spans="46:46">
      <c r="AT7521"/>
    </row>
    <row r="7522" spans="46:46">
      <c r="AT7522"/>
    </row>
    <row r="7523" spans="46:46">
      <c r="AT7523"/>
    </row>
    <row r="7524" spans="46:46">
      <c r="AT7524"/>
    </row>
    <row r="7525" spans="46:46">
      <c r="AT7525"/>
    </row>
    <row r="7526" spans="46:46">
      <c r="AT7526"/>
    </row>
    <row r="7527" spans="46:46">
      <c r="AT7527"/>
    </row>
    <row r="7528" spans="46:46">
      <c r="AT7528"/>
    </row>
    <row r="7529" spans="46:46">
      <c r="AT7529"/>
    </row>
    <row r="7530" spans="46:46">
      <c r="AT7530"/>
    </row>
    <row r="7531" spans="46:46">
      <c r="AT7531"/>
    </row>
    <row r="7532" spans="46:46">
      <c r="AT7532"/>
    </row>
    <row r="7533" spans="46:46">
      <c r="AT7533"/>
    </row>
    <row r="7534" spans="46:46">
      <c r="AT7534"/>
    </row>
    <row r="7535" spans="46:46">
      <c r="AT7535"/>
    </row>
    <row r="7536" spans="46:46">
      <c r="AT7536"/>
    </row>
    <row r="7537" spans="46:46">
      <c r="AT7537"/>
    </row>
    <row r="7538" spans="46:46">
      <c r="AT7538"/>
    </row>
    <row r="7539" spans="46:46">
      <c r="AT7539"/>
    </row>
    <row r="7540" spans="46:46">
      <c r="AT7540"/>
    </row>
    <row r="7541" spans="46:46">
      <c r="AT7541"/>
    </row>
    <row r="7542" spans="46:46">
      <c r="AT7542"/>
    </row>
    <row r="7543" spans="46:46">
      <c r="AT7543"/>
    </row>
    <row r="7544" spans="46:46">
      <c r="AT7544"/>
    </row>
    <row r="7545" spans="46:46">
      <c r="AT7545"/>
    </row>
    <row r="7546" spans="46:46">
      <c r="AT7546"/>
    </row>
    <row r="7547" spans="46:46">
      <c r="AT7547"/>
    </row>
    <row r="7548" spans="46:46">
      <c r="AT7548"/>
    </row>
    <row r="7549" spans="46:46">
      <c r="AT7549"/>
    </row>
    <row r="7550" spans="46:46">
      <c r="AT7550"/>
    </row>
    <row r="7551" spans="46:46">
      <c r="AT7551"/>
    </row>
    <row r="7552" spans="46:46">
      <c r="AT7552"/>
    </row>
    <row r="7553" spans="46:46">
      <c r="AT7553"/>
    </row>
    <row r="7554" spans="46:46">
      <c r="AT7554"/>
    </row>
    <row r="7555" spans="46:46">
      <c r="AT7555"/>
    </row>
    <row r="7556" spans="46:46">
      <c r="AT7556"/>
    </row>
    <row r="7557" spans="46:46">
      <c r="AT7557"/>
    </row>
    <row r="7558" spans="46:46">
      <c r="AT7558"/>
    </row>
    <row r="7559" spans="46:46">
      <c r="AT7559"/>
    </row>
    <row r="7560" spans="46:46">
      <c r="AT7560"/>
    </row>
    <row r="7561" spans="46:46">
      <c r="AT7561"/>
    </row>
    <row r="7562" spans="46:46">
      <c r="AT7562"/>
    </row>
    <row r="7563" spans="46:46">
      <c r="AT7563"/>
    </row>
    <row r="7564" spans="46:46">
      <c r="AT7564"/>
    </row>
    <row r="7565" spans="46:46">
      <c r="AT7565"/>
    </row>
    <row r="7566" spans="46:46">
      <c r="AT7566"/>
    </row>
    <row r="7567" spans="46:46">
      <c r="AT7567"/>
    </row>
    <row r="7568" spans="46:46">
      <c r="AT7568"/>
    </row>
    <row r="7569" spans="46:46">
      <c r="AT7569"/>
    </row>
    <row r="7570" spans="46:46">
      <c r="AT7570"/>
    </row>
    <row r="7571" spans="46:46">
      <c r="AT7571"/>
    </row>
    <row r="7572" spans="46:46">
      <c r="AT7572"/>
    </row>
    <row r="7573" spans="46:46">
      <c r="AT7573"/>
    </row>
    <row r="7574" spans="46:46">
      <c r="AT7574"/>
    </row>
    <row r="7575" spans="46:46">
      <c r="AT7575"/>
    </row>
    <row r="7576" spans="46:46">
      <c r="AT7576"/>
    </row>
    <row r="7577" spans="46:46">
      <c r="AT7577"/>
    </row>
    <row r="7578" spans="46:46">
      <c r="AT7578"/>
    </row>
    <row r="7579" spans="46:46">
      <c r="AT7579"/>
    </row>
    <row r="7580" spans="46:46">
      <c r="AT7580"/>
    </row>
    <row r="7581" spans="46:46">
      <c r="AT7581"/>
    </row>
    <row r="7582" spans="46:46">
      <c r="AT7582"/>
    </row>
    <row r="7583" spans="46:46">
      <c r="AT7583"/>
    </row>
    <row r="7584" spans="46:46">
      <c r="AT7584"/>
    </row>
    <row r="7585" spans="46:46">
      <c r="AT7585"/>
    </row>
    <row r="7586" spans="46:46">
      <c r="AT7586"/>
    </row>
    <row r="7587" spans="46:46">
      <c r="AT7587"/>
    </row>
    <row r="7588" spans="46:46">
      <c r="AT7588"/>
    </row>
    <row r="7589" spans="46:46">
      <c r="AT7589"/>
    </row>
    <row r="7590" spans="46:46">
      <c r="AT7590"/>
    </row>
    <row r="7591" spans="46:46">
      <c r="AT7591"/>
    </row>
    <row r="7592" spans="46:46">
      <c r="AT7592"/>
    </row>
    <row r="7593" spans="46:46">
      <c r="AT7593"/>
    </row>
    <row r="7594" spans="46:46">
      <c r="AT7594"/>
    </row>
    <row r="7595" spans="46:46">
      <c r="AT7595"/>
    </row>
    <row r="7596" spans="46:46">
      <c r="AT7596"/>
    </row>
    <row r="7597" spans="46:46">
      <c r="AT7597"/>
    </row>
    <row r="7598" spans="46:46">
      <c r="AT7598"/>
    </row>
    <row r="7599" spans="46:46">
      <c r="AT7599"/>
    </row>
    <row r="7600" spans="46:46">
      <c r="AT7600"/>
    </row>
    <row r="7601" spans="46:46">
      <c r="AT7601"/>
    </row>
    <row r="7602" spans="46:46">
      <c r="AT7602"/>
    </row>
    <row r="7603" spans="46:46">
      <c r="AT7603"/>
    </row>
    <row r="7604" spans="46:46">
      <c r="AT7604"/>
    </row>
    <row r="7605" spans="46:46">
      <c r="AT7605"/>
    </row>
    <row r="7606" spans="46:46">
      <c r="AT7606"/>
    </row>
    <row r="7607" spans="46:46">
      <c r="AT7607"/>
    </row>
    <row r="7608" spans="46:46">
      <c r="AT7608"/>
    </row>
    <row r="7609" spans="46:46">
      <c r="AT7609"/>
    </row>
    <row r="7610" spans="46:46">
      <c r="AT7610"/>
    </row>
    <row r="7611" spans="46:46">
      <c r="AT7611"/>
    </row>
    <row r="7612" spans="46:46">
      <c r="AT7612"/>
    </row>
    <row r="7613" spans="46:46">
      <c r="AT7613"/>
    </row>
    <row r="7614" spans="46:46">
      <c r="AT7614"/>
    </row>
    <row r="7615" spans="46:46">
      <c r="AT7615"/>
    </row>
    <row r="7616" spans="46:46">
      <c r="AT7616"/>
    </row>
    <row r="7617" spans="46:46">
      <c r="AT7617"/>
    </row>
    <row r="7618" spans="46:46">
      <c r="AT7618"/>
    </row>
    <row r="7619" spans="46:46">
      <c r="AT7619"/>
    </row>
    <row r="7620" spans="46:46">
      <c r="AT7620"/>
    </row>
    <row r="7621" spans="46:46">
      <c r="AT7621"/>
    </row>
    <row r="7622" spans="46:46">
      <c r="AT7622"/>
    </row>
    <row r="7623" spans="46:46">
      <c r="AT7623"/>
    </row>
    <row r="7624" spans="46:46">
      <c r="AT7624"/>
    </row>
    <row r="7625" spans="46:46">
      <c r="AT7625"/>
    </row>
    <row r="7626" spans="46:46">
      <c r="AT7626"/>
    </row>
    <row r="7627" spans="46:46">
      <c r="AT7627"/>
    </row>
    <row r="7628" spans="46:46">
      <c r="AT7628"/>
    </row>
    <row r="7629" spans="46:46">
      <c r="AT7629"/>
    </row>
    <row r="7630" spans="46:46">
      <c r="AT7630"/>
    </row>
    <row r="7631" spans="46:46">
      <c r="AT7631"/>
    </row>
    <row r="7632" spans="46:46">
      <c r="AT7632"/>
    </row>
    <row r="7633" spans="46:46">
      <c r="AT7633"/>
    </row>
    <row r="7634" spans="46:46">
      <c r="AT7634"/>
    </row>
    <row r="7635" spans="46:46">
      <c r="AT7635"/>
    </row>
    <row r="7636" spans="46:46">
      <c r="AT7636"/>
    </row>
    <row r="7637" spans="46:46">
      <c r="AT7637"/>
    </row>
    <row r="7638" spans="46:46">
      <c r="AT7638"/>
    </row>
    <row r="7639" spans="46:46">
      <c r="AT7639"/>
    </row>
    <row r="7640" spans="46:46">
      <c r="AT7640"/>
    </row>
    <row r="7641" spans="46:46">
      <c r="AT7641"/>
    </row>
    <row r="7642" spans="46:46">
      <c r="AT7642"/>
    </row>
    <row r="7643" spans="46:46">
      <c r="AT7643"/>
    </row>
    <row r="7644" spans="46:46">
      <c r="AT7644"/>
    </row>
    <row r="7645" spans="46:46">
      <c r="AT7645"/>
    </row>
    <row r="7646" spans="46:46">
      <c r="AT7646"/>
    </row>
    <row r="7647" spans="46:46">
      <c r="AT7647"/>
    </row>
    <row r="7648" spans="46:46">
      <c r="AT7648"/>
    </row>
    <row r="7649" spans="46:46">
      <c r="AT7649"/>
    </row>
    <row r="7650" spans="46:46">
      <c r="AT7650"/>
    </row>
    <row r="7651" spans="46:46">
      <c r="AT7651"/>
    </row>
    <row r="7652" spans="46:46">
      <c r="AT7652"/>
    </row>
    <row r="7653" spans="46:46">
      <c r="AT7653"/>
    </row>
    <row r="7654" spans="46:46">
      <c r="AT7654"/>
    </row>
    <row r="7655" spans="46:46">
      <c r="AT7655"/>
    </row>
    <row r="7656" spans="46:46">
      <c r="AT7656"/>
    </row>
    <row r="7657" spans="46:46">
      <c r="AT7657"/>
    </row>
    <row r="7658" spans="46:46">
      <c r="AT7658"/>
    </row>
    <row r="7659" spans="46:46">
      <c r="AT7659"/>
    </row>
    <row r="7660" spans="46:46">
      <c r="AT7660"/>
    </row>
    <row r="7661" spans="46:46">
      <c r="AT7661"/>
    </row>
    <row r="7662" spans="46:46">
      <c r="AT7662"/>
    </row>
    <row r="7663" spans="46:46">
      <c r="AT7663"/>
    </row>
    <row r="7664" spans="46:46">
      <c r="AT7664"/>
    </row>
    <row r="7665" spans="46:46">
      <c r="AT7665"/>
    </row>
    <row r="7666" spans="46:46">
      <c r="AT7666"/>
    </row>
    <row r="7667" spans="46:46">
      <c r="AT7667"/>
    </row>
    <row r="7668" spans="46:46">
      <c r="AT7668"/>
    </row>
    <row r="7669" spans="46:46">
      <c r="AT7669"/>
    </row>
    <row r="7670" spans="46:46">
      <c r="AT7670"/>
    </row>
    <row r="7671" spans="46:46">
      <c r="AT7671"/>
    </row>
    <row r="7672" spans="46:46">
      <c r="AT7672"/>
    </row>
    <row r="7673" spans="46:46">
      <c r="AT7673"/>
    </row>
    <row r="7674" spans="46:46">
      <c r="AT7674"/>
    </row>
    <row r="7675" spans="46:46">
      <c r="AT7675"/>
    </row>
    <row r="7676" spans="46:46">
      <c r="AT7676"/>
    </row>
    <row r="7677" spans="46:46">
      <c r="AT7677"/>
    </row>
    <row r="7678" spans="46:46">
      <c r="AT7678"/>
    </row>
    <row r="7679" spans="46:46">
      <c r="AT7679"/>
    </row>
    <row r="7680" spans="46:46">
      <c r="AT7680"/>
    </row>
    <row r="7681" spans="46:46">
      <c r="AT7681"/>
    </row>
    <row r="7682" spans="46:46">
      <c r="AT7682"/>
    </row>
    <row r="7683" spans="46:46">
      <c r="AT7683"/>
    </row>
    <row r="7684" spans="46:46">
      <c r="AT7684"/>
    </row>
    <row r="7685" spans="46:46">
      <c r="AT7685"/>
    </row>
    <row r="7686" spans="46:46">
      <c r="AT7686"/>
    </row>
    <row r="7687" spans="46:46">
      <c r="AT7687"/>
    </row>
    <row r="7688" spans="46:46">
      <c r="AT7688"/>
    </row>
    <row r="7689" spans="46:46">
      <c r="AT7689"/>
    </row>
    <row r="7690" spans="46:46">
      <c r="AT7690"/>
    </row>
    <row r="7691" spans="46:46">
      <c r="AT7691"/>
    </row>
    <row r="7692" spans="46:46">
      <c r="AT7692"/>
    </row>
    <row r="7693" spans="46:46">
      <c r="AT7693"/>
    </row>
    <row r="7694" spans="46:46">
      <c r="AT7694"/>
    </row>
    <row r="7695" spans="46:46">
      <c r="AT7695"/>
    </row>
    <row r="7696" spans="46:46">
      <c r="AT7696"/>
    </row>
    <row r="7697" spans="46:46">
      <c r="AT7697"/>
    </row>
    <row r="7698" spans="46:46">
      <c r="AT7698"/>
    </row>
    <row r="7699" spans="46:46">
      <c r="AT7699"/>
    </row>
    <row r="7700" spans="46:46">
      <c r="AT7700"/>
    </row>
    <row r="7701" spans="46:46">
      <c r="AT7701"/>
    </row>
    <row r="7702" spans="46:46">
      <c r="AT7702"/>
    </row>
    <row r="7703" spans="46:46">
      <c r="AT7703"/>
    </row>
    <row r="7704" spans="46:46">
      <c r="AT7704"/>
    </row>
    <row r="7705" spans="46:46">
      <c r="AT7705"/>
    </row>
    <row r="7706" spans="46:46">
      <c r="AT7706"/>
    </row>
    <row r="7707" spans="46:46">
      <c r="AT7707"/>
    </row>
    <row r="7708" spans="46:46">
      <c r="AT7708"/>
    </row>
    <row r="7709" spans="46:46">
      <c r="AT7709"/>
    </row>
    <row r="7710" spans="46:46">
      <c r="AT7710"/>
    </row>
    <row r="7711" spans="46:46">
      <c r="AT7711"/>
    </row>
    <row r="7712" spans="46:46">
      <c r="AT7712"/>
    </row>
    <row r="7713" spans="46:46">
      <c r="AT7713"/>
    </row>
    <row r="7714" spans="46:46">
      <c r="AT7714"/>
    </row>
    <row r="7715" spans="46:46">
      <c r="AT7715"/>
    </row>
    <row r="7716" spans="46:46">
      <c r="AT7716"/>
    </row>
    <row r="7717" spans="46:46">
      <c r="AT7717"/>
    </row>
    <row r="7718" spans="46:46">
      <c r="AT7718"/>
    </row>
    <row r="7719" spans="46:46">
      <c r="AT7719"/>
    </row>
    <row r="7720" spans="46:46">
      <c r="AT7720"/>
    </row>
    <row r="7721" spans="46:46">
      <c r="AT7721"/>
    </row>
    <row r="7722" spans="46:46">
      <c r="AT7722"/>
    </row>
    <row r="7723" spans="46:46">
      <c r="AT7723"/>
    </row>
    <row r="7724" spans="46:46">
      <c r="AT7724"/>
    </row>
    <row r="7725" spans="46:46">
      <c r="AT7725"/>
    </row>
    <row r="7726" spans="46:46">
      <c r="AT7726"/>
    </row>
    <row r="7727" spans="46:46">
      <c r="AT7727"/>
    </row>
    <row r="7728" spans="46:46">
      <c r="AT7728"/>
    </row>
    <row r="7729" spans="46:46">
      <c r="AT7729"/>
    </row>
    <row r="7730" spans="46:46">
      <c r="AT7730"/>
    </row>
    <row r="7731" spans="46:46">
      <c r="AT7731"/>
    </row>
    <row r="7732" spans="46:46">
      <c r="AT7732"/>
    </row>
    <row r="7733" spans="46:46">
      <c r="AT7733"/>
    </row>
    <row r="7734" spans="46:46">
      <c r="AT7734"/>
    </row>
    <row r="7735" spans="46:46">
      <c r="AT7735"/>
    </row>
    <row r="7736" spans="46:46">
      <c r="AT7736"/>
    </row>
    <row r="7737" spans="46:46">
      <c r="AT7737"/>
    </row>
    <row r="7738" spans="46:46">
      <c r="AT7738"/>
    </row>
    <row r="7739" spans="46:46">
      <c r="AT7739"/>
    </row>
    <row r="7740" spans="46:46">
      <c r="AT7740"/>
    </row>
    <row r="7741" spans="46:46">
      <c r="AT7741"/>
    </row>
    <row r="7742" spans="46:46">
      <c r="AT7742"/>
    </row>
    <row r="7743" spans="46:46">
      <c r="AT7743"/>
    </row>
    <row r="7744" spans="46:46">
      <c r="AT7744"/>
    </row>
    <row r="7745" spans="46:46">
      <c r="AT7745"/>
    </row>
    <row r="7746" spans="46:46">
      <c r="AT7746"/>
    </row>
    <row r="7747" spans="46:46">
      <c r="AT7747"/>
    </row>
    <row r="7748" spans="46:46">
      <c r="AT7748"/>
    </row>
    <row r="7749" spans="46:46">
      <c r="AT7749"/>
    </row>
    <row r="7750" spans="46:46">
      <c r="AT7750"/>
    </row>
    <row r="7751" spans="46:46">
      <c r="AT7751"/>
    </row>
    <row r="7752" spans="46:46">
      <c r="AT7752"/>
    </row>
    <row r="7753" spans="46:46">
      <c r="AT7753"/>
    </row>
    <row r="7754" spans="46:46">
      <c r="AT7754"/>
    </row>
    <row r="7755" spans="46:46">
      <c r="AT7755"/>
    </row>
    <row r="7756" spans="46:46">
      <c r="AT7756"/>
    </row>
    <row r="7757" spans="46:46">
      <c r="AT7757"/>
    </row>
    <row r="7758" spans="46:46">
      <c r="AT7758"/>
    </row>
    <row r="7759" spans="46:46">
      <c r="AT7759"/>
    </row>
    <row r="7760" spans="46:46">
      <c r="AT7760"/>
    </row>
    <row r="7761" spans="46:46">
      <c r="AT7761"/>
    </row>
    <row r="7762" spans="46:46">
      <c r="AT7762"/>
    </row>
    <row r="7763" spans="46:46">
      <c r="AT7763"/>
    </row>
    <row r="7764" spans="46:46">
      <c r="AT7764"/>
    </row>
    <row r="7765" spans="46:46">
      <c r="AT7765"/>
    </row>
    <row r="7766" spans="46:46">
      <c r="AT7766"/>
    </row>
    <row r="7767" spans="46:46">
      <c r="AT7767"/>
    </row>
    <row r="7768" spans="46:46">
      <c r="AT7768"/>
    </row>
    <row r="7769" spans="46:46">
      <c r="AT7769"/>
    </row>
    <row r="7770" spans="46:46">
      <c r="AT7770"/>
    </row>
    <row r="7771" spans="46:46">
      <c r="AT7771"/>
    </row>
    <row r="7772" spans="46:46">
      <c r="AT7772"/>
    </row>
    <row r="7773" spans="46:46">
      <c r="AT7773"/>
    </row>
    <row r="7774" spans="46:46">
      <c r="AT7774"/>
    </row>
    <row r="7775" spans="46:46">
      <c r="AT7775"/>
    </row>
    <row r="7776" spans="46:46">
      <c r="AT7776"/>
    </row>
    <row r="7777" spans="46:46">
      <c r="AT7777"/>
    </row>
    <row r="7778" spans="46:46">
      <c r="AT7778"/>
    </row>
    <row r="7779" spans="46:46">
      <c r="AT7779"/>
    </row>
    <row r="7780" spans="46:46">
      <c r="AT7780"/>
    </row>
    <row r="7781" spans="46:46">
      <c r="AT7781"/>
    </row>
    <row r="7782" spans="46:46">
      <c r="AT7782"/>
    </row>
    <row r="7783" spans="46:46">
      <c r="AT7783"/>
    </row>
    <row r="7784" spans="46:46">
      <c r="AT7784"/>
    </row>
    <row r="7785" spans="46:46">
      <c r="AT7785"/>
    </row>
    <row r="7786" spans="46:46">
      <c r="AT7786"/>
    </row>
    <row r="7787" spans="46:46">
      <c r="AT7787"/>
    </row>
    <row r="7788" spans="46:46">
      <c r="AT7788"/>
    </row>
    <row r="7789" spans="46:46">
      <c r="AT7789"/>
    </row>
    <row r="7790" spans="46:46">
      <c r="AT7790"/>
    </row>
    <row r="7791" spans="46:46">
      <c r="AT7791"/>
    </row>
    <row r="7792" spans="46:46">
      <c r="AT7792"/>
    </row>
    <row r="7793" spans="46:46">
      <c r="AT7793"/>
    </row>
    <row r="7794" spans="46:46">
      <c r="AT7794"/>
    </row>
    <row r="7795" spans="46:46">
      <c r="AT7795"/>
    </row>
    <row r="7796" spans="46:46">
      <c r="AT7796"/>
    </row>
    <row r="7797" spans="46:46">
      <c r="AT7797"/>
    </row>
    <row r="7798" spans="46:46">
      <c r="AT7798"/>
    </row>
    <row r="7799" spans="46:46">
      <c r="AT7799"/>
    </row>
    <row r="7800" spans="46:46">
      <c r="AT7800"/>
    </row>
    <row r="7801" spans="46:46">
      <c r="AT7801"/>
    </row>
    <row r="7802" spans="46:46">
      <c r="AT7802"/>
    </row>
    <row r="7803" spans="46:46">
      <c r="AT7803"/>
    </row>
    <row r="7804" spans="46:46">
      <c r="AT7804"/>
    </row>
    <row r="7805" spans="46:46">
      <c r="AT7805"/>
    </row>
    <row r="7806" spans="46:46">
      <c r="AT7806"/>
    </row>
    <row r="7807" spans="46:46">
      <c r="AT7807"/>
    </row>
    <row r="7808" spans="46:46">
      <c r="AT7808"/>
    </row>
    <row r="7809" spans="46:46">
      <c r="AT7809"/>
    </row>
    <row r="7810" spans="46:46">
      <c r="AT7810"/>
    </row>
    <row r="7811" spans="46:46">
      <c r="AT7811"/>
    </row>
    <row r="7812" spans="46:46">
      <c r="AT7812"/>
    </row>
    <row r="7813" spans="46:46">
      <c r="AT7813"/>
    </row>
    <row r="7814" spans="46:46">
      <c r="AT7814"/>
    </row>
    <row r="7815" spans="46:46">
      <c r="AT7815"/>
    </row>
    <row r="7816" spans="46:46">
      <c r="AT7816"/>
    </row>
    <row r="7817" spans="46:46">
      <c r="AT7817"/>
    </row>
    <row r="7818" spans="46:46">
      <c r="AT7818"/>
    </row>
    <row r="7819" spans="46:46">
      <c r="AT7819"/>
    </row>
    <row r="7820" spans="46:46">
      <c r="AT7820"/>
    </row>
    <row r="7821" spans="46:46">
      <c r="AT7821"/>
    </row>
    <row r="7822" spans="46:46">
      <c r="AT7822"/>
    </row>
    <row r="7823" spans="46:46">
      <c r="AT7823"/>
    </row>
    <row r="7824" spans="46:46">
      <c r="AT7824"/>
    </row>
    <row r="7825" spans="46:46">
      <c r="AT7825"/>
    </row>
    <row r="7826" spans="46:46">
      <c r="AT7826"/>
    </row>
    <row r="7827" spans="46:46">
      <c r="AT7827"/>
    </row>
    <row r="7828" spans="46:46">
      <c r="AT7828"/>
    </row>
    <row r="7829" spans="46:46">
      <c r="AT7829"/>
    </row>
    <row r="7830" spans="46:46">
      <c r="AT7830"/>
    </row>
    <row r="7831" spans="46:46">
      <c r="AT7831"/>
    </row>
    <row r="7832" spans="46:46">
      <c r="AT7832"/>
    </row>
    <row r="7833" spans="46:46">
      <c r="AT7833"/>
    </row>
    <row r="7834" spans="46:46">
      <c r="AT7834"/>
    </row>
    <row r="7835" spans="46:46">
      <c r="AT7835"/>
    </row>
    <row r="7836" spans="46:46">
      <c r="AT7836"/>
    </row>
    <row r="7837" spans="46:46">
      <c r="AT7837"/>
    </row>
    <row r="7838" spans="46:46">
      <c r="AT7838"/>
    </row>
    <row r="7839" spans="46:46">
      <c r="AT7839"/>
    </row>
    <row r="7840" spans="46:46">
      <c r="AT7840"/>
    </row>
    <row r="7841" spans="46:46">
      <c r="AT7841"/>
    </row>
    <row r="7842" spans="46:46">
      <c r="AT7842"/>
    </row>
    <row r="7843" spans="46:46">
      <c r="AT7843"/>
    </row>
    <row r="7844" spans="46:46">
      <c r="AT7844"/>
    </row>
    <row r="7845" spans="46:46">
      <c r="AT7845"/>
    </row>
    <row r="7846" spans="46:46">
      <c r="AT7846"/>
    </row>
    <row r="7847" spans="46:46">
      <c r="AT7847"/>
    </row>
    <row r="7848" spans="46:46">
      <c r="AT7848"/>
    </row>
    <row r="7849" spans="46:46">
      <c r="AT7849"/>
    </row>
    <row r="7850" spans="46:46">
      <c r="AT7850"/>
    </row>
    <row r="7851" spans="46:46">
      <c r="AT7851"/>
    </row>
    <row r="7852" spans="46:46">
      <c r="AT7852"/>
    </row>
    <row r="7853" spans="46:46">
      <c r="AT7853"/>
    </row>
    <row r="7854" spans="46:46">
      <c r="AT7854"/>
    </row>
    <row r="7855" spans="46:46">
      <c r="AT7855"/>
    </row>
    <row r="7856" spans="46:46">
      <c r="AT7856"/>
    </row>
    <row r="7857" spans="46:46">
      <c r="AT7857"/>
    </row>
    <row r="7858" spans="46:46">
      <c r="AT7858"/>
    </row>
    <row r="7859" spans="46:46">
      <c r="AT7859"/>
    </row>
    <row r="7860" spans="46:46">
      <c r="AT7860"/>
    </row>
    <row r="7861" spans="46:46">
      <c r="AT7861"/>
    </row>
    <row r="7862" spans="46:46">
      <c r="AT7862"/>
    </row>
    <row r="7863" spans="46:46">
      <c r="AT7863"/>
    </row>
    <row r="7864" spans="46:46">
      <c r="AT7864"/>
    </row>
    <row r="7865" spans="46:46">
      <c r="AT7865"/>
    </row>
    <row r="7866" spans="46:46">
      <c r="AT7866"/>
    </row>
    <row r="7867" spans="46:46">
      <c r="AT7867"/>
    </row>
    <row r="7868" spans="46:46">
      <c r="AT7868"/>
    </row>
    <row r="7869" spans="46:46">
      <c r="AT7869"/>
    </row>
    <row r="7870" spans="46:46">
      <c r="AT7870"/>
    </row>
    <row r="7871" spans="46:46">
      <c r="AT7871"/>
    </row>
    <row r="7872" spans="46:46">
      <c r="AT7872"/>
    </row>
    <row r="7873" spans="46:46">
      <c r="AT7873"/>
    </row>
    <row r="7874" spans="46:46">
      <c r="AT7874"/>
    </row>
    <row r="7875" spans="46:46">
      <c r="AT7875"/>
    </row>
    <row r="7876" spans="46:46">
      <c r="AT7876"/>
    </row>
    <row r="7877" spans="46:46">
      <c r="AT7877"/>
    </row>
    <row r="7878" spans="46:46">
      <c r="AT7878"/>
    </row>
    <row r="7879" spans="46:46">
      <c r="AT7879"/>
    </row>
    <row r="7880" spans="46:46">
      <c r="AT7880"/>
    </row>
    <row r="7881" spans="46:46">
      <c r="AT7881"/>
    </row>
    <row r="7882" spans="46:46">
      <c r="AT7882"/>
    </row>
    <row r="7883" spans="46:46">
      <c r="AT7883"/>
    </row>
    <row r="7884" spans="46:46">
      <c r="AT7884"/>
    </row>
    <row r="7885" spans="46:46">
      <c r="AT7885"/>
    </row>
    <row r="7886" spans="46:46">
      <c r="AT7886"/>
    </row>
    <row r="7887" spans="46:46">
      <c r="AT7887"/>
    </row>
    <row r="7888" spans="46:46">
      <c r="AT7888"/>
    </row>
    <row r="7889" spans="46:46">
      <c r="AT7889"/>
    </row>
    <row r="7890" spans="46:46">
      <c r="AT7890"/>
    </row>
    <row r="7891" spans="46:46">
      <c r="AT7891"/>
    </row>
    <row r="7892" spans="46:46">
      <c r="AT7892"/>
    </row>
    <row r="7893" spans="46:46">
      <c r="AT7893"/>
    </row>
    <row r="7894" spans="46:46">
      <c r="AT7894"/>
    </row>
    <row r="7895" spans="46:46">
      <c r="AT7895"/>
    </row>
    <row r="7896" spans="46:46">
      <c r="AT7896"/>
    </row>
    <row r="7897" spans="46:46">
      <c r="AT7897"/>
    </row>
    <row r="7898" spans="46:46">
      <c r="AT7898"/>
    </row>
    <row r="7899" spans="46:46">
      <c r="AT7899"/>
    </row>
    <row r="7900" spans="46:46">
      <c r="AT7900"/>
    </row>
    <row r="7901" spans="46:46">
      <c r="AT7901"/>
    </row>
    <row r="7902" spans="46:46">
      <c r="AT7902"/>
    </row>
    <row r="7903" spans="46:46">
      <c r="AT7903"/>
    </row>
    <row r="7904" spans="46:46">
      <c r="AT7904"/>
    </row>
    <row r="7905" spans="46:46">
      <c r="AT7905"/>
    </row>
    <row r="7906" spans="46:46">
      <c r="AT7906"/>
    </row>
    <row r="7907" spans="46:46">
      <c r="AT7907"/>
    </row>
    <row r="7908" spans="46:46">
      <c r="AT7908"/>
    </row>
    <row r="7909" spans="46:46">
      <c r="AT7909"/>
    </row>
    <row r="7910" spans="46:46">
      <c r="AT7910"/>
    </row>
    <row r="7911" spans="46:46">
      <c r="AT7911"/>
    </row>
    <row r="7912" spans="46:46">
      <c r="AT7912"/>
    </row>
    <row r="7913" spans="46:46">
      <c r="AT7913"/>
    </row>
    <row r="7914" spans="46:46">
      <c r="AT7914"/>
    </row>
    <row r="7915" spans="46:46">
      <c r="AT7915"/>
    </row>
    <row r="7916" spans="46:46">
      <c r="AT7916"/>
    </row>
    <row r="7917" spans="46:46">
      <c r="AT7917"/>
    </row>
    <row r="7918" spans="46:46">
      <c r="AT7918"/>
    </row>
    <row r="7919" spans="46:46">
      <c r="AT7919"/>
    </row>
    <row r="7920" spans="46:46">
      <c r="AT7920"/>
    </row>
    <row r="7921" spans="46:46">
      <c r="AT7921"/>
    </row>
    <row r="7922" spans="46:46">
      <c r="AT7922"/>
    </row>
    <row r="7923" spans="46:46">
      <c r="AT7923"/>
    </row>
    <row r="7924" spans="46:46">
      <c r="AT7924"/>
    </row>
    <row r="7925" spans="46:46">
      <c r="AT7925"/>
    </row>
    <row r="7926" spans="46:46">
      <c r="AT7926"/>
    </row>
    <row r="7927" spans="46:46">
      <c r="AT7927"/>
    </row>
    <row r="7928" spans="46:46">
      <c r="AT7928"/>
    </row>
    <row r="7929" spans="46:46">
      <c r="AT7929"/>
    </row>
    <row r="7930" spans="46:46">
      <c r="AT7930"/>
    </row>
    <row r="7931" spans="46:46">
      <c r="AT7931"/>
    </row>
    <row r="7932" spans="46:46">
      <c r="AT7932"/>
    </row>
    <row r="7933" spans="46:46">
      <c r="AT7933"/>
    </row>
    <row r="7934" spans="46:46">
      <c r="AT7934"/>
    </row>
    <row r="7935" spans="46:46">
      <c r="AT7935"/>
    </row>
    <row r="7936" spans="46:46">
      <c r="AT7936"/>
    </row>
    <row r="7937" spans="46:46">
      <c r="AT7937"/>
    </row>
    <row r="7938" spans="46:46">
      <c r="AT7938"/>
    </row>
    <row r="7939" spans="46:46">
      <c r="AT7939"/>
    </row>
    <row r="7940" spans="46:46">
      <c r="AT7940"/>
    </row>
    <row r="7941" spans="46:46">
      <c r="AT7941"/>
    </row>
    <row r="7942" spans="46:46">
      <c r="AT7942"/>
    </row>
    <row r="7943" spans="46:46">
      <c r="AT7943"/>
    </row>
    <row r="7944" spans="46:46">
      <c r="AT7944"/>
    </row>
    <row r="7945" spans="46:46">
      <c r="AT7945"/>
    </row>
    <row r="7946" spans="46:46">
      <c r="AT7946"/>
    </row>
    <row r="7947" spans="46:46">
      <c r="AT7947"/>
    </row>
    <row r="7948" spans="46:46">
      <c r="AT7948"/>
    </row>
    <row r="7949" spans="46:46">
      <c r="AT7949"/>
    </row>
    <row r="7950" spans="46:46">
      <c r="AT7950"/>
    </row>
    <row r="7951" spans="46:46">
      <c r="AT7951"/>
    </row>
    <row r="7952" spans="46:46">
      <c r="AT7952"/>
    </row>
    <row r="7953" spans="46:46">
      <c r="AT7953"/>
    </row>
    <row r="7954" spans="46:46">
      <c r="AT7954"/>
    </row>
    <row r="7955" spans="46:46">
      <c r="AT7955"/>
    </row>
    <row r="7956" spans="46:46">
      <c r="AT7956"/>
    </row>
    <row r="7957" spans="46:46">
      <c r="AT7957"/>
    </row>
    <row r="7958" spans="46:46">
      <c r="AT7958"/>
    </row>
    <row r="7959" spans="46:46">
      <c r="AT7959"/>
    </row>
    <row r="7960" spans="46:46">
      <c r="AT7960"/>
    </row>
    <row r="7961" spans="46:46">
      <c r="AT7961"/>
    </row>
    <row r="7962" spans="46:46">
      <c r="AT7962"/>
    </row>
    <row r="7963" spans="46:46">
      <c r="AT7963"/>
    </row>
    <row r="7964" spans="46:46">
      <c r="AT7964"/>
    </row>
    <row r="7965" spans="46:46">
      <c r="AT7965"/>
    </row>
    <row r="7966" spans="46:46">
      <c r="AT7966"/>
    </row>
    <row r="7967" spans="46:46">
      <c r="AT7967"/>
    </row>
    <row r="7968" spans="46:46">
      <c r="AT7968"/>
    </row>
    <row r="7969" spans="46:46">
      <c r="AT7969"/>
    </row>
    <row r="7970" spans="46:46">
      <c r="AT7970"/>
    </row>
    <row r="7971" spans="46:46">
      <c r="AT7971"/>
    </row>
    <row r="7972" spans="46:46">
      <c r="AT7972"/>
    </row>
    <row r="7973" spans="46:46">
      <c r="AT7973"/>
    </row>
    <row r="7974" spans="46:46">
      <c r="AT7974"/>
    </row>
    <row r="7975" spans="46:46">
      <c r="AT7975"/>
    </row>
    <row r="7976" spans="46:46">
      <c r="AT7976"/>
    </row>
    <row r="7977" spans="46:46">
      <c r="AT7977"/>
    </row>
    <row r="7978" spans="46:46">
      <c r="AT7978"/>
    </row>
    <row r="7979" spans="46:46">
      <c r="AT7979"/>
    </row>
    <row r="7980" spans="46:46">
      <c r="AT7980"/>
    </row>
    <row r="7981" spans="46:46">
      <c r="AT7981"/>
    </row>
    <row r="7982" spans="46:46">
      <c r="AT7982"/>
    </row>
    <row r="7983" spans="46:46">
      <c r="AT7983"/>
    </row>
    <row r="7984" spans="46:46">
      <c r="AT7984"/>
    </row>
    <row r="7985" spans="46:46">
      <c r="AT7985"/>
    </row>
    <row r="7986" spans="46:46">
      <c r="AT7986"/>
    </row>
    <row r="7987" spans="46:46">
      <c r="AT7987"/>
    </row>
    <row r="7988" spans="46:46">
      <c r="AT7988"/>
    </row>
    <row r="7989" spans="46:46">
      <c r="AT7989"/>
    </row>
    <row r="7990" spans="46:46">
      <c r="AT7990"/>
    </row>
    <row r="7991" spans="46:46">
      <c r="AT7991"/>
    </row>
    <row r="7992" spans="46:46">
      <c r="AT7992"/>
    </row>
    <row r="7993" spans="46:46">
      <c r="AT7993"/>
    </row>
    <row r="7994" spans="46:46">
      <c r="AT7994"/>
    </row>
    <row r="7995" spans="46:46">
      <c r="AT7995"/>
    </row>
    <row r="7996" spans="46:46">
      <c r="AT7996"/>
    </row>
    <row r="7997" spans="46:46">
      <c r="AT7997"/>
    </row>
    <row r="7998" spans="46:46">
      <c r="AT7998"/>
    </row>
    <row r="7999" spans="46:46">
      <c r="AT7999"/>
    </row>
    <row r="8000" spans="46:46">
      <c r="AT8000"/>
    </row>
    <row r="8001" spans="46:46">
      <c r="AT8001"/>
    </row>
    <row r="8002" spans="46:46">
      <c r="AT8002"/>
    </row>
    <row r="8003" spans="46:46">
      <c r="AT8003"/>
    </row>
    <row r="8004" spans="46:46">
      <c r="AT8004"/>
    </row>
    <row r="8005" spans="46:46">
      <c r="AT8005"/>
    </row>
    <row r="8006" spans="46:46">
      <c r="AT8006"/>
    </row>
    <row r="8007" spans="46:46">
      <c r="AT8007"/>
    </row>
    <row r="8008" spans="46:46">
      <c r="AT8008"/>
    </row>
    <row r="8009" spans="46:46">
      <c r="AT8009"/>
    </row>
    <row r="8010" spans="46:46">
      <c r="AT8010"/>
    </row>
    <row r="8011" spans="46:46">
      <c r="AT8011"/>
    </row>
    <row r="8012" spans="46:46">
      <c r="AT8012"/>
    </row>
    <row r="8013" spans="46:46">
      <c r="AT8013"/>
    </row>
    <row r="8014" spans="46:46">
      <c r="AT8014"/>
    </row>
    <row r="8015" spans="46:46">
      <c r="AT8015"/>
    </row>
    <row r="8016" spans="46:46">
      <c r="AT8016"/>
    </row>
    <row r="8017" spans="46:46">
      <c r="AT8017"/>
    </row>
    <row r="8018" spans="46:46">
      <c r="AT8018"/>
    </row>
    <row r="8019" spans="46:46">
      <c r="AT8019"/>
    </row>
    <row r="8020" spans="46:46">
      <c r="AT8020"/>
    </row>
    <row r="8021" spans="46:46">
      <c r="AT8021"/>
    </row>
    <row r="8022" spans="46:46">
      <c r="AT8022"/>
    </row>
    <row r="8023" spans="46:46">
      <c r="AT8023"/>
    </row>
    <row r="8024" spans="46:46">
      <c r="AT8024"/>
    </row>
    <row r="8025" spans="46:46">
      <c r="AT8025"/>
    </row>
    <row r="8026" spans="46:46">
      <c r="AT8026"/>
    </row>
    <row r="8027" spans="46:46">
      <c r="AT8027"/>
    </row>
    <row r="8028" spans="46:46">
      <c r="AT8028"/>
    </row>
    <row r="8029" spans="46:46">
      <c r="AT8029"/>
    </row>
    <row r="8030" spans="46:46">
      <c r="AT8030"/>
    </row>
    <row r="8031" spans="46:46">
      <c r="AT8031"/>
    </row>
    <row r="8032" spans="46:46">
      <c r="AT8032"/>
    </row>
    <row r="8033" spans="46:46">
      <c r="AT8033"/>
    </row>
    <row r="8034" spans="46:46">
      <c r="AT8034"/>
    </row>
    <row r="8035" spans="46:46">
      <c r="AT8035"/>
    </row>
    <row r="8036" spans="46:46">
      <c r="AT8036"/>
    </row>
    <row r="8037" spans="46:46">
      <c r="AT8037"/>
    </row>
    <row r="8038" spans="46:46">
      <c r="AT8038"/>
    </row>
    <row r="8039" spans="46:46">
      <c r="AT8039"/>
    </row>
    <row r="8040" spans="46:46">
      <c r="AT8040"/>
    </row>
    <row r="8041" spans="46:46">
      <c r="AT8041"/>
    </row>
    <row r="8042" spans="46:46">
      <c r="AT8042"/>
    </row>
    <row r="8043" spans="46:46">
      <c r="AT8043"/>
    </row>
    <row r="8044" spans="46:46">
      <c r="AT8044"/>
    </row>
    <row r="8045" spans="46:46">
      <c r="AT8045"/>
    </row>
    <row r="8046" spans="46:46">
      <c r="AT8046"/>
    </row>
    <row r="8047" spans="46:46">
      <c r="AT8047"/>
    </row>
    <row r="8048" spans="46:46">
      <c r="AT8048"/>
    </row>
    <row r="8049" spans="46:46">
      <c r="AT8049"/>
    </row>
    <row r="8050" spans="46:46">
      <c r="AT8050"/>
    </row>
    <row r="8051" spans="46:46">
      <c r="AT8051"/>
    </row>
    <row r="8052" spans="46:46">
      <c r="AT8052"/>
    </row>
    <row r="8053" spans="46:46">
      <c r="AT8053"/>
    </row>
    <row r="8054" spans="46:46">
      <c r="AT8054"/>
    </row>
    <row r="8055" spans="46:46">
      <c r="AT8055"/>
    </row>
    <row r="8056" spans="46:46">
      <c r="AT8056"/>
    </row>
    <row r="8057" spans="46:46">
      <c r="AT8057"/>
    </row>
    <row r="8058" spans="46:46">
      <c r="AT8058"/>
    </row>
    <row r="8059" spans="46:46">
      <c r="AT8059"/>
    </row>
    <row r="8060" spans="46:46">
      <c r="AT8060"/>
    </row>
    <row r="8061" spans="46:46">
      <c r="AT8061"/>
    </row>
    <row r="8062" spans="46:46">
      <c r="AT8062"/>
    </row>
    <row r="8063" spans="46:46">
      <c r="AT8063"/>
    </row>
    <row r="8064" spans="46:46">
      <c r="AT8064"/>
    </row>
    <row r="8065" spans="46:46">
      <c r="AT8065"/>
    </row>
    <row r="8066" spans="46:46">
      <c r="AT8066"/>
    </row>
    <row r="8067" spans="46:46">
      <c r="AT8067"/>
    </row>
    <row r="8068" spans="46:46">
      <c r="AT8068"/>
    </row>
    <row r="8069" spans="46:46">
      <c r="AT8069"/>
    </row>
    <row r="8070" spans="46:46">
      <c r="AT8070"/>
    </row>
    <row r="8071" spans="46:46">
      <c r="AT8071"/>
    </row>
    <row r="8072" spans="46:46">
      <c r="AT8072"/>
    </row>
    <row r="8073" spans="46:46">
      <c r="AT8073"/>
    </row>
    <row r="8074" spans="46:46">
      <c r="AT8074"/>
    </row>
    <row r="8075" spans="46:46">
      <c r="AT8075"/>
    </row>
    <row r="8076" spans="46:46">
      <c r="AT8076"/>
    </row>
    <row r="8077" spans="46:46">
      <c r="AT8077"/>
    </row>
    <row r="8078" spans="46:46">
      <c r="AT8078"/>
    </row>
    <row r="8079" spans="46:46">
      <c r="AT8079"/>
    </row>
    <row r="8080" spans="46:46">
      <c r="AT8080"/>
    </row>
    <row r="8081" spans="46:46">
      <c r="AT8081"/>
    </row>
    <row r="8082" spans="46:46">
      <c r="AT8082"/>
    </row>
    <row r="8083" spans="46:46">
      <c r="AT8083"/>
    </row>
    <row r="8084" spans="46:46">
      <c r="AT8084"/>
    </row>
    <row r="8085" spans="46:46">
      <c r="AT8085"/>
    </row>
    <row r="8086" spans="46:46">
      <c r="AT8086"/>
    </row>
    <row r="8087" spans="46:46">
      <c r="AT8087"/>
    </row>
    <row r="8088" spans="46:46">
      <c r="AT8088"/>
    </row>
    <row r="8089" spans="46:46">
      <c r="AT8089"/>
    </row>
    <row r="8090" spans="46:46">
      <c r="AT8090"/>
    </row>
    <row r="8091" spans="46:46">
      <c r="AT8091"/>
    </row>
    <row r="8092" spans="46:46">
      <c r="AT8092"/>
    </row>
    <row r="8093" spans="46:46">
      <c r="AT8093"/>
    </row>
    <row r="8094" spans="46:46">
      <c r="AT8094"/>
    </row>
    <row r="8095" spans="46:46">
      <c r="AT8095"/>
    </row>
    <row r="8096" spans="46:46">
      <c r="AT8096"/>
    </row>
    <row r="8097" spans="46:46">
      <c r="AT8097"/>
    </row>
    <row r="8098" spans="46:46">
      <c r="AT8098"/>
    </row>
    <row r="8099" spans="46:46">
      <c r="AT8099"/>
    </row>
    <row r="8100" spans="46:46">
      <c r="AT8100"/>
    </row>
    <row r="8101" spans="46:46">
      <c r="AT8101"/>
    </row>
    <row r="8102" spans="46:46">
      <c r="AT8102"/>
    </row>
    <row r="8103" spans="46:46">
      <c r="AT8103"/>
    </row>
    <row r="8104" spans="46:46">
      <c r="AT8104"/>
    </row>
    <row r="8105" spans="46:46">
      <c r="AT8105"/>
    </row>
    <row r="8106" spans="46:46">
      <c r="AT8106"/>
    </row>
    <row r="8107" spans="46:46">
      <c r="AT8107"/>
    </row>
    <row r="8108" spans="46:46">
      <c r="AT8108"/>
    </row>
    <row r="8109" spans="46:46">
      <c r="AT8109"/>
    </row>
    <row r="8110" spans="46:46">
      <c r="AT8110"/>
    </row>
    <row r="8111" spans="46:46">
      <c r="AT8111"/>
    </row>
    <row r="8112" spans="46:46">
      <c r="AT8112"/>
    </row>
    <row r="8113" spans="46:46">
      <c r="AT8113"/>
    </row>
    <row r="8114" spans="46:46">
      <c r="AT8114"/>
    </row>
    <row r="8115" spans="46:46">
      <c r="AT8115"/>
    </row>
    <row r="8116" spans="46:46">
      <c r="AT8116"/>
    </row>
    <row r="8117" spans="46:46">
      <c r="AT8117"/>
    </row>
    <row r="8118" spans="46:46">
      <c r="AT8118"/>
    </row>
    <row r="8119" spans="46:46">
      <c r="AT8119"/>
    </row>
    <row r="8120" spans="46:46">
      <c r="AT8120"/>
    </row>
    <row r="8121" spans="46:46">
      <c r="AT8121"/>
    </row>
    <row r="8122" spans="46:46">
      <c r="AT8122"/>
    </row>
    <row r="8123" spans="46:46">
      <c r="AT8123"/>
    </row>
    <row r="8124" spans="46:46">
      <c r="AT8124"/>
    </row>
    <row r="8125" spans="46:46">
      <c r="AT8125"/>
    </row>
    <row r="8126" spans="46:46">
      <c r="AT8126"/>
    </row>
    <row r="8127" spans="46:46">
      <c r="AT8127"/>
    </row>
    <row r="8128" spans="46:46">
      <c r="AT8128"/>
    </row>
    <row r="8129" spans="46:46">
      <c r="AT8129"/>
    </row>
    <row r="8130" spans="46:46">
      <c r="AT8130"/>
    </row>
    <row r="8131" spans="46:46">
      <c r="AT8131"/>
    </row>
    <row r="8132" spans="46:46">
      <c r="AT8132"/>
    </row>
    <row r="8133" spans="46:46">
      <c r="AT8133"/>
    </row>
    <row r="8134" spans="46:46">
      <c r="AT8134"/>
    </row>
    <row r="8135" spans="46:46">
      <c r="AT8135"/>
    </row>
    <row r="8136" spans="46:46">
      <c r="AT8136"/>
    </row>
    <row r="8137" spans="46:46">
      <c r="AT8137"/>
    </row>
    <row r="8138" spans="46:46">
      <c r="AT8138"/>
    </row>
    <row r="8139" spans="46:46">
      <c r="AT8139"/>
    </row>
    <row r="8140" spans="46:46">
      <c r="AT8140"/>
    </row>
    <row r="8141" spans="46:46">
      <c r="AT8141"/>
    </row>
    <row r="8142" spans="46:46">
      <c r="AT8142"/>
    </row>
    <row r="8143" spans="46:46">
      <c r="AT8143"/>
    </row>
    <row r="8144" spans="46:46">
      <c r="AT8144"/>
    </row>
    <row r="8145" spans="46:46">
      <c r="AT8145"/>
    </row>
    <row r="8146" spans="46:46">
      <c r="AT8146"/>
    </row>
    <row r="8147" spans="46:46">
      <c r="AT8147"/>
    </row>
    <row r="8148" spans="46:46">
      <c r="AT8148"/>
    </row>
    <row r="8149" spans="46:46">
      <c r="AT8149"/>
    </row>
    <row r="8150" spans="46:46">
      <c r="AT8150"/>
    </row>
    <row r="8151" spans="46:46">
      <c r="AT8151"/>
    </row>
    <row r="8152" spans="46:46">
      <c r="AT8152"/>
    </row>
    <row r="8153" spans="46:46">
      <c r="AT8153"/>
    </row>
    <row r="8154" spans="46:46">
      <c r="AT8154"/>
    </row>
    <row r="8155" spans="46:46">
      <c r="AT8155"/>
    </row>
    <row r="8156" spans="46:46">
      <c r="AT8156"/>
    </row>
    <row r="8157" spans="46:46">
      <c r="AT8157"/>
    </row>
    <row r="8158" spans="46:46">
      <c r="AT8158"/>
    </row>
    <row r="8159" spans="46:46">
      <c r="AT8159"/>
    </row>
    <row r="8160" spans="46:46">
      <c r="AT8160"/>
    </row>
    <row r="8161" spans="46:46">
      <c r="AT8161"/>
    </row>
    <row r="8162" spans="46:46">
      <c r="AT8162"/>
    </row>
    <row r="8163" spans="46:46">
      <c r="AT8163"/>
    </row>
    <row r="8164" spans="46:46">
      <c r="AT8164"/>
    </row>
    <row r="8165" spans="46:46">
      <c r="AT8165"/>
    </row>
    <row r="8166" spans="46:46">
      <c r="AT8166"/>
    </row>
    <row r="8167" spans="46:46">
      <c r="AT8167"/>
    </row>
    <row r="8168" spans="46:46">
      <c r="AT8168"/>
    </row>
    <row r="8169" spans="46:46">
      <c r="AT8169"/>
    </row>
    <row r="8170" spans="46:46">
      <c r="AT8170"/>
    </row>
    <row r="8171" spans="46:46">
      <c r="AT8171"/>
    </row>
    <row r="8172" spans="46:46">
      <c r="AT8172"/>
    </row>
    <row r="8173" spans="46:46">
      <c r="AT8173"/>
    </row>
    <row r="8174" spans="46:46">
      <c r="AT8174"/>
    </row>
    <row r="8175" spans="46:46">
      <c r="AT8175"/>
    </row>
    <row r="8176" spans="46:46">
      <c r="AT8176"/>
    </row>
    <row r="8177" spans="46:46">
      <c r="AT8177"/>
    </row>
    <row r="8178" spans="46:46">
      <c r="AT8178"/>
    </row>
    <row r="8179" spans="46:46">
      <c r="AT8179"/>
    </row>
    <row r="8180" spans="46:46">
      <c r="AT8180"/>
    </row>
    <row r="8181" spans="46:46">
      <c r="AT8181"/>
    </row>
    <row r="8182" spans="46:46">
      <c r="AT8182"/>
    </row>
    <row r="8183" spans="46:46">
      <c r="AT8183"/>
    </row>
    <row r="8184" spans="46:46">
      <c r="AT8184"/>
    </row>
    <row r="8185" spans="46:46">
      <c r="AT8185"/>
    </row>
    <row r="8186" spans="46:46">
      <c r="AT8186"/>
    </row>
    <row r="8187" spans="46:46">
      <c r="AT8187"/>
    </row>
    <row r="8188" spans="46:46">
      <c r="AT8188"/>
    </row>
    <row r="8189" spans="46:46">
      <c r="AT8189"/>
    </row>
    <row r="8190" spans="46:46">
      <c r="AT8190"/>
    </row>
    <row r="8191" spans="46:46">
      <c r="AT8191"/>
    </row>
    <row r="8192" spans="46:46">
      <c r="AT8192"/>
    </row>
    <row r="8193" spans="46:46">
      <c r="AT8193"/>
    </row>
    <row r="8194" spans="46:46">
      <c r="AT8194"/>
    </row>
    <row r="8195" spans="46:46">
      <c r="AT8195"/>
    </row>
    <row r="8196" spans="46:46">
      <c r="AT8196"/>
    </row>
    <row r="8197" spans="46:46">
      <c r="AT8197"/>
    </row>
    <row r="8198" spans="46:46">
      <c r="AT8198"/>
    </row>
    <row r="8199" spans="46:46">
      <c r="AT8199"/>
    </row>
    <row r="8200" spans="46:46">
      <c r="AT8200"/>
    </row>
    <row r="8201" spans="46:46">
      <c r="AT8201"/>
    </row>
    <row r="8202" spans="46:46">
      <c r="AT8202"/>
    </row>
    <row r="8203" spans="46:46">
      <c r="AT8203"/>
    </row>
    <row r="8204" spans="46:46">
      <c r="AT8204"/>
    </row>
    <row r="8205" spans="46:46">
      <c r="AT8205"/>
    </row>
    <row r="8206" spans="46:46">
      <c r="AT8206"/>
    </row>
    <row r="8207" spans="46:46">
      <c r="AT8207"/>
    </row>
    <row r="8208" spans="46:46">
      <c r="AT8208"/>
    </row>
    <row r="8209" spans="46:46">
      <c r="AT8209"/>
    </row>
    <row r="8210" spans="46:46">
      <c r="AT8210"/>
    </row>
    <row r="8211" spans="46:46">
      <c r="AT8211"/>
    </row>
    <row r="8212" spans="46:46">
      <c r="AT8212"/>
    </row>
    <row r="8213" spans="46:46">
      <c r="AT8213"/>
    </row>
    <row r="8214" spans="46:46">
      <c r="AT8214"/>
    </row>
    <row r="8215" spans="46:46">
      <c r="AT8215"/>
    </row>
    <row r="8216" spans="46:46">
      <c r="AT8216"/>
    </row>
    <row r="8217" spans="46:46">
      <c r="AT8217"/>
    </row>
    <row r="8218" spans="46:46">
      <c r="AT8218"/>
    </row>
    <row r="8219" spans="46:46">
      <c r="AT8219"/>
    </row>
    <row r="8220" spans="46:46">
      <c r="AT8220"/>
    </row>
    <row r="8221" spans="46:46">
      <c r="AT8221"/>
    </row>
    <row r="8222" spans="46:46">
      <c r="AT8222"/>
    </row>
    <row r="8223" spans="46:46">
      <c r="AT8223"/>
    </row>
    <row r="8224" spans="46:46">
      <c r="AT8224"/>
    </row>
    <row r="8225" spans="46:46">
      <c r="AT8225"/>
    </row>
    <row r="8226" spans="46:46">
      <c r="AT8226"/>
    </row>
    <row r="8227" spans="46:46">
      <c r="AT8227"/>
    </row>
    <row r="8228" spans="46:46">
      <c r="AT8228"/>
    </row>
    <row r="8229" spans="46:46">
      <c r="AT8229"/>
    </row>
    <row r="8230" spans="46:46">
      <c r="AT8230"/>
    </row>
    <row r="8231" spans="46:46">
      <c r="AT8231"/>
    </row>
    <row r="8232" spans="46:46">
      <c r="AT8232"/>
    </row>
    <row r="8233" spans="46:46">
      <c r="AT8233"/>
    </row>
    <row r="8234" spans="46:46">
      <c r="AT8234"/>
    </row>
    <row r="8235" spans="46:46">
      <c r="AT8235"/>
    </row>
    <row r="8236" spans="46:46">
      <c r="AT8236"/>
    </row>
    <row r="8237" spans="46:46">
      <c r="AT8237"/>
    </row>
    <row r="8238" spans="46:46">
      <c r="AT8238"/>
    </row>
    <row r="8239" spans="46:46">
      <c r="AT8239"/>
    </row>
    <row r="8240" spans="46:46">
      <c r="AT8240"/>
    </row>
    <row r="8241" spans="46:46">
      <c r="AT8241"/>
    </row>
    <row r="8242" spans="46:46">
      <c r="AT8242"/>
    </row>
    <row r="8243" spans="46:46">
      <c r="AT8243"/>
    </row>
    <row r="8244" spans="46:46">
      <c r="AT8244"/>
    </row>
    <row r="8245" spans="46:46">
      <c r="AT8245"/>
    </row>
    <row r="8246" spans="46:46">
      <c r="AT8246"/>
    </row>
    <row r="8247" spans="46:46">
      <c r="AT8247"/>
    </row>
    <row r="8248" spans="46:46">
      <c r="AT8248"/>
    </row>
    <row r="8249" spans="46:46">
      <c r="AT8249"/>
    </row>
    <row r="8250" spans="46:46">
      <c r="AT8250"/>
    </row>
    <row r="8251" spans="46:46">
      <c r="AT8251"/>
    </row>
    <row r="8252" spans="46:46">
      <c r="AT8252"/>
    </row>
    <row r="8253" spans="46:46">
      <c r="AT8253"/>
    </row>
    <row r="8254" spans="46:46">
      <c r="AT8254"/>
    </row>
    <row r="8255" spans="46:46">
      <c r="AT8255"/>
    </row>
    <row r="8256" spans="46:46">
      <c r="AT8256"/>
    </row>
    <row r="8257" spans="46:46">
      <c r="AT8257"/>
    </row>
    <row r="8258" spans="46:46">
      <c r="AT8258"/>
    </row>
    <row r="8259" spans="46:46">
      <c r="AT8259"/>
    </row>
    <row r="8260" spans="46:46">
      <c r="AT8260"/>
    </row>
    <row r="8261" spans="46:46">
      <c r="AT8261"/>
    </row>
    <row r="8262" spans="46:46">
      <c r="AT8262"/>
    </row>
    <row r="8263" spans="46:46">
      <c r="AT8263"/>
    </row>
    <row r="8264" spans="46:46">
      <c r="AT8264"/>
    </row>
    <row r="8265" spans="46:46">
      <c r="AT8265"/>
    </row>
    <row r="8266" spans="46:46">
      <c r="AT8266"/>
    </row>
    <row r="8267" spans="46:46">
      <c r="AT8267"/>
    </row>
    <row r="8268" spans="46:46">
      <c r="AT8268"/>
    </row>
    <row r="8269" spans="46:46">
      <c r="AT8269"/>
    </row>
    <row r="8270" spans="46:46">
      <c r="AT8270"/>
    </row>
    <row r="8271" spans="46:46">
      <c r="AT8271"/>
    </row>
    <row r="8272" spans="46:46">
      <c r="AT8272"/>
    </row>
    <row r="8273" spans="46:46">
      <c r="AT8273"/>
    </row>
    <row r="8274" spans="46:46">
      <c r="AT8274"/>
    </row>
    <row r="8275" spans="46:46">
      <c r="AT8275"/>
    </row>
    <row r="8276" spans="46:46">
      <c r="AT8276"/>
    </row>
    <row r="8277" spans="46:46">
      <c r="AT8277"/>
    </row>
    <row r="8278" spans="46:46">
      <c r="AT8278"/>
    </row>
    <row r="8279" spans="46:46">
      <c r="AT8279"/>
    </row>
    <row r="8280" spans="46:46">
      <c r="AT8280"/>
    </row>
    <row r="8281" spans="46:46">
      <c r="AT8281"/>
    </row>
    <row r="8282" spans="46:46">
      <c r="AT8282"/>
    </row>
    <row r="8283" spans="46:46">
      <c r="AT8283"/>
    </row>
    <row r="8284" spans="46:46">
      <c r="AT8284"/>
    </row>
    <row r="8285" spans="46:46">
      <c r="AT8285"/>
    </row>
    <row r="8286" spans="46:46">
      <c r="AT8286"/>
    </row>
    <row r="8287" spans="46:46">
      <c r="AT8287"/>
    </row>
    <row r="8288" spans="46:46">
      <c r="AT8288"/>
    </row>
    <row r="8289" spans="46:46">
      <c r="AT8289"/>
    </row>
    <row r="8290" spans="46:46">
      <c r="AT8290"/>
    </row>
    <row r="8291" spans="46:46">
      <c r="AT8291"/>
    </row>
    <row r="8292" spans="46:46">
      <c r="AT8292"/>
    </row>
    <row r="8293" spans="46:46">
      <c r="AT8293"/>
    </row>
    <row r="8294" spans="46:46">
      <c r="AT8294"/>
    </row>
    <row r="8295" spans="46:46">
      <c r="AT8295"/>
    </row>
    <row r="8296" spans="46:46">
      <c r="AT8296"/>
    </row>
    <row r="8297" spans="46:46">
      <c r="AT8297"/>
    </row>
    <row r="8298" spans="46:46">
      <c r="AT8298"/>
    </row>
    <row r="8299" spans="46:46">
      <c r="AT8299"/>
    </row>
    <row r="8300" spans="46:46">
      <c r="AT8300"/>
    </row>
    <row r="8301" spans="46:46">
      <c r="AT8301"/>
    </row>
    <row r="8302" spans="46:46">
      <c r="AT8302"/>
    </row>
    <row r="8303" spans="46:46">
      <c r="AT8303"/>
    </row>
    <row r="8304" spans="46:46">
      <c r="AT8304"/>
    </row>
    <row r="8305" spans="46:46">
      <c r="AT8305"/>
    </row>
    <row r="8306" spans="46:46">
      <c r="AT8306"/>
    </row>
    <row r="8307" spans="46:46">
      <c r="AT8307"/>
    </row>
    <row r="8308" spans="46:46">
      <c r="AT8308"/>
    </row>
    <row r="8309" spans="46:46">
      <c r="AT8309"/>
    </row>
    <row r="8310" spans="46:46">
      <c r="AT8310"/>
    </row>
    <row r="8311" spans="46:46">
      <c r="AT8311"/>
    </row>
    <row r="8312" spans="46:46">
      <c r="AT8312"/>
    </row>
    <row r="8313" spans="46:46">
      <c r="AT8313"/>
    </row>
    <row r="8314" spans="46:46">
      <c r="AT8314"/>
    </row>
    <row r="8315" spans="46:46">
      <c r="AT8315"/>
    </row>
    <row r="8316" spans="46:46">
      <c r="AT8316"/>
    </row>
    <row r="8317" spans="46:46">
      <c r="AT8317"/>
    </row>
    <row r="8318" spans="46:46">
      <c r="AT8318"/>
    </row>
    <row r="8319" spans="46:46">
      <c r="AT8319"/>
    </row>
    <row r="8320" spans="46:46">
      <c r="AT8320"/>
    </row>
    <row r="8321" spans="46:46">
      <c r="AT8321"/>
    </row>
    <row r="8322" spans="46:46">
      <c r="AT8322"/>
    </row>
    <row r="8323" spans="46:46">
      <c r="AT8323"/>
    </row>
    <row r="8324" spans="46:46">
      <c r="AT8324"/>
    </row>
    <row r="8325" spans="46:46">
      <c r="AT8325"/>
    </row>
    <row r="8326" spans="46:46">
      <c r="AT8326"/>
    </row>
    <row r="8327" spans="46:46">
      <c r="AT8327"/>
    </row>
    <row r="8328" spans="46:46">
      <c r="AT8328"/>
    </row>
    <row r="8329" spans="46:46">
      <c r="AT8329"/>
    </row>
    <row r="8330" spans="46:46">
      <c r="AT8330"/>
    </row>
    <row r="8331" spans="46:46">
      <c r="AT8331"/>
    </row>
    <row r="8332" spans="46:46">
      <c r="AT8332"/>
    </row>
    <row r="8333" spans="46:46">
      <c r="AT8333"/>
    </row>
    <row r="8334" spans="46:46">
      <c r="AT8334"/>
    </row>
    <row r="8335" spans="46:46">
      <c r="AT8335"/>
    </row>
    <row r="8336" spans="46:46">
      <c r="AT8336"/>
    </row>
    <row r="8337" spans="46:46">
      <c r="AT8337"/>
    </row>
    <row r="8338" spans="46:46">
      <c r="AT8338"/>
    </row>
    <row r="8339" spans="46:46">
      <c r="AT8339"/>
    </row>
    <row r="8340" spans="46:46">
      <c r="AT8340"/>
    </row>
    <row r="8341" spans="46:46">
      <c r="AT8341"/>
    </row>
    <row r="8342" spans="46:46">
      <c r="AT8342"/>
    </row>
    <row r="8343" spans="46:46">
      <c r="AT8343"/>
    </row>
    <row r="8344" spans="46:46">
      <c r="AT8344"/>
    </row>
    <row r="8345" spans="46:46">
      <c r="AT8345"/>
    </row>
    <row r="8346" spans="46:46">
      <c r="AT8346"/>
    </row>
    <row r="8347" spans="46:46">
      <c r="AT8347"/>
    </row>
    <row r="8348" spans="46:46">
      <c r="AT8348"/>
    </row>
    <row r="8349" spans="46:46">
      <c r="AT8349"/>
    </row>
    <row r="8350" spans="46:46">
      <c r="AT8350"/>
    </row>
    <row r="8351" spans="46:46">
      <c r="AT8351"/>
    </row>
    <row r="8352" spans="46:46">
      <c r="AT8352"/>
    </row>
    <row r="8353" spans="46:46">
      <c r="AT8353"/>
    </row>
    <row r="8354" spans="46:46">
      <c r="AT8354"/>
    </row>
    <row r="8355" spans="46:46">
      <c r="AT8355"/>
    </row>
    <row r="8356" spans="46:46">
      <c r="AT8356"/>
    </row>
    <row r="8357" spans="46:46">
      <c r="AT8357"/>
    </row>
    <row r="8358" spans="46:46">
      <c r="AT8358"/>
    </row>
    <row r="8359" spans="46:46">
      <c r="AT8359"/>
    </row>
    <row r="8360" spans="46:46">
      <c r="AT8360"/>
    </row>
    <row r="8361" spans="46:46">
      <c r="AT8361"/>
    </row>
    <row r="8362" spans="46:46">
      <c r="AT8362"/>
    </row>
    <row r="8363" spans="46:46">
      <c r="AT8363"/>
    </row>
    <row r="8364" spans="46:46">
      <c r="AT8364"/>
    </row>
    <row r="8365" spans="46:46">
      <c r="AT8365"/>
    </row>
    <row r="8366" spans="46:46">
      <c r="AT8366"/>
    </row>
    <row r="8367" spans="46:46">
      <c r="AT8367"/>
    </row>
    <row r="8368" spans="46:46">
      <c r="AT8368"/>
    </row>
    <row r="8369" spans="46:46">
      <c r="AT8369"/>
    </row>
    <row r="8370" spans="46:46">
      <c r="AT8370"/>
    </row>
    <row r="8371" spans="46:46">
      <c r="AT8371"/>
    </row>
    <row r="8372" spans="46:46">
      <c r="AT8372"/>
    </row>
    <row r="8373" spans="46:46">
      <c r="AT8373"/>
    </row>
    <row r="8374" spans="46:46">
      <c r="AT8374"/>
    </row>
    <row r="8375" spans="46:46">
      <c r="AT8375"/>
    </row>
    <row r="8376" spans="46:46">
      <c r="AT8376"/>
    </row>
    <row r="8377" spans="46:46">
      <c r="AT8377"/>
    </row>
    <row r="8378" spans="46:46">
      <c r="AT8378"/>
    </row>
    <row r="8379" spans="46:46">
      <c r="AT8379"/>
    </row>
    <row r="8380" spans="46:46">
      <c r="AT8380"/>
    </row>
    <row r="8381" spans="46:46">
      <c r="AT8381"/>
    </row>
    <row r="8382" spans="46:46">
      <c r="AT8382"/>
    </row>
    <row r="8383" spans="46:46">
      <c r="AT8383"/>
    </row>
    <row r="8384" spans="46:46">
      <c r="AT8384"/>
    </row>
    <row r="8385" spans="46:46">
      <c r="AT8385"/>
    </row>
    <row r="8386" spans="46:46">
      <c r="AT8386"/>
    </row>
    <row r="8387" spans="46:46">
      <c r="AT8387"/>
    </row>
    <row r="8388" spans="46:46">
      <c r="AT8388"/>
    </row>
    <row r="8389" spans="46:46">
      <c r="AT8389"/>
    </row>
    <row r="8390" spans="46:46">
      <c r="AT8390"/>
    </row>
    <row r="8391" spans="46:46">
      <c r="AT8391"/>
    </row>
    <row r="8392" spans="46:46">
      <c r="AT8392"/>
    </row>
    <row r="8393" spans="46:46">
      <c r="AT8393"/>
    </row>
    <row r="8394" spans="46:46">
      <c r="AT8394"/>
    </row>
    <row r="8395" spans="46:46">
      <c r="AT8395"/>
    </row>
    <row r="8396" spans="46:46">
      <c r="AT8396"/>
    </row>
    <row r="8397" spans="46:46">
      <c r="AT8397"/>
    </row>
    <row r="8398" spans="46:46">
      <c r="AT8398"/>
    </row>
    <row r="8399" spans="46:46">
      <c r="AT8399"/>
    </row>
    <row r="8400" spans="46:46">
      <c r="AT8400"/>
    </row>
    <row r="8401" spans="46:46">
      <c r="AT8401"/>
    </row>
    <row r="8402" spans="46:46">
      <c r="AT8402"/>
    </row>
    <row r="8403" spans="46:46">
      <c r="AT8403"/>
    </row>
    <row r="8404" spans="46:46">
      <c r="AT8404"/>
    </row>
    <row r="8405" spans="46:46">
      <c r="AT8405"/>
    </row>
    <row r="8406" spans="46:46">
      <c r="AT8406"/>
    </row>
    <row r="8407" spans="46:46">
      <c r="AT8407"/>
    </row>
    <row r="8408" spans="46:46">
      <c r="AT8408"/>
    </row>
    <row r="8409" spans="46:46">
      <c r="AT8409"/>
    </row>
    <row r="8410" spans="46:46">
      <c r="AT8410"/>
    </row>
    <row r="8411" spans="46:46">
      <c r="AT8411"/>
    </row>
    <row r="8412" spans="46:46">
      <c r="AT8412"/>
    </row>
    <row r="8413" spans="46:46">
      <c r="AT8413"/>
    </row>
    <row r="8414" spans="46:46">
      <c r="AT8414"/>
    </row>
    <row r="8415" spans="46:46">
      <c r="AT8415"/>
    </row>
    <row r="8416" spans="46:46">
      <c r="AT8416"/>
    </row>
    <row r="8417" spans="46:46">
      <c r="AT8417"/>
    </row>
    <row r="8418" spans="46:46">
      <c r="AT8418"/>
    </row>
    <row r="8419" spans="46:46">
      <c r="AT8419"/>
    </row>
    <row r="8420" spans="46:46">
      <c r="AT8420"/>
    </row>
    <row r="8421" spans="46:46">
      <c r="AT8421"/>
    </row>
    <row r="8422" spans="46:46">
      <c r="AT8422"/>
    </row>
    <row r="8423" spans="46:46">
      <c r="AT8423"/>
    </row>
    <row r="8424" spans="46:46">
      <c r="AT8424"/>
    </row>
    <row r="8425" spans="46:46">
      <c r="AT8425"/>
    </row>
    <row r="8426" spans="46:46">
      <c r="AT8426"/>
    </row>
    <row r="8427" spans="46:46">
      <c r="AT8427"/>
    </row>
    <row r="8428" spans="46:46">
      <c r="AT8428"/>
    </row>
    <row r="8429" spans="46:46">
      <c r="AT8429"/>
    </row>
    <row r="8430" spans="46:46">
      <c r="AT8430"/>
    </row>
    <row r="8431" spans="46:46">
      <c r="AT8431"/>
    </row>
    <row r="8432" spans="46:46">
      <c r="AT8432"/>
    </row>
    <row r="8433" spans="46:46">
      <c r="AT8433"/>
    </row>
    <row r="8434" spans="46:46">
      <c r="AT8434"/>
    </row>
    <row r="8435" spans="46:46">
      <c r="AT8435"/>
    </row>
    <row r="8436" spans="46:46">
      <c r="AT8436"/>
    </row>
    <row r="8437" spans="46:46">
      <c r="AT8437"/>
    </row>
    <row r="8438" spans="46:46">
      <c r="AT8438"/>
    </row>
    <row r="8439" spans="46:46">
      <c r="AT8439"/>
    </row>
    <row r="8440" spans="46:46">
      <c r="AT8440"/>
    </row>
    <row r="8441" spans="46:46">
      <c r="AT8441"/>
    </row>
    <row r="8442" spans="46:46">
      <c r="AT8442"/>
    </row>
    <row r="8443" spans="46:46">
      <c r="AT8443"/>
    </row>
    <row r="8444" spans="46:46">
      <c r="AT8444"/>
    </row>
    <row r="8445" spans="46:46">
      <c r="AT8445"/>
    </row>
    <row r="8446" spans="46:46">
      <c r="AT8446"/>
    </row>
    <row r="8447" spans="46:46">
      <c r="AT8447"/>
    </row>
    <row r="8448" spans="46:46">
      <c r="AT8448"/>
    </row>
    <row r="8449" spans="46:46">
      <c r="AT8449"/>
    </row>
    <row r="8450" spans="46:46">
      <c r="AT8450"/>
    </row>
    <row r="8451" spans="46:46">
      <c r="AT8451"/>
    </row>
    <row r="8452" spans="46:46">
      <c r="AT8452"/>
    </row>
    <row r="8453" spans="46:46">
      <c r="AT8453"/>
    </row>
    <row r="8454" spans="46:46">
      <c r="AT8454"/>
    </row>
    <row r="8455" spans="46:46">
      <c r="AT8455"/>
    </row>
    <row r="8456" spans="46:46">
      <c r="AT8456"/>
    </row>
    <row r="8457" spans="46:46">
      <c r="AT8457"/>
    </row>
    <row r="8458" spans="46:46">
      <c r="AT8458"/>
    </row>
    <row r="8459" spans="46:46">
      <c r="AT8459"/>
    </row>
    <row r="8460" spans="46:46">
      <c r="AT8460"/>
    </row>
    <row r="8461" spans="46:46">
      <c r="AT8461"/>
    </row>
    <row r="8462" spans="46:46">
      <c r="AT8462"/>
    </row>
    <row r="8463" spans="46:46">
      <c r="AT8463"/>
    </row>
    <row r="8464" spans="46:46">
      <c r="AT8464"/>
    </row>
    <row r="8465" spans="46:46">
      <c r="AT8465"/>
    </row>
    <row r="8466" spans="46:46">
      <c r="AT8466"/>
    </row>
    <row r="8467" spans="46:46">
      <c r="AT8467"/>
    </row>
    <row r="8468" spans="46:46">
      <c r="AT8468"/>
    </row>
    <row r="8469" spans="46:46">
      <c r="AT8469"/>
    </row>
    <row r="8470" spans="46:46">
      <c r="AT8470"/>
    </row>
    <row r="8471" spans="46:46">
      <c r="AT8471"/>
    </row>
    <row r="8472" spans="46:46">
      <c r="AT8472"/>
    </row>
    <row r="8473" spans="46:46">
      <c r="AT8473"/>
    </row>
    <row r="8474" spans="46:46">
      <c r="AT8474"/>
    </row>
    <row r="8475" spans="46:46">
      <c r="AT8475"/>
    </row>
    <row r="8476" spans="46:46">
      <c r="AT8476"/>
    </row>
    <row r="8477" spans="46:46">
      <c r="AT8477"/>
    </row>
    <row r="8478" spans="46:46">
      <c r="AT8478"/>
    </row>
    <row r="8479" spans="46:46">
      <c r="AT8479"/>
    </row>
    <row r="8480" spans="46:46">
      <c r="AT8480"/>
    </row>
    <row r="8481" spans="46:46">
      <c r="AT8481"/>
    </row>
    <row r="8482" spans="46:46">
      <c r="AT8482"/>
    </row>
    <row r="8483" spans="46:46">
      <c r="AT8483"/>
    </row>
    <row r="8484" spans="46:46">
      <c r="AT8484"/>
    </row>
    <row r="8485" spans="46:46">
      <c r="AT8485"/>
    </row>
    <row r="8486" spans="46:46">
      <c r="AT8486"/>
    </row>
    <row r="8487" spans="46:46">
      <c r="AT8487"/>
    </row>
    <row r="8488" spans="46:46">
      <c r="AT8488"/>
    </row>
    <row r="8489" spans="46:46">
      <c r="AT8489"/>
    </row>
    <row r="8490" spans="46:46">
      <c r="AT8490"/>
    </row>
    <row r="8491" spans="46:46">
      <c r="AT8491"/>
    </row>
    <row r="8492" spans="46:46">
      <c r="AT8492"/>
    </row>
    <row r="8493" spans="46:46">
      <c r="AT8493"/>
    </row>
    <row r="8494" spans="46:46">
      <c r="AT8494"/>
    </row>
    <row r="8495" spans="46:46">
      <c r="AT8495"/>
    </row>
    <row r="8496" spans="46:46">
      <c r="AT8496"/>
    </row>
    <row r="8497" spans="46:46">
      <c r="AT8497"/>
    </row>
    <row r="8498" spans="46:46">
      <c r="AT8498"/>
    </row>
    <row r="8499" spans="46:46">
      <c r="AT8499"/>
    </row>
    <row r="8500" spans="46:46">
      <c r="AT8500"/>
    </row>
    <row r="8501" spans="46:46">
      <c r="AT8501"/>
    </row>
    <row r="8502" spans="46:46">
      <c r="AT8502"/>
    </row>
    <row r="8503" spans="46:46">
      <c r="AT8503"/>
    </row>
    <row r="8504" spans="46:46">
      <c r="AT8504"/>
    </row>
    <row r="8505" spans="46:46">
      <c r="AT8505"/>
    </row>
    <row r="8506" spans="46:46">
      <c r="AT8506"/>
    </row>
    <row r="8507" spans="46:46">
      <c r="AT8507"/>
    </row>
    <row r="8508" spans="46:46">
      <c r="AT8508"/>
    </row>
    <row r="8509" spans="46:46">
      <c r="AT8509"/>
    </row>
    <row r="8510" spans="46:46">
      <c r="AT8510"/>
    </row>
    <row r="8511" spans="46:46">
      <c r="AT8511"/>
    </row>
    <row r="8512" spans="46:46">
      <c r="AT8512"/>
    </row>
    <row r="8513" spans="46:46">
      <c r="AT8513"/>
    </row>
    <row r="8514" spans="46:46">
      <c r="AT8514"/>
    </row>
    <row r="8515" spans="46:46">
      <c r="AT8515"/>
    </row>
    <row r="8516" spans="46:46">
      <c r="AT8516"/>
    </row>
    <row r="8517" spans="46:46">
      <c r="AT8517"/>
    </row>
    <row r="8518" spans="46:46">
      <c r="AT8518"/>
    </row>
    <row r="8519" spans="46:46">
      <c r="AT8519"/>
    </row>
    <row r="8520" spans="46:46">
      <c r="AT8520"/>
    </row>
    <row r="8521" spans="46:46">
      <c r="AT8521"/>
    </row>
    <row r="8522" spans="46:46">
      <c r="AT8522"/>
    </row>
    <row r="8523" spans="46:46">
      <c r="AT8523"/>
    </row>
    <row r="8524" spans="46:46">
      <c r="AT8524"/>
    </row>
    <row r="8525" spans="46:46">
      <c r="AT8525"/>
    </row>
    <row r="8526" spans="46:46">
      <c r="AT8526"/>
    </row>
    <row r="8527" spans="46:46">
      <c r="AT8527"/>
    </row>
    <row r="8528" spans="46:46">
      <c r="AT8528"/>
    </row>
    <row r="8529" spans="46:46">
      <c r="AT8529"/>
    </row>
    <row r="8530" spans="46:46">
      <c r="AT8530"/>
    </row>
    <row r="8531" spans="46:46">
      <c r="AT8531"/>
    </row>
    <row r="8532" spans="46:46">
      <c r="AT8532"/>
    </row>
    <row r="8533" spans="46:46">
      <c r="AT8533"/>
    </row>
    <row r="8534" spans="46:46">
      <c r="AT8534"/>
    </row>
    <row r="8535" spans="46:46">
      <c r="AT8535"/>
    </row>
    <row r="8536" spans="46:46">
      <c r="AT8536"/>
    </row>
    <row r="8537" spans="46:46">
      <c r="AT8537"/>
    </row>
    <row r="8538" spans="46:46">
      <c r="AT8538"/>
    </row>
    <row r="8539" spans="46:46">
      <c r="AT8539"/>
    </row>
    <row r="8540" spans="46:46">
      <c r="AT8540"/>
    </row>
    <row r="8541" spans="46:46">
      <c r="AT8541"/>
    </row>
    <row r="8542" spans="46:46">
      <c r="AT8542"/>
    </row>
    <row r="8543" spans="46:46">
      <c r="AT8543"/>
    </row>
    <row r="8544" spans="46:46">
      <c r="AT8544"/>
    </row>
    <row r="8545" spans="46:46">
      <c r="AT8545"/>
    </row>
    <row r="8546" spans="46:46">
      <c r="AT8546"/>
    </row>
    <row r="8547" spans="46:46">
      <c r="AT8547"/>
    </row>
    <row r="8548" spans="46:46">
      <c r="AT8548"/>
    </row>
    <row r="8549" spans="46:46">
      <c r="AT8549"/>
    </row>
    <row r="8550" spans="46:46">
      <c r="AT8550"/>
    </row>
    <row r="8551" spans="46:46">
      <c r="AT8551"/>
    </row>
    <row r="8552" spans="46:46">
      <c r="AT8552"/>
    </row>
    <row r="8553" spans="46:46">
      <c r="AT8553"/>
    </row>
    <row r="8554" spans="46:46">
      <c r="AT8554"/>
    </row>
    <row r="8555" spans="46:46">
      <c r="AT8555"/>
    </row>
    <row r="8556" spans="46:46">
      <c r="AT8556"/>
    </row>
    <row r="8557" spans="46:46">
      <c r="AT8557"/>
    </row>
    <row r="8558" spans="46:46">
      <c r="AT8558"/>
    </row>
    <row r="8559" spans="46:46">
      <c r="AT8559"/>
    </row>
    <row r="8560" spans="46:46">
      <c r="AT8560"/>
    </row>
    <row r="8561" spans="46:46">
      <c r="AT8561"/>
    </row>
    <row r="8562" spans="46:46">
      <c r="AT8562"/>
    </row>
    <row r="8563" spans="46:46">
      <c r="AT8563"/>
    </row>
    <row r="8564" spans="46:46">
      <c r="AT8564"/>
    </row>
    <row r="8565" spans="46:46">
      <c r="AT8565"/>
    </row>
    <row r="8566" spans="46:46">
      <c r="AT8566"/>
    </row>
    <row r="8567" spans="46:46">
      <c r="AT8567"/>
    </row>
    <row r="8568" spans="46:46">
      <c r="AT8568"/>
    </row>
    <row r="8569" spans="46:46">
      <c r="AT8569"/>
    </row>
    <row r="8570" spans="46:46">
      <c r="AT8570"/>
    </row>
    <row r="8571" spans="46:46">
      <c r="AT8571"/>
    </row>
    <row r="8572" spans="46:46">
      <c r="AT8572"/>
    </row>
    <row r="8573" spans="46:46">
      <c r="AT8573"/>
    </row>
    <row r="8574" spans="46:46">
      <c r="AT8574"/>
    </row>
    <row r="8575" spans="46:46">
      <c r="AT8575"/>
    </row>
    <row r="8576" spans="46:46">
      <c r="AT8576"/>
    </row>
    <row r="8577" spans="46:46">
      <c r="AT8577"/>
    </row>
    <row r="8578" spans="46:46">
      <c r="AT8578"/>
    </row>
    <row r="8579" spans="46:46">
      <c r="AT8579"/>
    </row>
    <row r="8580" spans="46:46">
      <c r="AT8580"/>
    </row>
    <row r="8581" spans="46:46">
      <c r="AT8581"/>
    </row>
    <row r="8582" spans="46:46">
      <c r="AT8582"/>
    </row>
    <row r="8583" spans="46:46">
      <c r="AT8583"/>
    </row>
    <row r="8584" spans="46:46">
      <c r="AT8584"/>
    </row>
    <row r="8585" spans="46:46">
      <c r="AT8585"/>
    </row>
    <row r="8586" spans="46:46">
      <c r="AT8586"/>
    </row>
    <row r="8587" spans="46:46">
      <c r="AT8587"/>
    </row>
    <row r="8588" spans="46:46">
      <c r="AT8588"/>
    </row>
    <row r="8589" spans="46:46">
      <c r="AT8589"/>
    </row>
    <row r="8590" spans="46:46">
      <c r="AT8590"/>
    </row>
    <row r="8591" spans="46:46">
      <c r="AT8591"/>
    </row>
    <row r="8592" spans="46:46">
      <c r="AT8592"/>
    </row>
    <row r="8593" spans="46:46">
      <c r="AT8593"/>
    </row>
    <row r="8594" spans="46:46">
      <c r="AT8594"/>
    </row>
    <row r="8595" spans="46:46">
      <c r="AT8595"/>
    </row>
    <row r="8596" spans="46:46">
      <c r="AT8596"/>
    </row>
    <row r="8597" spans="46:46">
      <c r="AT8597"/>
    </row>
    <row r="8598" spans="46:46">
      <c r="AT8598"/>
    </row>
    <row r="8599" spans="46:46">
      <c r="AT8599"/>
    </row>
    <row r="8600" spans="46:46">
      <c r="AT8600"/>
    </row>
    <row r="8601" spans="46:46">
      <c r="AT8601"/>
    </row>
    <row r="8602" spans="46:46">
      <c r="AT8602"/>
    </row>
    <row r="8603" spans="46:46">
      <c r="AT8603"/>
    </row>
    <row r="8604" spans="46:46">
      <c r="AT8604"/>
    </row>
    <row r="8605" spans="46:46">
      <c r="AT8605"/>
    </row>
    <row r="8606" spans="46:46">
      <c r="AT8606"/>
    </row>
    <row r="8607" spans="46:46">
      <c r="AT8607"/>
    </row>
    <row r="8608" spans="46:46">
      <c r="AT8608"/>
    </row>
    <row r="8609" spans="46:46">
      <c r="AT8609"/>
    </row>
    <row r="8610" spans="46:46">
      <c r="AT8610"/>
    </row>
    <row r="8611" spans="46:46">
      <c r="AT8611"/>
    </row>
    <row r="8612" spans="46:46">
      <c r="AT8612"/>
    </row>
    <row r="8613" spans="46:46">
      <c r="AT8613"/>
    </row>
    <row r="8614" spans="46:46">
      <c r="AT8614"/>
    </row>
    <row r="8615" spans="46:46">
      <c r="AT8615"/>
    </row>
    <row r="8616" spans="46:46">
      <c r="AT8616"/>
    </row>
    <row r="8617" spans="46:46">
      <c r="AT8617"/>
    </row>
    <row r="8618" spans="46:46">
      <c r="AT8618"/>
    </row>
    <row r="8619" spans="46:46">
      <c r="AT8619"/>
    </row>
    <row r="8620" spans="46:46">
      <c r="AT8620"/>
    </row>
    <row r="8621" spans="46:46">
      <c r="AT8621"/>
    </row>
    <row r="8622" spans="46:46">
      <c r="AT8622"/>
    </row>
    <row r="8623" spans="46:46">
      <c r="AT8623"/>
    </row>
    <row r="8624" spans="46:46">
      <c r="AT8624"/>
    </row>
    <row r="8625" spans="46:46">
      <c r="AT8625"/>
    </row>
    <row r="8626" spans="46:46">
      <c r="AT8626"/>
    </row>
    <row r="8627" spans="46:46">
      <c r="AT8627"/>
    </row>
    <row r="8628" spans="46:46">
      <c r="AT8628"/>
    </row>
    <row r="8629" spans="46:46">
      <c r="AT8629"/>
    </row>
    <row r="8630" spans="46:46">
      <c r="AT8630"/>
    </row>
    <row r="8631" spans="46:46">
      <c r="AT8631"/>
    </row>
    <row r="8632" spans="46:46">
      <c r="AT8632"/>
    </row>
    <row r="8633" spans="46:46">
      <c r="AT8633"/>
    </row>
    <row r="8634" spans="46:46">
      <c r="AT8634"/>
    </row>
    <row r="8635" spans="46:46">
      <c r="AT8635"/>
    </row>
    <row r="8636" spans="46:46">
      <c r="AT8636"/>
    </row>
    <row r="8637" spans="46:46">
      <c r="AT8637"/>
    </row>
    <row r="8638" spans="46:46">
      <c r="AT8638"/>
    </row>
    <row r="8639" spans="46:46">
      <c r="AT8639"/>
    </row>
    <row r="8640" spans="46:46">
      <c r="AT8640"/>
    </row>
    <row r="8641" spans="46:46">
      <c r="AT8641"/>
    </row>
    <row r="8642" spans="46:46">
      <c r="AT8642"/>
    </row>
    <row r="8643" spans="46:46">
      <c r="AT8643"/>
    </row>
    <row r="8644" spans="46:46">
      <c r="AT8644"/>
    </row>
    <row r="8645" spans="46:46">
      <c r="AT8645"/>
    </row>
    <row r="8646" spans="46:46">
      <c r="AT8646"/>
    </row>
    <row r="8647" spans="46:46">
      <c r="AT8647"/>
    </row>
    <row r="8648" spans="46:46">
      <c r="AT8648"/>
    </row>
    <row r="8649" spans="46:46">
      <c r="AT8649"/>
    </row>
    <row r="8650" spans="46:46">
      <c r="AT8650"/>
    </row>
    <row r="8651" spans="46:46">
      <c r="AT8651"/>
    </row>
    <row r="8652" spans="46:46">
      <c r="AT8652"/>
    </row>
    <row r="8653" spans="46:46">
      <c r="AT8653"/>
    </row>
    <row r="8654" spans="46:46">
      <c r="AT8654"/>
    </row>
    <row r="8655" spans="46:46">
      <c r="AT8655"/>
    </row>
    <row r="8656" spans="46:46">
      <c r="AT8656"/>
    </row>
    <row r="8657" spans="46:46">
      <c r="AT8657"/>
    </row>
    <row r="8658" spans="46:46">
      <c r="AT8658"/>
    </row>
    <row r="8659" spans="46:46">
      <c r="AT8659"/>
    </row>
    <row r="8660" spans="46:46">
      <c r="AT8660"/>
    </row>
    <row r="8661" spans="46:46">
      <c r="AT8661"/>
    </row>
    <row r="8662" spans="46:46">
      <c r="AT8662"/>
    </row>
    <row r="8663" spans="46:46">
      <c r="AT8663"/>
    </row>
    <row r="8664" spans="46:46">
      <c r="AT8664"/>
    </row>
    <row r="8665" spans="46:46">
      <c r="AT8665"/>
    </row>
    <row r="8666" spans="46:46">
      <c r="AT8666"/>
    </row>
    <row r="8667" spans="46:46">
      <c r="AT8667"/>
    </row>
    <row r="8668" spans="46:46">
      <c r="AT8668"/>
    </row>
    <row r="8669" spans="46:46">
      <c r="AT8669"/>
    </row>
    <row r="8670" spans="46:46">
      <c r="AT8670"/>
    </row>
    <row r="8671" spans="46:46">
      <c r="AT8671"/>
    </row>
    <row r="8672" spans="46:46">
      <c r="AT8672"/>
    </row>
    <row r="8673" spans="46:46">
      <c r="AT8673"/>
    </row>
    <row r="8674" spans="46:46">
      <c r="AT8674"/>
    </row>
    <row r="8675" spans="46:46">
      <c r="AT8675"/>
    </row>
    <row r="8676" spans="46:46">
      <c r="AT8676"/>
    </row>
    <row r="8677" spans="46:46">
      <c r="AT8677"/>
    </row>
    <row r="8678" spans="46:46">
      <c r="AT8678"/>
    </row>
    <row r="8679" spans="46:46">
      <c r="AT8679"/>
    </row>
    <row r="8680" spans="46:46">
      <c r="AT8680"/>
    </row>
    <row r="8681" spans="46:46">
      <c r="AT8681"/>
    </row>
    <row r="8682" spans="46:46">
      <c r="AT8682"/>
    </row>
    <row r="8683" spans="46:46">
      <c r="AT8683"/>
    </row>
    <row r="8684" spans="46:46">
      <c r="AT8684"/>
    </row>
    <row r="8685" spans="46:46">
      <c r="AT8685"/>
    </row>
    <row r="8686" spans="46:46">
      <c r="AT8686"/>
    </row>
    <row r="8687" spans="46:46">
      <c r="AT8687"/>
    </row>
    <row r="8688" spans="46:46">
      <c r="AT8688"/>
    </row>
    <row r="8689" spans="46:46">
      <c r="AT8689"/>
    </row>
    <row r="8690" spans="46:46">
      <c r="AT8690"/>
    </row>
    <row r="8691" spans="46:46">
      <c r="AT8691"/>
    </row>
    <row r="8692" spans="46:46">
      <c r="AT8692"/>
    </row>
    <row r="8693" spans="46:46">
      <c r="AT8693"/>
    </row>
    <row r="8694" spans="46:46">
      <c r="AT8694"/>
    </row>
    <row r="8695" spans="46:46">
      <c r="AT8695"/>
    </row>
    <row r="8696" spans="46:46">
      <c r="AT8696"/>
    </row>
    <row r="8697" spans="46:46">
      <c r="AT8697"/>
    </row>
    <row r="8698" spans="46:46">
      <c r="AT8698"/>
    </row>
    <row r="8699" spans="46:46">
      <c r="AT8699"/>
    </row>
    <row r="8700" spans="46:46">
      <c r="AT8700"/>
    </row>
    <row r="8701" spans="46:46">
      <c r="AT8701"/>
    </row>
    <row r="8702" spans="46:46">
      <c r="AT8702"/>
    </row>
    <row r="8703" spans="46:46">
      <c r="AT8703"/>
    </row>
    <row r="8704" spans="46:46">
      <c r="AT8704"/>
    </row>
    <row r="8705" spans="46:46">
      <c r="AT8705"/>
    </row>
    <row r="8706" spans="46:46">
      <c r="AT8706"/>
    </row>
    <row r="8707" spans="46:46">
      <c r="AT8707"/>
    </row>
    <row r="8708" spans="46:46">
      <c r="AT8708"/>
    </row>
    <row r="8709" spans="46:46">
      <c r="AT8709"/>
    </row>
    <row r="8710" spans="46:46">
      <c r="AT8710"/>
    </row>
    <row r="8711" spans="46:46">
      <c r="AT8711"/>
    </row>
    <row r="8712" spans="46:46">
      <c r="AT8712"/>
    </row>
    <row r="8713" spans="46:46">
      <c r="AT8713"/>
    </row>
    <row r="8714" spans="46:46">
      <c r="AT8714"/>
    </row>
    <row r="8715" spans="46:46">
      <c r="AT8715"/>
    </row>
    <row r="8716" spans="46:46">
      <c r="AT8716"/>
    </row>
    <row r="8717" spans="46:46">
      <c r="AT8717"/>
    </row>
    <row r="8718" spans="46:46">
      <c r="AT8718"/>
    </row>
    <row r="8719" spans="46:46">
      <c r="AT8719"/>
    </row>
    <row r="8720" spans="46:46">
      <c r="AT8720"/>
    </row>
    <row r="8721" spans="46:46">
      <c r="AT8721"/>
    </row>
    <row r="8722" spans="46:46">
      <c r="AT8722"/>
    </row>
    <row r="8723" spans="46:46">
      <c r="AT8723"/>
    </row>
    <row r="8724" spans="46:46">
      <c r="AT8724"/>
    </row>
    <row r="8725" spans="46:46">
      <c r="AT8725"/>
    </row>
    <row r="8726" spans="46:46">
      <c r="AT8726"/>
    </row>
    <row r="8727" spans="46:46">
      <c r="AT8727"/>
    </row>
    <row r="8728" spans="46:46">
      <c r="AT8728"/>
    </row>
    <row r="8729" spans="46:46">
      <c r="AT8729"/>
    </row>
    <row r="8730" spans="46:46">
      <c r="AT8730"/>
    </row>
    <row r="8731" spans="46:46">
      <c r="AT8731"/>
    </row>
    <row r="8732" spans="46:46">
      <c r="AT8732"/>
    </row>
    <row r="8733" spans="46:46">
      <c r="AT8733"/>
    </row>
    <row r="8734" spans="46:46">
      <c r="AT8734"/>
    </row>
    <row r="8735" spans="46:46">
      <c r="AT8735"/>
    </row>
    <row r="8736" spans="46:46">
      <c r="AT8736"/>
    </row>
    <row r="8737" spans="46:46">
      <c r="AT8737"/>
    </row>
    <row r="8738" spans="46:46">
      <c r="AT8738"/>
    </row>
    <row r="8739" spans="46:46">
      <c r="AT8739"/>
    </row>
    <row r="8740" spans="46:46">
      <c r="AT8740"/>
    </row>
    <row r="8741" spans="46:46">
      <c r="AT8741"/>
    </row>
    <row r="8742" spans="46:46">
      <c r="AT8742"/>
    </row>
    <row r="8743" spans="46:46">
      <c r="AT8743"/>
    </row>
    <row r="8744" spans="46:46">
      <c r="AT8744"/>
    </row>
    <row r="8745" spans="46:46">
      <c r="AT8745"/>
    </row>
    <row r="8746" spans="46:46">
      <c r="AT8746"/>
    </row>
    <row r="8747" spans="46:46">
      <c r="AT8747"/>
    </row>
    <row r="8748" spans="46:46">
      <c r="AT8748"/>
    </row>
    <row r="8749" spans="46:46">
      <c r="AT8749"/>
    </row>
    <row r="8750" spans="46:46">
      <c r="AT8750"/>
    </row>
    <row r="8751" spans="46:46">
      <c r="AT8751"/>
    </row>
    <row r="8752" spans="46:46">
      <c r="AT8752"/>
    </row>
    <row r="8753" spans="46:46">
      <c r="AT8753"/>
    </row>
    <row r="8754" spans="46:46">
      <c r="AT8754"/>
    </row>
    <row r="8755" spans="46:46">
      <c r="AT8755"/>
    </row>
    <row r="8756" spans="46:46">
      <c r="AT8756"/>
    </row>
    <row r="8757" spans="46:46">
      <c r="AT8757"/>
    </row>
    <row r="8758" spans="46:46">
      <c r="AT8758"/>
    </row>
    <row r="8759" spans="46:46">
      <c r="AT8759"/>
    </row>
    <row r="8760" spans="46:46">
      <c r="AT8760"/>
    </row>
    <row r="8761" spans="46:46">
      <c r="AT8761"/>
    </row>
    <row r="8762" spans="46:46">
      <c r="AT8762"/>
    </row>
    <row r="8763" spans="46:46">
      <c r="AT8763"/>
    </row>
    <row r="8764" spans="46:46">
      <c r="AT8764"/>
    </row>
    <row r="8765" spans="46:46">
      <c r="AT8765"/>
    </row>
    <row r="8766" spans="46:46">
      <c r="AT8766"/>
    </row>
    <row r="8767" spans="46:46">
      <c r="AT8767"/>
    </row>
    <row r="8768" spans="46:46">
      <c r="AT8768"/>
    </row>
    <row r="8769" spans="46:46">
      <c r="AT8769"/>
    </row>
    <row r="8770" spans="46:46">
      <c r="AT8770"/>
    </row>
    <row r="8771" spans="46:46">
      <c r="AT8771"/>
    </row>
    <row r="8772" spans="46:46">
      <c r="AT8772"/>
    </row>
    <row r="8773" spans="46:46">
      <c r="AT8773"/>
    </row>
    <row r="8774" spans="46:46">
      <c r="AT8774"/>
    </row>
    <row r="8775" spans="46:46">
      <c r="AT8775"/>
    </row>
    <row r="8776" spans="46:46">
      <c r="AT8776"/>
    </row>
    <row r="8777" spans="46:46">
      <c r="AT8777"/>
    </row>
    <row r="8778" spans="46:46">
      <c r="AT8778"/>
    </row>
    <row r="8779" spans="46:46">
      <c r="AT8779"/>
    </row>
    <row r="8780" spans="46:46">
      <c r="AT8780"/>
    </row>
    <row r="8781" spans="46:46">
      <c r="AT8781"/>
    </row>
    <row r="8782" spans="46:46">
      <c r="AT8782"/>
    </row>
    <row r="8783" spans="46:46">
      <c r="AT8783"/>
    </row>
    <row r="8784" spans="46:46">
      <c r="AT8784"/>
    </row>
    <row r="8785" spans="46:46">
      <c r="AT8785"/>
    </row>
    <row r="8786" spans="46:46">
      <c r="AT8786"/>
    </row>
    <row r="8787" spans="46:46">
      <c r="AT8787"/>
    </row>
    <row r="8788" spans="46:46">
      <c r="AT8788"/>
    </row>
    <row r="8789" spans="46:46">
      <c r="AT8789"/>
    </row>
    <row r="8790" spans="46:46">
      <c r="AT8790"/>
    </row>
    <row r="8791" spans="46:46">
      <c r="AT8791"/>
    </row>
    <row r="8792" spans="46:46">
      <c r="AT8792"/>
    </row>
    <row r="8793" spans="46:46">
      <c r="AT8793"/>
    </row>
    <row r="8794" spans="46:46">
      <c r="AT8794"/>
    </row>
    <row r="8795" spans="46:46">
      <c r="AT8795"/>
    </row>
    <row r="8796" spans="46:46">
      <c r="AT8796"/>
    </row>
    <row r="8797" spans="46:46">
      <c r="AT8797"/>
    </row>
    <row r="8798" spans="46:46">
      <c r="AT8798"/>
    </row>
    <row r="8799" spans="46:46">
      <c r="AT8799"/>
    </row>
    <row r="8800" spans="46:46">
      <c r="AT8800"/>
    </row>
    <row r="8801" spans="46:46">
      <c r="AT8801"/>
    </row>
    <row r="8802" spans="46:46">
      <c r="AT8802"/>
    </row>
    <row r="8803" spans="46:46">
      <c r="AT8803"/>
    </row>
    <row r="8804" spans="46:46">
      <c r="AT8804"/>
    </row>
    <row r="8805" spans="46:46">
      <c r="AT8805"/>
    </row>
    <row r="8806" spans="46:46">
      <c r="AT8806"/>
    </row>
    <row r="8807" spans="46:46">
      <c r="AT8807"/>
    </row>
    <row r="8808" spans="46:46">
      <c r="AT8808"/>
    </row>
    <row r="8809" spans="46:46">
      <c r="AT8809"/>
    </row>
    <row r="8810" spans="46:46">
      <c r="AT8810"/>
    </row>
    <row r="8811" spans="46:46">
      <c r="AT8811"/>
    </row>
    <row r="8812" spans="46:46">
      <c r="AT8812"/>
    </row>
    <row r="8813" spans="46:46">
      <c r="AT8813"/>
    </row>
    <row r="8814" spans="46:46">
      <c r="AT8814"/>
    </row>
    <row r="8815" spans="46:46">
      <c r="AT8815"/>
    </row>
    <row r="8816" spans="46:46">
      <c r="AT8816"/>
    </row>
    <row r="8817" spans="46:46">
      <c r="AT8817"/>
    </row>
    <row r="8818" spans="46:46">
      <c r="AT8818"/>
    </row>
    <row r="8819" spans="46:46">
      <c r="AT8819"/>
    </row>
    <row r="8820" spans="46:46">
      <c r="AT8820"/>
    </row>
    <row r="8821" spans="46:46">
      <c r="AT8821"/>
    </row>
    <row r="8822" spans="46:46">
      <c r="AT8822"/>
    </row>
    <row r="8823" spans="46:46">
      <c r="AT8823"/>
    </row>
    <row r="8824" spans="46:46">
      <c r="AT8824"/>
    </row>
    <row r="8825" spans="46:46">
      <c r="AT8825"/>
    </row>
    <row r="8826" spans="46:46">
      <c r="AT8826"/>
    </row>
    <row r="8827" spans="46:46">
      <c r="AT8827"/>
    </row>
    <row r="8828" spans="46:46">
      <c r="AT8828"/>
    </row>
    <row r="8829" spans="46:46">
      <c r="AT8829"/>
    </row>
    <row r="8830" spans="46:46">
      <c r="AT8830"/>
    </row>
    <row r="8831" spans="46:46">
      <c r="AT8831"/>
    </row>
    <row r="8832" spans="46:46">
      <c r="AT8832"/>
    </row>
    <row r="8833" spans="46:46">
      <c r="AT8833"/>
    </row>
    <row r="8834" spans="46:46">
      <c r="AT8834"/>
    </row>
    <row r="8835" spans="46:46">
      <c r="AT8835"/>
    </row>
    <row r="8836" spans="46:46">
      <c r="AT8836"/>
    </row>
    <row r="8837" spans="46:46">
      <c r="AT8837"/>
    </row>
    <row r="8838" spans="46:46">
      <c r="AT8838"/>
    </row>
    <row r="8839" spans="46:46">
      <c r="AT8839"/>
    </row>
    <row r="8840" spans="46:46">
      <c r="AT8840"/>
    </row>
    <row r="8841" spans="46:46">
      <c r="AT8841"/>
    </row>
    <row r="8842" spans="46:46">
      <c r="AT8842"/>
    </row>
    <row r="8843" spans="46:46">
      <c r="AT8843"/>
    </row>
    <row r="8844" spans="46:46">
      <c r="AT8844"/>
    </row>
    <row r="8845" spans="46:46">
      <c r="AT8845"/>
    </row>
    <row r="8846" spans="46:46">
      <c r="AT8846"/>
    </row>
    <row r="8847" spans="46:46">
      <c r="AT8847"/>
    </row>
    <row r="8848" spans="46:46">
      <c r="AT8848"/>
    </row>
    <row r="8849" spans="46:46">
      <c r="AT8849"/>
    </row>
    <row r="8850" spans="46:46">
      <c r="AT8850"/>
    </row>
    <row r="8851" spans="46:46">
      <c r="AT8851"/>
    </row>
    <row r="8852" spans="46:46">
      <c r="AT8852"/>
    </row>
    <row r="8853" spans="46:46">
      <c r="AT8853"/>
    </row>
    <row r="8854" spans="46:46">
      <c r="AT8854"/>
    </row>
    <row r="8855" spans="46:46">
      <c r="AT8855"/>
    </row>
    <row r="8856" spans="46:46">
      <c r="AT8856"/>
    </row>
    <row r="8857" spans="46:46">
      <c r="AT8857"/>
    </row>
    <row r="8858" spans="46:46">
      <c r="AT8858"/>
    </row>
    <row r="8859" spans="46:46">
      <c r="AT8859"/>
    </row>
    <row r="8860" spans="46:46">
      <c r="AT8860"/>
    </row>
    <row r="8861" spans="46:46">
      <c r="AT8861"/>
    </row>
    <row r="8862" spans="46:46">
      <c r="AT8862"/>
    </row>
    <row r="8863" spans="46:46">
      <c r="AT8863"/>
    </row>
    <row r="8864" spans="46:46">
      <c r="AT8864"/>
    </row>
    <row r="8865" spans="46:46">
      <c r="AT8865"/>
    </row>
    <row r="8866" spans="46:46">
      <c r="AT8866"/>
    </row>
    <row r="8867" spans="46:46">
      <c r="AT8867"/>
    </row>
    <row r="8868" spans="46:46">
      <c r="AT8868"/>
    </row>
    <row r="8869" spans="46:46">
      <c r="AT8869"/>
    </row>
    <row r="8870" spans="46:46">
      <c r="AT8870"/>
    </row>
    <row r="8871" spans="46:46">
      <c r="AT8871"/>
    </row>
    <row r="8872" spans="46:46">
      <c r="AT8872"/>
    </row>
    <row r="8873" spans="46:46">
      <c r="AT8873"/>
    </row>
    <row r="8874" spans="46:46">
      <c r="AT8874"/>
    </row>
    <row r="8875" spans="46:46">
      <c r="AT8875"/>
    </row>
    <row r="8876" spans="46:46">
      <c r="AT8876"/>
    </row>
    <row r="8877" spans="46:46">
      <c r="AT8877"/>
    </row>
    <row r="8878" spans="46:46">
      <c r="AT8878"/>
    </row>
    <row r="8879" spans="46:46">
      <c r="AT8879"/>
    </row>
    <row r="8880" spans="46:46">
      <c r="AT8880"/>
    </row>
    <row r="8881" spans="46:46">
      <c r="AT8881"/>
    </row>
    <row r="8882" spans="46:46">
      <c r="AT8882"/>
    </row>
    <row r="8883" spans="46:46">
      <c r="AT8883"/>
    </row>
    <row r="8884" spans="46:46">
      <c r="AT8884"/>
    </row>
    <row r="8885" spans="46:46">
      <c r="AT8885"/>
    </row>
    <row r="8886" spans="46:46">
      <c r="AT8886"/>
    </row>
    <row r="8887" spans="46:46">
      <c r="AT8887"/>
    </row>
    <row r="8888" spans="46:46">
      <c r="AT8888"/>
    </row>
    <row r="8889" spans="46:46">
      <c r="AT8889"/>
    </row>
    <row r="8890" spans="46:46">
      <c r="AT8890"/>
    </row>
    <row r="8891" spans="46:46">
      <c r="AT8891"/>
    </row>
    <row r="8892" spans="46:46">
      <c r="AT8892"/>
    </row>
    <row r="8893" spans="46:46">
      <c r="AT8893"/>
    </row>
    <row r="8894" spans="46:46">
      <c r="AT8894"/>
    </row>
    <row r="8895" spans="46:46">
      <c r="AT8895"/>
    </row>
    <row r="8896" spans="46:46">
      <c r="AT8896"/>
    </row>
    <row r="8897" spans="46:46">
      <c r="AT8897"/>
    </row>
    <row r="8898" spans="46:46">
      <c r="AT8898"/>
    </row>
    <row r="8899" spans="46:46">
      <c r="AT8899"/>
    </row>
    <row r="8900" spans="46:46">
      <c r="AT8900"/>
    </row>
    <row r="8901" spans="46:46">
      <c r="AT8901"/>
    </row>
    <row r="8902" spans="46:46">
      <c r="AT8902"/>
    </row>
    <row r="8903" spans="46:46">
      <c r="AT8903"/>
    </row>
    <row r="8904" spans="46:46">
      <c r="AT8904"/>
    </row>
    <row r="8905" spans="46:46">
      <c r="AT8905"/>
    </row>
    <row r="8906" spans="46:46">
      <c r="AT8906"/>
    </row>
    <row r="8907" spans="46:46">
      <c r="AT8907"/>
    </row>
    <row r="8908" spans="46:46">
      <c r="AT8908"/>
    </row>
    <row r="8909" spans="46:46">
      <c r="AT8909"/>
    </row>
    <row r="8910" spans="46:46">
      <c r="AT8910"/>
    </row>
    <row r="8911" spans="46:46">
      <c r="AT8911"/>
    </row>
    <row r="8912" spans="46:46">
      <c r="AT8912"/>
    </row>
    <row r="8913" spans="46:46">
      <c r="AT8913"/>
    </row>
    <row r="8914" spans="46:46">
      <c r="AT8914"/>
    </row>
    <row r="8915" spans="46:46">
      <c r="AT8915"/>
    </row>
    <row r="8916" spans="46:46">
      <c r="AT8916"/>
    </row>
    <row r="8917" spans="46:46">
      <c r="AT8917"/>
    </row>
    <row r="8918" spans="46:46">
      <c r="AT8918"/>
    </row>
    <row r="8919" spans="46:46">
      <c r="AT8919"/>
    </row>
    <row r="8920" spans="46:46">
      <c r="AT8920"/>
    </row>
    <row r="8921" spans="46:46">
      <c r="AT8921"/>
    </row>
    <row r="8922" spans="46:46">
      <c r="AT8922"/>
    </row>
    <row r="8923" spans="46:46">
      <c r="AT8923"/>
    </row>
    <row r="8924" spans="46:46">
      <c r="AT8924"/>
    </row>
    <row r="8925" spans="46:46">
      <c r="AT8925"/>
    </row>
    <row r="8926" spans="46:46">
      <c r="AT8926"/>
    </row>
    <row r="8927" spans="46:46">
      <c r="AT8927"/>
    </row>
    <row r="8928" spans="46:46">
      <c r="AT8928"/>
    </row>
    <row r="8929" spans="46:46">
      <c r="AT8929"/>
    </row>
    <row r="8930" spans="46:46">
      <c r="AT8930"/>
    </row>
    <row r="8931" spans="46:46">
      <c r="AT8931"/>
    </row>
    <row r="8932" spans="46:46">
      <c r="AT8932"/>
    </row>
    <row r="8933" spans="46:46">
      <c r="AT8933"/>
    </row>
    <row r="8934" spans="46:46">
      <c r="AT8934"/>
    </row>
    <row r="8935" spans="46:46">
      <c r="AT8935"/>
    </row>
    <row r="8936" spans="46:46">
      <c r="AT8936"/>
    </row>
    <row r="8937" spans="46:46">
      <c r="AT8937"/>
    </row>
    <row r="8938" spans="46:46">
      <c r="AT8938"/>
    </row>
    <row r="8939" spans="46:46">
      <c r="AT8939"/>
    </row>
    <row r="8940" spans="46:46">
      <c r="AT8940"/>
    </row>
    <row r="8941" spans="46:46">
      <c r="AT8941"/>
    </row>
    <row r="8942" spans="46:46">
      <c r="AT8942"/>
    </row>
    <row r="8943" spans="46:46">
      <c r="AT8943"/>
    </row>
    <row r="8944" spans="46:46">
      <c r="AT8944"/>
    </row>
    <row r="8945" spans="46:46">
      <c r="AT8945"/>
    </row>
    <row r="8946" spans="46:46">
      <c r="AT8946"/>
    </row>
    <row r="8947" spans="46:46">
      <c r="AT8947"/>
    </row>
    <row r="8948" spans="46:46">
      <c r="AT8948"/>
    </row>
    <row r="8949" spans="46:46">
      <c r="AT8949"/>
    </row>
    <row r="8950" spans="46:46">
      <c r="AT8950"/>
    </row>
    <row r="8951" spans="46:46">
      <c r="AT8951"/>
    </row>
    <row r="8952" spans="46:46">
      <c r="AT8952"/>
    </row>
    <row r="8953" spans="46:46">
      <c r="AT8953"/>
    </row>
    <row r="8954" spans="46:46">
      <c r="AT8954"/>
    </row>
    <row r="8955" spans="46:46">
      <c r="AT8955"/>
    </row>
    <row r="8956" spans="46:46">
      <c r="AT8956"/>
    </row>
    <row r="8957" spans="46:46">
      <c r="AT8957"/>
    </row>
    <row r="8958" spans="46:46">
      <c r="AT8958"/>
    </row>
    <row r="8959" spans="46:46">
      <c r="AT8959"/>
    </row>
    <row r="8960" spans="46:46">
      <c r="AT8960"/>
    </row>
    <row r="8961" spans="46:46">
      <c r="AT8961"/>
    </row>
    <row r="8962" spans="46:46">
      <c r="AT8962"/>
    </row>
    <row r="8963" spans="46:46">
      <c r="AT8963"/>
    </row>
    <row r="8964" spans="46:46">
      <c r="AT8964"/>
    </row>
    <row r="8965" spans="46:46">
      <c r="AT8965"/>
    </row>
    <row r="8966" spans="46:46">
      <c r="AT8966"/>
    </row>
    <row r="8967" spans="46:46">
      <c r="AT8967"/>
    </row>
    <row r="8968" spans="46:46">
      <c r="AT8968"/>
    </row>
    <row r="8969" spans="46:46">
      <c r="AT8969"/>
    </row>
    <row r="8970" spans="46:46">
      <c r="AT8970"/>
    </row>
    <row r="8971" spans="46:46">
      <c r="AT8971"/>
    </row>
    <row r="8972" spans="46:46">
      <c r="AT8972"/>
    </row>
    <row r="8973" spans="46:46">
      <c r="AT8973"/>
    </row>
    <row r="8974" spans="46:46">
      <c r="AT8974"/>
    </row>
    <row r="8975" spans="46:46">
      <c r="AT8975"/>
    </row>
    <row r="8976" spans="46:46">
      <c r="AT8976"/>
    </row>
    <row r="8977" spans="46:46">
      <c r="AT8977"/>
    </row>
    <row r="8978" spans="46:46">
      <c r="AT8978"/>
    </row>
    <row r="8979" spans="46:46">
      <c r="AT8979"/>
    </row>
    <row r="8980" spans="46:46">
      <c r="AT8980"/>
    </row>
    <row r="8981" spans="46:46">
      <c r="AT8981"/>
    </row>
    <row r="8982" spans="46:46">
      <c r="AT8982"/>
    </row>
    <row r="8983" spans="46:46">
      <c r="AT8983"/>
    </row>
    <row r="8984" spans="46:46">
      <c r="AT8984"/>
    </row>
    <row r="8985" spans="46:46">
      <c r="AT8985"/>
    </row>
    <row r="8986" spans="46:46">
      <c r="AT8986"/>
    </row>
    <row r="8987" spans="46:46">
      <c r="AT8987"/>
    </row>
    <row r="8988" spans="46:46">
      <c r="AT8988"/>
    </row>
    <row r="8989" spans="46:46">
      <c r="AT8989"/>
    </row>
    <row r="8990" spans="46:46">
      <c r="AT8990"/>
    </row>
    <row r="8991" spans="46:46">
      <c r="AT8991"/>
    </row>
    <row r="8992" spans="46:46">
      <c r="AT8992"/>
    </row>
    <row r="8993" spans="46:46">
      <c r="AT8993"/>
    </row>
    <row r="8994" spans="46:46">
      <c r="AT8994"/>
    </row>
    <row r="8995" spans="46:46">
      <c r="AT8995"/>
    </row>
    <row r="8996" spans="46:46">
      <c r="AT8996"/>
    </row>
    <row r="8997" spans="46:46">
      <c r="AT8997"/>
    </row>
    <row r="8998" spans="46:46">
      <c r="AT8998"/>
    </row>
    <row r="8999" spans="46:46">
      <c r="AT8999"/>
    </row>
    <row r="9000" spans="46:46">
      <c r="AT9000"/>
    </row>
    <row r="9001" spans="46:46">
      <c r="AT9001"/>
    </row>
    <row r="9002" spans="46:46">
      <c r="AT9002"/>
    </row>
    <row r="9003" spans="46:46">
      <c r="AT9003"/>
    </row>
    <row r="9004" spans="46:46">
      <c r="AT9004"/>
    </row>
    <row r="9005" spans="46:46">
      <c r="AT9005"/>
    </row>
    <row r="9006" spans="46:46">
      <c r="AT9006"/>
    </row>
    <row r="9007" spans="46:46">
      <c r="AT9007"/>
    </row>
    <row r="9008" spans="46:46">
      <c r="AT9008"/>
    </row>
    <row r="9009" spans="46:46">
      <c r="AT9009"/>
    </row>
    <row r="9010" spans="46:46">
      <c r="AT9010"/>
    </row>
    <row r="9011" spans="46:46">
      <c r="AT9011"/>
    </row>
    <row r="9012" spans="46:46">
      <c r="AT9012"/>
    </row>
    <row r="9013" spans="46:46">
      <c r="AT9013"/>
    </row>
    <row r="9014" spans="46:46">
      <c r="AT9014"/>
    </row>
    <row r="9015" spans="46:46">
      <c r="AT9015"/>
    </row>
    <row r="9016" spans="46:46">
      <c r="AT9016"/>
    </row>
    <row r="9017" spans="46:46">
      <c r="AT9017"/>
    </row>
    <row r="9018" spans="46:46">
      <c r="AT9018"/>
    </row>
    <row r="9019" spans="46:46">
      <c r="AT9019"/>
    </row>
    <row r="9020" spans="46:46">
      <c r="AT9020"/>
    </row>
    <row r="9021" spans="46:46">
      <c r="AT9021"/>
    </row>
    <row r="9022" spans="46:46">
      <c r="AT9022"/>
    </row>
    <row r="9023" spans="46:46">
      <c r="AT9023"/>
    </row>
    <row r="9024" spans="46:46">
      <c r="AT9024"/>
    </row>
    <row r="9025" spans="46:46">
      <c r="AT9025"/>
    </row>
    <row r="9026" spans="46:46">
      <c r="AT9026"/>
    </row>
    <row r="9027" spans="46:46">
      <c r="AT9027"/>
    </row>
    <row r="9028" spans="46:46">
      <c r="AT9028"/>
    </row>
    <row r="9029" spans="46:46">
      <c r="AT9029"/>
    </row>
    <row r="9030" spans="46:46">
      <c r="AT9030"/>
    </row>
    <row r="9031" spans="46:46">
      <c r="AT9031"/>
    </row>
    <row r="9032" spans="46:46">
      <c r="AT9032"/>
    </row>
    <row r="9033" spans="46:46">
      <c r="AT9033"/>
    </row>
    <row r="9034" spans="46:46">
      <c r="AT9034"/>
    </row>
    <row r="9035" spans="46:46">
      <c r="AT9035"/>
    </row>
    <row r="9036" spans="46:46">
      <c r="AT9036"/>
    </row>
    <row r="9037" spans="46:46">
      <c r="AT9037"/>
    </row>
    <row r="9038" spans="46:46">
      <c r="AT9038"/>
    </row>
    <row r="9039" spans="46:46">
      <c r="AT9039"/>
    </row>
    <row r="9040" spans="46:46">
      <c r="AT9040"/>
    </row>
    <row r="9041" spans="46:46">
      <c r="AT9041"/>
    </row>
    <row r="9042" spans="46:46">
      <c r="AT9042"/>
    </row>
    <row r="9043" spans="46:46">
      <c r="AT9043"/>
    </row>
    <row r="9044" spans="46:46">
      <c r="AT9044"/>
    </row>
    <row r="9045" spans="46:46">
      <c r="AT9045"/>
    </row>
    <row r="9046" spans="46:46">
      <c r="AT9046"/>
    </row>
    <row r="9047" spans="46:46">
      <c r="AT9047"/>
    </row>
    <row r="9048" spans="46:46">
      <c r="AT9048"/>
    </row>
    <row r="9049" spans="46:46">
      <c r="AT9049"/>
    </row>
    <row r="9050" spans="46:46">
      <c r="AT9050"/>
    </row>
    <row r="9051" spans="46:46">
      <c r="AT9051"/>
    </row>
    <row r="9052" spans="46:46">
      <c r="AT9052"/>
    </row>
    <row r="9053" spans="46:46">
      <c r="AT9053"/>
    </row>
    <row r="9054" spans="46:46">
      <c r="AT9054"/>
    </row>
    <row r="9055" spans="46:46">
      <c r="AT9055"/>
    </row>
    <row r="9056" spans="46:46">
      <c r="AT9056"/>
    </row>
    <row r="9057" spans="46:46">
      <c r="AT9057"/>
    </row>
    <row r="9058" spans="46:46">
      <c r="AT9058"/>
    </row>
    <row r="9059" spans="46:46">
      <c r="AT9059"/>
    </row>
    <row r="9060" spans="46:46">
      <c r="AT9060"/>
    </row>
    <row r="9061" spans="46:46">
      <c r="AT9061"/>
    </row>
    <row r="9062" spans="46:46">
      <c r="AT9062"/>
    </row>
    <row r="9063" spans="46:46">
      <c r="AT9063"/>
    </row>
    <row r="9064" spans="46:46">
      <c r="AT9064"/>
    </row>
    <row r="9065" spans="46:46">
      <c r="AT9065"/>
    </row>
    <row r="9066" spans="46:46">
      <c r="AT9066"/>
    </row>
    <row r="9067" spans="46:46">
      <c r="AT9067"/>
    </row>
    <row r="9068" spans="46:46">
      <c r="AT9068"/>
    </row>
    <row r="9069" spans="46:46">
      <c r="AT9069"/>
    </row>
    <row r="9070" spans="46:46">
      <c r="AT9070"/>
    </row>
    <row r="9071" spans="46:46">
      <c r="AT9071"/>
    </row>
    <row r="9072" spans="46:46">
      <c r="AT9072"/>
    </row>
    <row r="9073" spans="46:46">
      <c r="AT9073"/>
    </row>
    <row r="9074" spans="46:46">
      <c r="AT9074"/>
    </row>
    <row r="9075" spans="46:46">
      <c r="AT9075"/>
    </row>
    <row r="9076" spans="46:46">
      <c r="AT9076"/>
    </row>
    <row r="9077" spans="46:46">
      <c r="AT9077"/>
    </row>
    <row r="9078" spans="46:46">
      <c r="AT9078"/>
    </row>
    <row r="9079" spans="46:46">
      <c r="AT9079"/>
    </row>
    <row r="9080" spans="46:46">
      <c r="AT9080"/>
    </row>
    <row r="9081" spans="46:46">
      <c r="AT9081"/>
    </row>
    <row r="9082" spans="46:46">
      <c r="AT9082"/>
    </row>
    <row r="9083" spans="46:46">
      <c r="AT9083"/>
    </row>
    <row r="9084" spans="46:46">
      <c r="AT9084"/>
    </row>
    <row r="9085" spans="46:46">
      <c r="AT9085"/>
    </row>
    <row r="9086" spans="46:46">
      <c r="AT9086"/>
    </row>
    <row r="9087" spans="46:46">
      <c r="AT9087"/>
    </row>
    <row r="9088" spans="46:46">
      <c r="AT9088"/>
    </row>
    <row r="9089" spans="46:46">
      <c r="AT9089"/>
    </row>
    <row r="9090" spans="46:46">
      <c r="AT9090"/>
    </row>
    <row r="9091" spans="46:46">
      <c r="AT9091"/>
    </row>
    <row r="9092" spans="46:46">
      <c r="AT9092"/>
    </row>
    <row r="9093" spans="46:46">
      <c r="AT9093"/>
    </row>
    <row r="9094" spans="46:46">
      <c r="AT9094"/>
    </row>
    <row r="9095" spans="46:46">
      <c r="AT9095"/>
    </row>
    <row r="9096" spans="46:46">
      <c r="AT9096"/>
    </row>
    <row r="9097" spans="46:46">
      <c r="AT9097"/>
    </row>
    <row r="9098" spans="46:46">
      <c r="AT9098"/>
    </row>
    <row r="9099" spans="46:46">
      <c r="AT9099"/>
    </row>
    <row r="9100" spans="46:46">
      <c r="AT9100"/>
    </row>
    <row r="9101" spans="46:46">
      <c r="AT9101"/>
    </row>
    <row r="9102" spans="46:46">
      <c r="AT9102"/>
    </row>
    <row r="9103" spans="46:46">
      <c r="AT9103"/>
    </row>
    <row r="9104" spans="46:46">
      <c r="AT9104"/>
    </row>
    <row r="9105" spans="46:46">
      <c r="AT9105"/>
    </row>
    <row r="9106" spans="46:46">
      <c r="AT9106"/>
    </row>
    <row r="9107" spans="46:46">
      <c r="AT9107"/>
    </row>
    <row r="9108" spans="46:46">
      <c r="AT9108"/>
    </row>
    <row r="9109" spans="46:46">
      <c r="AT9109"/>
    </row>
    <row r="9110" spans="46:46">
      <c r="AT9110"/>
    </row>
    <row r="9111" spans="46:46">
      <c r="AT9111"/>
    </row>
    <row r="9112" spans="46:46">
      <c r="AT9112"/>
    </row>
    <row r="9113" spans="46:46">
      <c r="AT9113"/>
    </row>
    <row r="9114" spans="46:46">
      <c r="AT9114"/>
    </row>
    <row r="9115" spans="46:46">
      <c r="AT9115"/>
    </row>
    <row r="9116" spans="46:46">
      <c r="AT9116"/>
    </row>
    <row r="9117" spans="46:46">
      <c r="AT9117"/>
    </row>
    <row r="9118" spans="46:46">
      <c r="AT9118"/>
    </row>
    <row r="9119" spans="46:46">
      <c r="AT9119"/>
    </row>
    <row r="9120" spans="46:46">
      <c r="AT9120"/>
    </row>
    <row r="9121" spans="46:46">
      <c r="AT9121"/>
    </row>
    <row r="9122" spans="46:46">
      <c r="AT9122"/>
    </row>
    <row r="9123" spans="46:46">
      <c r="AT9123"/>
    </row>
    <row r="9124" spans="46:46">
      <c r="AT9124"/>
    </row>
    <row r="9125" spans="46:46">
      <c r="AT9125"/>
    </row>
    <row r="9126" spans="46:46">
      <c r="AT9126"/>
    </row>
    <row r="9127" spans="46:46">
      <c r="AT9127"/>
    </row>
    <row r="9128" spans="46:46">
      <c r="AT9128"/>
    </row>
    <row r="9129" spans="46:46">
      <c r="AT9129"/>
    </row>
    <row r="9130" spans="46:46">
      <c r="AT9130"/>
    </row>
    <row r="9131" spans="46:46">
      <c r="AT9131"/>
    </row>
    <row r="9132" spans="46:46">
      <c r="AT9132"/>
    </row>
    <row r="9133" spans="46:46">
      <c r="AT9133"/>
    </row>
    <row r="9134" spans="46:46">
      <c r="AT9134"/>
    </row>
    <row r="9135" spans="46:46">
      <c r="AT9135"/>
    </row>
    <row r="9136" spans="46:46">
      <c r="AT9136"/>
    </row>
    <row r="9137" spans="46:46">
      <c r="AT9137"/>
    </row>
    <row r="9138" spans="46:46">
      <c r="AT9138"/>
    </row>
    <row r="9139" spans="46:46">
      <c r="AT9139"/>
    </row>
    <row r="9140" spans="46:46">
      <c r="AT9140"/>
    </row>
    <row r="9141" spans="46:46">
      <c r="AT9141"/>
    </row>
    <row r="9142" spans="46:46">
      <c r="AT9142"/>
    </row>
    <row r="9143" spans="46:46">
      <c r="AT9143"/>
    </row>
    <row r="9144" spans="46:46">
      <c r="AT9144"/>
    </row>
    <row r="9145" spans="46:46">
      <c r="AT9145"/>
    </row>
    <row r="9146" spans="46:46">
      <c r="AT9146"/>
    </row>
    <row r="9147" spans="46:46">
      <c r="AT9147"/>
    </row>
    <row r="9148" spans="46:46">
      <c r="AT9148"/>
    </row>
    <row r="9149" spans="46:46">
      <c r="AT9149"/>
    </row>
    <row r="9150" spans="46:46">
      <c r="AT9150"/>
    </row>
    <row r="9151" spans="46:46">
      <c r="AT9151"/>
    </row>
    <row r="9152" spans="46:46">
      <c r="AT9152"/>
    </row>
    <row r="9153" spans="46:46">
      <c r="AT9153"/>
    </row>
    <row r="9154" spans="46:46">
      <c r="AT9154"/>
    </row>
    <row r="9155" spans="46:46">
      <c r="AT9155"/>
    </row>
    <row r="9156" spans="46:46">
      <c r="AT9156"/>
    </row>
    <row r="9157" spans="46:46">
      <c r="AT9157"/>
    </row>
    <row r="9158" spans="46:46">
      <c r="AT9158"/>
    </row>
    <row r="9159" spans="46:46">
      <c r="AT9159"/>
    </row>
    <row r="9160" spans="46:46">
      <c r="AT9160"/>
    </row>
    <row r="9161" spans="46:46">
      <c r="AT9161"/>
    </row>
    <row r="9162" spans="46:46">
      <c r="AT9162"/>
    </row>
    <row r="9163" spans="46:46">
      <c r="AT9163"/>
    </row>
    <row r="9164" spans="46:46">
      <c r="AT9164"/>
    </row>
    <row r="9165" spans="46:46">
      <c r="AT9165"/>
    </row>
    <row r="9166" spans="46:46">
      <c r="AT9166"/>
    </row>
    <row r="9167" spans="46:46">
      <c r="AT9167"/>
    </row>
    <row r="9168" spans="46:46">
      <c r="AT9168"/>
    </row>
    <row r="9169" spans="46:46">
      <c r="AT9169"/>
    </row>
    <row r="9170" spans="46:46">
      <c r="AT9170"/>
    </row>
    <row r="9171" spans="46:46">
      <c r="AT9171"/>
    </row>
    <row r="9172" spans="46:46">
      <c r="AT9172"/>
    </row>
    <row r="9173" spans="46:46">
      <c r="AT9173"/>
    </row>
    <row r="9174" spans="46:46">
      <c r="AT9174"/>
    </row>
    <row r="9175" spans="46:46">
      <c r="AT9175"/>
    </row>
    <row r="9176" spans="46:46">
      <c r="AT9176"/>
    </row>
    <row r="9177" spans="46:46">
      <c r="AT9177"/>
    </row>
    <row r="9178" spans="46:46">
      <c r="AT9178"/>
    </row>
    <row r="9179" spans="46:46">
      <c r="AT9179"/>
    </row>
    <row r="9180" spans="46:46">
      <c r="AT9180"/>
    </row>
    <row r="9181" spans="46:46">
      <c r="AT9181"/>
    </row>
    <row r="9182" spans="46:46">
      <c r="AT9182"/>
    </row>
    <row r="9183" spans="46:46">
      <c r="AT9183"/>
    </row>
    <row r="9184" spans="46:46">
      <c r="AT9184"/>
    </row>
    <row r="9185" spans="46:46">
      <c r="AT9185"/>
    </row>
    <row r="9186" spans="46:46">
      <c r="AT9186"/>
    </row>
    <row r="9187" spans="46:46">
      <c r="AT9187"/>
    </row>
    <row r="9188" spans="46:46">
      <c r="AT9188"/>
    </row>
    <row r="9189" spans="46:46">
      <c r="AT9189"/>
    </row>
    <row r="9190" spans="46:46">
      <c r="AT9190"/>
    </row>
    <row r="9191" spans="46:46">
      <c r="AT9191"/>
    </row>
    <row r="9192" spans="46:46">
      <c r="AT9192"/>
    </row>
    <row r="9193" spans="46:46">
      <c r="AT9193"/>
    </row>
    <row r="9194" spans="46:46">
      <c r="AT9194"/>
    </row>
    <row r="9195" spans="46:46">
      <c r="AT9195"/>
    </row>
    <row r="9196" spans="46:46">
      <c r="AT9196"/>
    </row>
    <row r="9197" spans="46:46">
      <c r="AT9197"/>
    </row>
    <row r="9198" spans="46:46">
      <c r="AT9198"/>
    </row>
    <row r="9199" spans="46:46">
      <c r="AT9199"/>
    </row>
    <row r="9200" spans="46:46">
      <c r="AT9200"/>
    </row>
    <row r="9201" spans="46:46">
      <c r="AT9201"/>
    </row>
    <row r="9202" spans="46:46">
      <c r="AT9202"/>
    </row>
    <row r="9203" spans="46:46">
      <c r="AT9203"/>
    </row>
    <row r="9204" spans="46:46">
      <c r="AT9204"/>
    </row>
    <row r="9205" spans="46:46">
      <c r="AT9205"/>
    </row>
    <row r="9206" spans="46:46">
      <c r="AT9206"/>
    </row>
    <row r="9207" spans="46:46">
      <c r="AT9207"/>
    </row>
    <row r="9208" spans="46:46">
      <c r="AT9208"/>
    </row>
    <row r="9209" spans="46:46">
      <c r="AT9209"/>
    </row>
    <row r="9210" spans="46:46">
      <c r="AT9210"/>
    </row>
    <row r="9211" spans="46:46">
      <c r="AT9211"/>
    </row>
    <row r="9212" spans="46:46">
      <c r="AT9212"/>
    </row>
    <row r="9213" spans="46:46">
      <c r="AT9213"/>
    </row>
    <row r="9214" spans="46:46">
      <c r="AT9214"/>
    </row>
    <row r="9215" spans="46:46">
      <c r="AT9215"/>
    </row>
    <row r="9216" spans="46:46">
      <c r="AT9216"/>
    </row>
    <row r="9217" spans="46:46">
      <c r="AT9217"/>
    </row>
    <row r="9218" spans="46:46">
      <c r="AT9218"/>
    </row>
    <row r="9219" spans="46:46">
      <c r="AT9219"/>
    </row>
    <row r="9220" spans="46:46">
      <c r="AT9220"/>
    </row>
    <row r="9221" spans="46:46">
      <c r="AT9221"/>
    </row>
    <row r="9222" spans="46:46">
      <c r="AT9222"/>
    </row>
    <row r="9223" spans="46:46">
      <c r="AT9223"/>
    </row>
    <row r="9224" spans="46:46">
      <c r="AT9224"/>
    </row>
    <row r="9225" spans="46:46">
      <c r="AT9225"/>
    </row>
    <row r="9226" spans="46:46">
      <c r="AT9226"/>
    </row>
    <row r="9227" spans="46:46">
      <c r="AT9227"/>
    </row>
    <row r="9228" spans="46:46">
      <c r="AT9228"/>
    </row>
    <row r="9229" spans="46:46">
      <c r="AT9229"/>
    </row>
    <row r="9230" spans="46:46">
      <c r="AT9230"/>
    </row>
    <row r="9231" spans="46:46">
      <c r="AT9231"/>
    </row>
    <row r="9232" spans="46:46">
      <c r="AT9232"/>
    </row>
    <row r="9233" spans="46:46">
      <c r="AT9233"/>
    </row>
    <row r="9234" spans="46:46">
      <c r="AT9234"/>
    </row>
    <row r="9235" spans="46:46">
      <c r="AT9235"/>
    </row>
    <row r="9236" spans="46:46">
      <c r="AT9236"/>
    </row>
    <row r="9237" spans="46:46">
      <c r="AT9237"/>
    </row>
    <row r="9238" spans="46:46">
      <c r="AT9238"/>
    </row>
    <row r="9239" spans="46:46">
      <c r="AT9239"/>
    </row>
    <row r="9240" spans="46:46">
      <c r="AT9240"/>
    </row>
    <row r="9241" spans="46:46">
      <c r="AT9241"/>
    </row>
    <row r="9242" spans="46:46">
      <c r="AT9242"/>
    </row>
    <row r="9243" spans="46:46">
      <c r="AT9243"/>
    </row>
    <row r="9244" spans="46:46">
      <c r="AT9244"/>
    </row>
    <row r="9245" spans="46:46">
      <c r="AT9245"/>
    </row>
    <row r="9246" spans="46:46">
      <c r="AT9246"/>
    </row>
    <row r="9247" spans="46:46">
      <c r="AT9247"/>
    </row>
    <row r="9248" spans="46:46">
      <c r="AT9248"/>
    </row>
    <row r="9249" spans="46:46">
      <c r="AT9249"/>
    </row>
    <row r="9250" spans="46:46">
      <c r="AT9250"/>
    </row>
    <row r="9251" spans="46:46">
      <c r="AT9251"/>
    </row>
    <row r="9252" spans="46:46">
      <c r="AT9252"/>
    </row>
    <row r="9253" spans="46:46">
      <c r="AT9253"/>
    </row>
    <row r="9254" spans="46:46">
      <c r="AT9254"/>
    </row>
    <row r="9255" spans="46:46">
      <c r="AT9255"/>
    </row>
    <row r="9256" spans="46:46">
      <c r="AT9256"/>
    </row>
    <row r="9257" spans="46:46">
      <c r="AT9257"/>
    </row>
    <row r="9258" spans="46:46">
      <c r="AT9258"/>
    </row>
    <row r="9259" spans="46:46">
      <c r="AT9259"/>
    </row>
    <row r="9260" spans="46:46">
      <c r="AT9260"/>
    </row>
    <row r="9261" spans="46:46">
      <c r="AT9261"/>
    </row>
    <row r="9262" spans="46:46">
      <c r="AT9262"/>
    </row>
    <row r="9263" spans="46:46">
      <c r="AT9263"/>
    </row>
    <row r="9264" spans="46:46">
      <c r="AT9264"/>
    </row>
    <row r="9265" spans="46:46">
      <c r="AT9265"/>
    </row>
    <row r="9266" spans="46:46">
      <c r="AT9266"/>
    </row>
    <row r="9267" spans="46:46">
      <c r="AT9267"/>
    </row>
    <row r="9268" spans="46:46">
      <c r="AT9268"/>
    </row>
    <row r="9269" spans="46:46">
      <c r="AT9269"/>
    </row>
    <row r="9270" spans="46:46">
      <c r="AT9270"/>
    </row>
    <row r="9271" spans="46:46">
      <c r="AT9271"/>
    </row>
    <row r="9272" spans="46:46">
      <c r="AT9272"/>
    </row>
    <row r="9273" spans="46:46">
      <c r="AT9273"/>
    </row>
    <row r="9274" spans="46:46">
      <c r="AT9274"/>
    </row>
    <row r="9275" spans="46:46">
      <c r="AT9275"/>
    </row>
    <row r="9276" spans="46:46">
      <c r="AT9276"/>
    </row>
    <row r="9277" spans="46:46">
      <c r="AT9277"/>
    </row>
    <row r="9278" spans="46:46">
      <c r="AT9278"/>
    </row>
    <row r="9279" spans="46:46">
      <c r="AT9279"/>
    </row>
    <row r="9280" spans="46:46">
      <c r="AT9280"/>
    </row>
    <row r="9281" spans="46:46">
      <c r="AT9281"/>
    </row>
    <row r="9282" spans="46:46">
      <c r="AT9282"/>
    </row>
    <row r="9283" spans="46:46">
      <c r="AT9283"/>
    </row>
    <row r="9284" spans="46:46">
      <c r="AT9284"/>
    </row>
    <row r="9285" spans="46:46">
      <c r="AT9285"/>
    </row>
    <row r="9286" spans="46:46">
      <c r="AT9286"/>
    </row>
    <row r="9287" spans="46:46">
      <c r="AT9287"/>
    </row>
    <row r="9288" spans="46:46">
      <c r="AT9288"/>
    </row>
    <row r="9289" spans="46:46">
      <c r="AT9289"/>
    </row>
    <row r="9290" spans="46:46">
      <c r="AT9290"/>
    </row>
    <row r="9291" spans="46:46">
      <c r="AT9291"/>
    </row>
    <row r="9292" spans="46:46">
      <c r="AT9292"/>
    </row>
    <row r="9293" spans="46:46">
      <c r="AT9293"/>
    </row>
    <row r="9294" spans="46:46">
      <c r="AT9294"/>
    </row>
    <row r="9295" spans="46:46">
      <c r="AT9295"/>
    </row>
    <row r="9296" spans="46:46">
      <c r="AT9296"/>
    </row>
    <row r="9297" spans="46:46">
      <c r="AT9297"/>
    </row>
    <row r="9298" spans="46:46">
      <c r="AT9298"/>
    </row>
    <row r="9299" spans="46:46">
      <c r="AT9299"/>
    </row>
    <row r="9300" spans="46:46">
      <c r="AT9300"/>
    </row>
    <row r="9301" spans="46:46">
      <c r="AT9301"/>
    </row>
    <row r="9302" spans="46:46">
      <c r="AT9302"/>
    </row>
    <row r="9303" spans="46:46">
      <c r="AT9303"/>
    </row>
    <row r="9304" spans="46:46">
      <c r="AT9304"/>
    </row>
    <row r="9305" spans="46:46">
      <c r="AT9305"/>
    </row>
    <row r="9306" spans="46:46">
      <c r="AT9306"/>
    </row>
    <row r="9307" spans="46:46">
      <c r="AT9307"/>
    </row>
    <row r="9308" spans="46:46">
      <c r="AT9308"/>
    </row>
    <row r="9309" spans="46:46">
      <c r="AT9309"/>
    </row>
    <row r="9310" spans="46:46">
      <c r="AT9310"/>
    </row>
    <row r="9311" spans="46:46">
      <c r="AT9311"/>
    </row>
    <row r="9312" spans="46:46">
      <c r="AT9312"/>
    </row>
    <row r="9313" spans="46:46">
      <c r="AT9313"/>
    </row>
    <row r="9314" spans="46:46">
      <c r="AT9314"/>
    </row>
    <row r="9315" spans="46:46">
      <c r="AT9315"/>
    </row>
    <row r="9316" spans="46:46">
      <c r="AT9316"/>
    </row>
    <row r="9317" spans="46:46">
      <c r="AT9317"/>
    </row>
    <row r="9318" spans="46:46">
      <c r="AT9318"/>
    </row>
    <row r="9319" spans="46:46">
      <c r="AT9319"/>
    </row>
    <row r="9320" spans="46:46">
      <c r="AT9320"/>
    </row>
    <row r="9321" spans="46:46">
      <c r="AT9321"/>
    </row>
    <row r="9322" spans="46:46">
      <c r="AT9322"/>
    </row>
    <row r="9323" spans="46:46">
      <c r="AT9323"/>
    </row>
    <row r="9324" spans="46:46">
      <c r="AT9324"/>
    </row>
    <row r="9325" spans="46:46">
      <c r="AT9325"/>
    </row>
    <row r="9326" spans="46:46">
      <c r="AT9326"/>
    </row>
    <row r="9327" spans="46:46">
      <c r="AT9327"/>
    </row>
    <row r="9328" spans="46:46">
      <c r="AT9328"/>
    </row>
    <row r="9329" spans="46:46">
      <c r="AT9329"/>
    </row>
    <row r="9330" spans="46:46">
      <c r="AT9330"/>
    </row>
    <row r="9331" spans="46:46">
      <c r="AT9331"/>
    </row>
    <row r="9332" spans="46:46">
      <c r="AT9332"/>
    </row>
    <row r="9333" spans="46:46">
      <c r="AT9333"/>
    </row>
    <row r="9334" spans="46:46">
      <c r="AT9334"/>
    </row>
    <row r="9335" spans="46:46">
      <c r="AT9335"/>
    </row>
    <row r="9336" spans="46:46">
      <c r="AT9336"/>
    </row>
    <row r="9337" spans="46:46">
      <c r="AT9337"/>
    </row>
    <row r="9338" spans="46:46">
      <c r="AT9338"/>
    </row>
    <row r="9339" spans="46:46">
      <c r="AT9339"/>
    </row>
    <row r="9340" spans="46:46">
      <c r="AT9340"/>
    </row>
    <row r="9341" spans="46:46">
      <c r="AT9341"/>
    </row>
    <row r="9342" spans="46:46">
      <c r="AT9342"/>
    </row>
    <row r="9343" spans="46:46">
      <c r="AT9343"/>
    </row>
    <row r="9344" spans="46:46">
      <c r="AT9344"/>
    </row>
    <row r="9345" spans="46:46">
      <c r="AT9345"/>
    </row>
    <row r="9346" spans="46:46">
      <c r="AT9346"/>
    </row>
    <row r="9347" spans="46:46">
      <c r="AT9347"/>
    </row>
    <row r="9348" spans="46:46">
      <c r="AT9348"/>
    </row>
    <row r="9349" spans="46:46">
      <c r="AT9349"/>
    </row>
    <row r="9350" spans="46:46">
      <c r="AT9350"/>
    </row>
    <row r="9351" spans="46:46">
      <c r="AT9351"/>
    </row>
    <row r="9352" spans="46:46">
      <c r="AT9352"/>
    </row>
    <row r="9353" spans="46:46">
      <c r="AT9353"/>
    </row>
    <row r="9354" spans="46:46">
      <c r="AT9354"/>
    </row>
    <row r="9355" spans="46:46">
      <c r="AT9355"/>
    </row>
    <row r="9356" spans="46:46">
      <c r="AT9356"/>
    </row>
    <row r="9357" spans="46:46">
      <c r="AT9357"/>
    </row>
    <row r="9358" spans="46:46">
      <c r="AT9358"/>
    </row>
    <row r="9359" spans="46:46">
      <c r="AT9359"/>
    </row>
    <row r="9360" spans="46:46">
      <c r="AT9360"/>
    </row>
    <row r="9361" spans="46:46">
      <c r="AT9361"/>
    </row>
    <row r="9362" spans="46:46">
      <c r="AT9362"/>
    </row>
    <row r="9363" spans="46:46">
      <c r="AT9363"/>
    </row>
    <row r="9364" spans="46:46">
      <c r="AT9364"/>
    </row>
    <row r="9365" spans="46:46">
      <c r="AT9365"/>
    </row>
    <row r="9366" spans="46:46">
      <c r="AT9366"/>
    </row>
    <row r="9367" spans="46:46">
      <c r="AT9367"/>
    </row>
    <row r="9368" spans="46:46">
      <c r="AT9368"/>
    </row>
    <row r="9369" spans="46:46">
      <c r="AT9369"/>
    </row>
    <row r="9370" spans="46:46">
      <c r="AT9370"/>
    </row>
    <row r="9371" spans="46:46">
      <c r="AT9371"/>
    </row>
    <row r="9372" spans="46:46">
      <c r="AT9372"/>
    </row>
    <row r="9373" spans="46:46">
      <c r="AT9373"/>
    </row>
    <row r="9374" spans="46:46">
      <c r="AT9374"/>
    </row>
    <row r="9375" spans="46:46">
      <c r="AT9375"/>
    </row>
    <row r="9376" spans="46:46">
      <c r="AT9376"/>
    </row>
    <row r="9377" spans="46:46">
      <c r="AT9377"/>
    </row>
    <row r="9378" spans="46:46">
      <c r="AT9378"/>
    </row>
    <row r="9379" spans="46:46">
      <c r="AT9379"/>
    </row>
    <row r="9380" spans="46:46">
      <c r="AT9380"/>
    </row>
    <row r="9381" spans="46:46">
      <c r="AT9381"/>
    </row>
    <row r="9382" spans="46:46">
      <c r="AT9382"/>
    </row>
    <row r="9383" spans="46:46">
      <c r="AT9383"/>
    </row>
    <row r="9384" spans="46:46">
      <c r="AT9384"/>
    </row>
    <row r="9385" spans="46:46">
      <c r="AT9385"/>
    </row>
    <row r="9386" spans="46:46">
      <c r="AT9386"/>
    </row>
    <row r="9387" spans="46:46">
      <c r="AT9387"/>
    </row>
    <row r="9388" spans="46:46">
      <c r="AT9388"/>
    </row>
    <row r="9389" spans="46:46">
      <c r="AT9389"/>
    </row>
    <row r="9390" spans="46:46">
      <c r="AT9390"/>
    </row>
    <row r="9391" spans="46:46">
      <c r="AT9391"/>
    </row>
    <row r="9392" spans="46:46">
      <c r="AT9392"/>
    </row>
    <row r="9393" spans="46:46">
      <c r="AT9393"/>
    </row>
    <row r="9394" spans="46:46">
      <c r="AT9394"/>
    </row>
    <row r="9395" spans="46:46">
      <c r="AT9395"/>
    </row>
    <row r="9396" spans="46:46">
      <c r="AT9396"/>
    </row>
    <row r="9397" spans="46:46">
      <c r="AT9397"/>
    </row>
    <row r="9398" spans="46:46">
      <c r="AT9398"/>
    </row>
    <row r="9399" spans="46:46">
      <c r="AT9399"/>
    </row>
    <row r="9400" spans="46:46">
      <c r="AT9400"/>
    </row>
    <row r="9401" spans="46:46">
      <c r="AT9401"/>
    </row>
    <row r="9402" spans="46:46">
      <c r="AT9402"/>
    </row>
    <row r="9403" spans="46:46">
      <c r="AT9403"/>
    </row>
    <row r="9404" spans="46:46">
      <c r="AT9404"/>
    </row>
    <row r="9405" spans="46:46">
      <c r="AT9405"/>
    </row>
    <row r="9406" spans="46:46">
      <c r="AT9406"/>
    </row>
    <row r="9407" spans="46:46">
      <c r="AT9407"/>
    </row>
    <row r="9408" spans="46:46">
      <c r="AT9408"/>
    </row>
    <row r="9409" spans="46:46">
      <c r="AT9409"/>
    </row>
    <row r="9410" spans="46:46">
      <c r="AT9410"/>
    </row>
    <row r="9411" spans="46:46">
      <c r="AT9411"/>
    </row>
    <row r="9412" spans="46:46">
      <c r="AT9412"/>
    </row>
    <row r="9413" spans="46:46">
      <c r="AT9413"/>
    </row>
    <row r="9414" spans="46:46">
      <c r="AT9414"/>
    </row>
    <row r="9415" spans="46:46">
      <c r="AT9415"/>
    </row>
    <row r="9416" spans="46:46">
      <c r="AT9416"/>
    </row>
    <row r="9417" spans="46:46">
      <c r="AT9417"/>
    </row>
    <row r="9418" spans="46:46">
      <c r="AT9418"/>
    </row>
    <row r="9419" spans="46:46">
      <c r="AT9419"/>
    </row>
    <row r="9420" spans="46:46">
      <c r="AT9420"/>
    </row>
    <row r="9421" spans="46:46">
      <c r="AT9421"/>
    </row>
    <row r="9422" spans="46:46">
      <c r="AT9422"/>
    </row>
    <row r="9423" spans="46:46">
      <c r="AT9423"/>
    </row>
    <row r="9424" spans="46:46">
      <c r="AT9424"/>
    </row>
    <row r="9425" spans="46:46">
      <c r="AT9425"/>
    </row>
    <row r="9426" spans="46:46">
      <c r="AT9426"/>
    </row>
    <row r="9427" spans="46:46">
      <c r="AT9427"/>
    </row>
    <row r="9428" spans="46:46">
      <c r="AT9428"/>
    </row>
    <row r="9429" spans="46:46">
      <c r="AT9429"/>
    </row>
    <row r="9430" spans="46:46">
      <c r="AT9430"/>
    </row>
    <row r="9431" spans="46:46">
      <c r="AT9431"/>
    </row>
    <row r="9432" spans="46:46">
      <c r="AT9432"/>
    </row>
    <row r="9433" spans="46:46">
      <c r="AT9433"/>
    </row>
    <row r="9434" spans="46:46">
      <c r="AT9434"/>
    </row>
    <row r="9435" spans="46:46">
      <c r="AT9435"/>
    </row>
    <row r="9436" spans="46:46">
      <c r="AT9436"/>
    </row>
    <row r="9437" spans="46:46">
      <c r="AT9437"/>
    </row>
    <row r="9438" spans="46:46">
      <c r="AT9438"/>
    </row>
    <row r="9439" spans="46:46">
      <c r="AT9439"/>
    </row>
    <row r="9440" spans="46:46">
      <c r="AT9440"/>
    </row>
    <row r="9441" spans="46:46">
      <c r="AT9441"/>
    </row>
    <row r="9442" spans="46:46">
      <c r="AT9442"/>
    </row>
    <row r="9443" spans="46:46">
      <c r="AT9443"/>
    </row>
    <row r="9444" spans="46:46">
      <c r="AT9444"/>
    </row>
    <row r="9445" spans="46:46">
      <c r="AT9445"/>
    </row>
    <row r="9446" spans="46:46">
      <c r="AT9446"/>
    </row>
    <row r="9447" spans="46:46">
      <c r="AT9447"/>
    </row>
    <row r="9448" spans="46:46">
      <c r="AT9448"/>
    </row>
    <row r="9449" spans="46:46">
      <c r="AT9449"/>
    </row>
    <row r="9450" spans="46:46">
      <c r="AT9450"/>
    </row>
    <row r="9451" spans="46:46">
      <c r="AT9451"/>
    </row>
    <row r="9452" spans="46:46">
      <c r="AT9452"/>
    </row>
    <row r="9453" spans="46:46">
      <c r="AT9453"/>
    </row>
    <row r="9454" spans="46:46">
      <c r="AT9454"/>
    </row>
    <row r="9455" spans="46:46">
      <c r="AT9455"/>
    </row>
    <row r="9456" spans="46:46">
      <c r="AT9456"/>
    </row>
    <row r="9457" spans="46:46">
      <c r="AT9457"/>
    </row>
    <row r="9458" spans="46:46">
      <c r="AT9458"/>
    </row>
    <row r="9459" spans="46:46">
      <c r="AT9459"/>
    </row>
    <row r="9460" spans="46:46">
      <c r="AT9460"/>
    </row>
    <row r="9461" spans="46:46">
      <c r="AT9461"/>
    </row>
    <row r="9462" spans="46:46">
      <c r="AT9462"/>
    </row>
    <row r="9463" spans="46:46">
      <c r="AT9463"/>
    </row>
    <row r="9464" spans="46:46">
      <c r="AT9464"/>
    </row>
    <row r="9465" spans="46:46">
      <c r="AT9465"/>
    </row>
    <row r="9466" spans="46:46">
      <c r="AT9466"/>
    </row>
    <row r="9467" spans="46:46">
      <c r="AT9467"/>
    </row>
    <row r="9468" spans="46:46">
      <c r="AT9468"/>
    </row>
    <row r="9469" spans="46:46">
      <c r="AT9469"/>
    </row>
    <row r="9470" spans="46:46">
      <c r="AT9470"/>
    </row>
    <row r="9471" spans="46:46">
      <c r="AT9471"/>
    </row>
    <row r="9472" spans="46:46">
      <c r="AT9472"/>
    </row>
    <row r="9473" spans="46:46">
      <c r="AT9473"/>
    </row>
    <row r="9474" spans="46:46">
      <c r="AT9474"/>
    </row>
    <row r="9475" spans="46:46">
      <c r="AT9475"/>
    </row>
    <row r="9476" spans="46:46">
      <c r="AT9476"/>
    </row>
    <row r="9477" spans="46:46">
      <c r="AT9477"/>
    </row>
    <row r="9478" spans="46:46">
      <c r="AT9478"/>
    </row>
    <row r="9479" spans="46:46">
      <c r="AT9479"/>
    </row>
    <row r="9480" spans="46:46">
      <c r="AT9480"/>
    </row>
    <row r="9481" spans="46:46">
      <c r="AT9481"/>
    </row>
    <row r="9482" spans="46:46">
      <c r="AT9482"/>
    </row>
    <row r="9483" spans="46:46">
      <c r="AT9483"/>
    </row>
    <row r="9484" spans="46:46">
      <c r="AT9484"/>
    </row>
    <row r="9485" spans="46:46">
      <c r="AT9485"/>
    </row>
    <row r="9486" spans="46:46">
      <c r="AT9486"/>
    </row>
    <row r="9487" spans="46:46">
      <c r="AT9487"/>
    </row>
    <row r="9488" spans="46:46">
      <c r="AT9488"/>
    </row>
    <row r="9489" spans="46:46">
      <c r="AT9489"/>
    </row>
    <row r="9490" spans="46:46">
      <c r="AT9490"/>
    </row>
    <row r="9491" spans="46:46">
      <c r="AT9491"/>
    </row>
    <row r="9492" spans="46:46">
      <c r="AT9492"/>
    </row>
    <row r="9493" spans="46:46">
      <c r="AT9493"/>
    </row>
    <row r="9494" spans="46:46">
      <c r="AT9494"/>
    </row>
    <row r="9495" spans="46:46">
      <c r="AT9495"/>
    </row>
    <row r="9496" spans="46:46">
      <c r="AT9496"/>
    </row>
    <row r="9497" spans="46:46">
      <c r="AT9497"/>
    </row>
    <row r="9498" spans="46:46">
      <c r="AT9498"/>
    </row>
    <row r="9499" spans="46:46">
      <c r="AT9499"/>
    </row>
    <row r="9500" spans="46:46">
      <c r="AT9500"/>
    </row>
    <row r="9501" spans="46:46">
      <c r="AT9501"/>
    </row>
    <row r="9502" spans="46:46">
      <c r="AT9502"/>
    </row>
    <row r="9503" spans="46:46">
      <c r="AT9503"/>
    </row>
    <row r="9504" spans="46:46">
      <c r="AT9504"/>
    </row>
    <row r="9505" spans="46:46">
      <c r="AT9505"/>
    </row>
    <row r="9506" spans="46:46">
      <c r="AT9506"/>
    </row>
    <row r="9507" spans="46:46">
      <c r="AT9507"/>
    </row>
    <row r="9508" spans="46:46">
      <c r="AT9508"/>
    </row>
    <row r="9509" spans="46:46">
      <c r="AT9509"/>
    </row>
    <row r="9510" spans="46:46">
      <c r="AT9510"/>
    </row>
    <row r="9511" spans="46:46">
      <c r="AT9511"/>
    </row>
    <row r="9512" spans="46:46">
      <c r="AT9512"/>
    </row>
    <row r="9513" spans="46:46">
      <c r="AT9513"/>
    </row>
    <row r="9514" spans="46:46">
      <c r="AT9514"/>
    </row>
    <row r="9515" spans="46:46">
      <c r="AT9515"/>
    </row>
    <row r="9516" spans="46:46">
      <c r="AT9516"/>
    </row>
    <row r="9517" spans="46:46">
      <c r="AT9517"/>
    </row>
    <row r="9518" spans="46:46">
      <c r="AT9518"/>
    </row>
    <row r="9519" spans="46:46">
      <c r="AT9519"/>
    </row>
    <row r="9520" spans="46:46">
      <c r="AT9520"/>
    </row>
    <row r="9521" spans="46:46">
      <c r="AT9521"/>
    </row>
    <row r="9522" spans="46:46">
      <c r="AT9522"/>
    </row>
    <row r="9523" spans="46:46">
      <c r="AT9523"/>
    </row>
    <row r="9524" spans="46:46">
      <c r="AT9524"/>
    </row>
    <row r="9525" spans="46:46">
      <c r="AT9525"/>
    </row>
    <row r="9526" spans="46:46">
      <c r="AT9526"/>
    </row>
    <row r="9527" spans="46:46">
      <c r="AT9527"/>
    </row>
    <row r="9528" spans="46:46">
      <c r="AT9528"/>
    </row>
    <row r="9529" spans="46:46">
      <c r="AT9529"/>
    </row>
    <row r="9530" spans="46:46">
      <c r="AT9530"/>
    </row>
    <row r="9531" spans="46:46">
      <c r="AT9531"/>
    </row>
    <row r="9532" spans="46:46">
      <c r="AT9532"/>
    </row>
    <row r="9533" spans="46:46">
      <c r="AT9533"/>
    </row>
    <row r="9534" spans="46:46">
      <c r="AT9534"/>
    </row>
    <row r="9535" spans="46:46">
      <c r="AT9535"/>
    </row>
    <row r="9536" spans="46:46">
      <c r="AT9536"/>
    </row>
    <row r="9537" spans="46:46">
      <c r="AT9537"/>
    </row>
    <row r="9538" spans="46:46">
      <c r="AT9538"/>
    </row>
    <row r="9539" spans="46:46">
      <c r="AT9539"/>
    </row>
    <row r="9540" spans="46:46">
      <c r="AT9540"/>
    </row>
    <row r="9541" spans="46:46">
      <c r="AT9541"/>
    </row>
    <row r="9542" spans="46:46">
      <c r="AT9542"/>
    </row>
    <row r="9543" spans="46:46">
      <c r="AT9543"/>
    </row>
    <row r="9544" spans="46:46">
      <c r="AT9544"/>
    </row>
    <row r="9545" spans="46:46">
      <c r="AT9545"/>
    </row>
    <row r="9546" spans="46:46">
      <c r="AT9546"/>
    </row>
    <row r="9547" spans="46:46">
      <c r="AT9547"/>
    </row>
    <row r="9548" spans="46:46">
      <c r="AT9548"/>
    </row>
    <row r="9549" spans="46:46">
      <c r="AT9549"/>
    </row>
    <row r="9550" spans="46:46">
      <c r="AT9550"/>
    </row>
    <row r="9551" spans="46:46">
      <c r="AT9551"/>
    </row>
    <row r="9552" spans="46:46">
      <c r="AT9552"/>
    </row>
    <row r="9553" spans="46:46">
      <c r="AT9553"/>
    </row>
    <row r="9554" spans="46:46">
      <c r="AT9554"/>
    </row>
    <row r="9555" spans="46:46">
      <c r="AT9555"/>
    </row>
    <row r="9556" spans="46:46">
      <c r="AT9556"/>
    </row>
    <row r="9557" spans="46:46">
      <c r="AT9557"/>
    </row>
    <row r="9558" spans="46:46">
      <c r="AT9558"/>
    </row>
    <row r="9559" spans="46:46">
      <c r="AT9559"/>
    </row>
    <row r="9560" spans="46:46">
      <c r="AT9560"/>
    </row>
    <row r="9561" spans="46:46">
      <c r="AT9561"/>
    </row>
    <row r="9562" spans="46:46">
      <c r="AT9562"/>
    </row>
    <row r="9563" spans="46:46">
      <c r="AT9563"/>
    </row>
    <row r="9564" spans="46:46">
      <c r="AT9564"/>
    </row>
    <row r="9565" spans="46:46">
      <c r="AT9565"/>
    </row>
    <row r="9566" spans="46:46">
      <c r="AT9566"/>
    </row>
    <row r="9567" spans="46:46">
      <c r="AT9567"/>
    </row>
    <row r="9568" spans="46:46">
      <c r="AT9568"/>
    </row>
    <row r="9569" spans="46:46">
      <c r="AT9569"/>
    </row>
    <row r="9570" spans="46:46">
      <c r="AT9570"/>
    </row>
    <row r="9571" spans="46:46">
      <c r="AT9571"/>
    </row>
    <row r="9572" spans="46:46">
      <c r="AT9572"/>
    </row>
    <row r="9573" spans="46:46">
      <c r="AT9573"/>
    </row>
    <row r="9574" spans="46:46">
      <c r="AT9574"/>
    </row>
    <row r="9575" spans="46:46">
      <c r="AT9575"/>
    </row>
    <row r="9576" spans="46:46">
      <c r="AT9576"/>
    </row>
    <row r="9577" spans="46:46">
      <c r="AT9577"/>
    </row>
    <row r="9578" spans="46:46">
      <c r="AT9578"/>
    </row>
    <row r="9579" spans="46:46">
      <c r="AT9579"/>
    </row>
    <row r="9580" spans="46:46">
      <c r="AT9580"/>
    </row>
    <row r="9581" spans="46:46">
      <c r="AT9581"/>
    </row>
    <row r="9582" spans="46:46">
      <c r="AT9582"/>
    </row>
    <row r="9583" spans="46:46">
      <c r="AT9583"/>
    </row>
    <row r="9584" spans="46:46">
      <c r="AT9584"/>
    </row>
    <row r="9585" spans="46:46">
      <c r="AT9585"/>
    </row>
    <row r="9586" spans="46:46">
      <c r="AT9586"/>
    </row>
    <row r="9587" spans="46:46">
      <c r="AT9587"/>
    </row>
    <row r="9588" spans="46:46">
      <c r="AT9588"/>
    </row>
    <row r="9589" spans="46:46">
      <c r="AT9589"/>
    </row>
    <row r="9590" spans="46:46">
      <c r="AT9590"/>
    </row>
    <row r="9591" spans="46:46">
      <c r="AT9591"/>
    </row>
    <row r="9592" spans="46:46">
      <c r="AT9592"/>
    </row>
    <row r="9593" spans="46:46">
      <c r="AT9593"/>
    </row>
    <row r="9594" spans="46:46">
      <c r="AT9594"/>
    </row>
    <row r="9595" spans="46:46">
      <c r="AT9595"/>
    </row>
    <row r="9596" spans="46:46">
      <c r="AT9596"/>
    </row>
    <row r="9597" spans="46:46">
      <c r="AT9597"/>
    </row>
    <row r="9598" spans="46:46">
      <c r="AT9598"/>
    </row>
    <row r="9599" spans="46:46">
      <c r="AT9599"/>
    </row>
    <row r="9600" spans="46:46">
      <c r="AT9600"/>
    </row>
    <row r="9601" spans="46:46">
      <c r="AT9601"/>
    </row>
    <row r="9602" spans="46:46">
      <c r="AT9602"/>
    </row>
    <row r="9603" spans="46:46">
      <c r="AT9603"/>
    </row>
    <row r="9604" spans="46:46">
      <c r="AT9604"/>
    </row>
    <row r="9605" spans="46:46">
      <c r="AT9605"/>
    </row>
    <row r="9606" spans="46:46">
      <c r="AT9606"/>
    </row>
    <row r="9607" spans="46:46">
      <c r="AT9607"/>
    </row>
    <row r="9608" spans="46:46">
      <c r="AT9608"/>
    </row>
    <row r="9609" spans="46:46">
      <c r="AT9609"/>
    </row>
    <row r="9610" spans="46:46">
      <c r="AT9610"/>
    </row>
    <row r="9611" spans="46:46">
      <c r="AT9611"/>
    </row>
    <row r="9612" spans="46:46">
      <c r="AT9612"/>
    </row>
    <row r="9613" spans="46:46">
      <c r="AT9613"/>
    </row>
    <row r="9614" spans="46:46">
      <c r="AT9614"/>
    </row>
    <row r="9615" spans="46:46">
      <c r="AT9615"/>
    </row>
    <row r="9616" spans="46:46">
      <c r="AT9616"/>
    </row>
    <row r="9617" spans="46:46">
      <c r="AT9617"/>
    </row>
    <row r="9618" spans="46:46">
      <c r="AT9618"/>
    </row>
    <row r="9619" spans="46:46">
      <c r="AT9619"/>
    </row>
    <row r="9620" spans="46:46">
      <c r="AT9620"/>
    </row>
    <row r="9621" spans="46:46">
      <c r="AT9621"/>
    </row>
    <row r="9622" spans="46:46">
      <c r="AT9622"/>
    </row>
    <row r="9623" spans="46:46">
      <c r="AT9623"/>
    </row>
    <row r="9624" spans="46:46">
      <c r="AT9624"/>
    </row>
    <row r="9625" spans="46:46">
      <c r="AT9625"/>
    </row>
    <row r="9626" spans="46:46">
      <c r="AT9626"/>
    </row>
    <row r="9627" spans="46:46">
      <c r="AT9627"/>
    </row>
    <row r="9628" spans="46:46">
      <c r="AT9628"/>
    </row>
    <row r="9629" spans="46:46">
      <c r="AT9629"/>
    </row>
    <row r="9630" spans="46:46">
      <c r="AT9630"/>
    </row>
    <row r="9631" spans="46:46">
      <c r="AT9631"/>
    </row>
    <row r="9632" spans="46:46">
      <c r="AT9632"/>
    </row>
    <row r="9633" spans="46:46">
      <c r="AT9633"/>
    </row>
    <row r="9634" spans="46:46">
      <c r="AT9634"/>
    </row>
    <row r="9635" spans="46:46">
      <c r="AT9635"/>
    </row>
    <row r="9636" spans="46:46">
      <c r="AT9636"/>
    </row>
    <row r="9637" spans="46:46">
      <c r="AT9637"/>
    </row>
    <row r="9638" spans="46:46">
      <c r="AT9638"/>
    </row>
    <row r="9639" spans="46:46">
      <c r="AT9639"/>
    </row>
    <row r="9640" spans="46:46">
      <c r="AT9640"/>
    </row>
    <row r="9641" spans="46:46">
      <c r="AT9641"/>
    </row>
    <row r="9642" spans="46:46">
      <c r="AT9642"/>
    </row>
    <row r="9643" spans="46:46">
      <c r="AT9643"/>
    </row>
    <row r="9644" spans="46:46">
      <c r="AT9644"/>
    </row>
    <row r="9645" spans="46:46">
      <c r="AT9645"/>
    </row>
    <row r="9646" spans="46:46">
      <c r="AT9646"/>
    </row>
    <row r="9647" spans="46:46">
      <c r="AT9647"/>
    </row>
    <row r="9648" spans="46:46">
      <c r="AT9648"/>
    </row>
    <row r="9649" spans="46:46">
      <c r="AT9649"/>
    </row>
    <row r="9650" spans="46:46">
      <c r="AT9650"/>
    </row>
    <row r="9651" spans="46:46">
      <c r="AT9651"/>
    </row>
    <row r="9652" spans="46:46">
      <c r="AT9652"/>
    </row>
    <row r="9653" spans="46:46">
      <c r="AT9653"/>
    </row>
    <row r="9654" spans="46:46">
      <c r="AT9654"/>
    </row>
    <row r="9655" spans="46:46">
      <c r="AT9655"/>
    </row>
    <row r="9656" spans="46:46">
      <c r="AT9656"/>
    </row>
    <row r="9657" spans="46:46">
      <c r="AT9657"/>
    </row>
    <row r="9658" spans="46:46">
      <c r="AT9658"/>
    </row>
    <row r="9659" spans="46:46">
      <c r="AT9659"/>
    </row>
    <row r="9660" spans="46:46">
      <c r="AT9660"/>
    </row>
    <row r="9661" spans="46:46">
      <c r="AT9661"/>
    </row>
    <row r="9662" spans="46:46">
      <c r="AT9662"/>
    </row>
    <row r="9663" spans="46:46">
      <c r="AT9663"/>
    </row>
    <row r="9664" spans="46:46">
      <c r="AT9664"/>
    </row>
    <row r="9665" spans="46:46">
      <c r="AT9665"/>
    </row>
    <row r="9666" spans="46:46">
      <c r="AT9666"/>
    </row>
    <row r="9667" spans="46:46">
      <c r="AT9667"/>
    </row>
    <row r="9668" spans="46:46">
      <c r="AT9668"/>
    </row>
    <row r="9669" spans="46:46">
      <c r="AT9669"/>
    </row>
    <row r="9670" spans="46:46">
      <c r="AT9670"/>
    </row>
    <row r="9671" spans="46:46">
      <c r="AT9671"/>
    </row>
    <row r="9672" spans="46:46">
      <c r="AT9672"/>
    </row>
    <row r="9673" spans="46:46">
      <c r="AT9673"/>
    </row>
    <row r="9674" spans="46:46">
      <c r="AT9674"/>
    </row>
    <row r="9675" spans="46:46">
      <c r="AT9675"/>
    </row>
    <row r="9676" spans="46:46">
      <c r="AT9676"/>
    </row>
    <row r="9677" spans="46:46">
      <c r="AT9677"/>
    </row>
    <row r="9678" spans="46:46">
      <c r="AT9678"/>
    </row>
    <row r="9679" spans="46:46">
      <c r="AT9679"/>
    </row>
    <row r="9680" spans="46:46">
      <c r="AT9680"/>
    </row>
    <row r="9681" spans="46:46">
      <c r="AT9681"/>
    </row>
    <row r="9682" spans="46:46">
      <c r="AT9682"/>
    </row>
    <row r="9683" spans="46:46">
      <c r="AT9683"/>
    </row>
    <row r="9684" spans="46:46">
      <c r="AT9684"/>
    </row>
    <row r="9685" spans="46:46">
      <c r="AT9685"/>
    </row>
    <row r="9686" spans="46:46">
      <c r="AT9686"/>
    </row>
    <row r="9687" spans="46:46">
      <c r="AT9687"/>
    </row>
    <row r="9688" spans="46:46">
      <c r="AT9688"/>
    </row>
    <row r="9689" spans="46:46">
      <c r="AT9689"/>
    </row>
    <row r="9690" spans="46:46">
      <c r="AT9690"/>
    </row>
    <row r="9691" spans="46:46">
      <c r="AT9691"/>
    </row>
    <row r="9692" spans="46:46">
      <c r="AT9692"/>
    </row>
    <row r="9693" spans="46:46">
      <c r="AT9693"/>
    </row>
    <row r="9694" spans="46:46">
      <c r="AT9694"/>
    </row>
    <row r="9695" spans="46:46">
      <c r="AT9695"/>
    </row>
    <row r="9696" spans="46:46">
      <c r="AT9696"/>
    </row>
    <row r="9697" spans="46:46">
      <c r="AT9697"/>
    </row>
    <row r="9698" spans="46:46">
      <c r="AT9698"/>
    </row>
    <row r="9699" spans="46:46">
      <c r="AT9699"/>
    </row>
    <row r="9700" spans="46:46">
      <c r="AT9700"/>
    </row>
    <row r="9701" spans="46:46">
      <c r="AT9701"/>
    </row>
    <row r="9702" spans="46:46">
      <c r="AT9702"/>
    </row>
    <row r="9703" spans="46:46">
      <c r="AT9703"/>
    </row>
    <row r="9704" spans="46:46">
      <c r="AT9704"/>
    </row>
    <row r="9705" spans="46:46">
      <c r="AT9705"/>
    </row>
    <row r="9706" spans="46:46">
      <c r="AT9706"/>
    </row>
    <row r="9707" spans="46:46">
      <c r="AT9707"/>
    </row>
    <row r="9708" spans="46:46">
      <c r="AT9708"/>
    </row>
    <row r="9709" spans="46:46">
      <c r="AT9709"/>
    </row>
    <row r="9710" spans="46:46">
      <c r="AT9710"/>
    </row>
    <row r="9711" spans="46:46">
      <c r="AT9711"/>
    </row>
    <row r="9712" spans="46:46">
      <c r="AT9712"/>
    </row>
    <row r="9713" spans="46:46">
      <c r="AT9713"/>
    </row>
    <row r="9714" spans="46:46">
      <c r="AT9714"/>
    </row>
    <row r="9715" spans="46:46">
      <c r="AT9715"/>
    </row>
    <row r="9716" spans="46:46">
      <c r="AT9716"/>
    </row>
    <row r="9717" spans="46:46">
      <c r="AT9717"/>
    </row>
    <row r="9718" spans="46:46">
      <c r="AT9718"/>
    </row>
    <row r="9719" spans="46:46">
      <c r="AT9719"/>
    </row>
    <row r="9720" spans="46:46">
      <c r="AT9720"/>
    </row>
    <row r="9721" spans="46:46">
      <c r="AT9721"/>
    </row>
    <row r="9722" spans="46:46">
      <c r="AT9722"/>
    </row>
    <row r="9723" spans="46:46">
      <c r="AT9723"/>
    </row>
    <row r="9724" spans="46:46">
      <c r="AT9724"/>
    </row>
    <row r="9725" spans="46:46">
      <c r="AT9725"/>
    </row>
    <row r="9726" spans="46:46">
      <c r="AT9726"/>
    </row>
    <row r="9727" spans="46:46">
      <c r="AT9727"/>
    </row>
    <row r="9728" spans="46:46">
      <c r="AT9728"/>
    </row>
    <row r="9729" spans="46:46">
      <c r="AT9729"/>
    </row>
    <row r="9730" spans="46:46">
      <c r="AT9730"/>
    </row>
    <row r="9731" spans="46:46">
      <c r="AT9731"/>
    </row>
    <row r="9732" spans="46:46">
      <c r="AT9732"/>
    </row>
    <row r="9733" spans="46:46">
      <c r="AT9733"/>
    </row>
    <row r="9734" spans="46:46">
      <c r="AT9734"/>
    </row>
    <row r="9735" spans="46:46">
      <c r="AT9735"/>
    </row>
    <row r="9736" spans="46:46">
      <c r="AT9736"/>
    </row>
    <row r="9737" spans="46:46">
      <c r="AT9737"/>
    </row>
    <row r="9738" spans="46:46">
      <c r="AT9738"/>
    </row>
    <row r="9739" spans="46:46">
      <c r="AT9739"/>
    </row>
    <row r="9740" spans="46:46">
      <c r="AT9740"/>
    </row>
    <row r="9741" spans="46:46">
      <c r="AT9741"/>
    </row>
    <row r="9742" spans="46:46">
      <c r="AT9742"/>
    </row>
    <row r="9743" spans="46:46">
      <c r="AT9743"/>
    </row>
    <row r="9744" spans="46:46">
      <c r="AT9744"/>
    </row>
    <row r="9745" spans="46:46">
      <c r="AT9745"/>
    </row>
    <row r="9746" spans="46:46">
      <c r="AT9746"/>
    </row>
    <row r="9747" spans="46:46">
      <c r="AT9747"/>
    </row>
    <row r="9748" spans="46:46">
      <c r="AT9748"/>
    </row>
    <row r="9749" spans="46:46">
      <c r="AT9749"/>
    </row>
    <row r="9750" spans="46:46">
      <c r="AT9750"/>
    </row>
    <row r="9751" spans="46:46">
      <c r="AT9751"/>
    </row>
    <row r="9752" spans="46:46">
      <c r="AT9752"/>
    </row>
    <row r="9753" spans="46:46">
      <c r="AT9753"/>
    </row>
    <row r="9754" spans="46:46">
      <c r="AT9754"/>
    </row>
    <row r="9755" spans="46:46">
      <c r="AT9755"/>
    </row>
    <row r="9756" spans="46:46">
      <c r="AT9756"/>
    </row>
    <row r="9757" spans="46:46">
      <c r="AT9757"/>
    </row>
    <row r="9758" spans="46:46">
      <c r="AT9758"/>
    </row>
    <row r="9759" spans="46:46">
      <c r="AT9759"/>
    </row>
    <row r="9760" spans="46:46">
      <c r="AT9760"/>
    </row>
    <row r="9761" spans="46:46">
      <c r="AT9761"/>
    </row>
    <row r="9762" spans="46:46">
      <c r="AT9762"/>
    </row>
    <row r="9763" spans="46:46">
      <c r="AT9763"/>
    </row>
    <row r="9764" spans="46:46">
      <c r="AT9764"/>
    </row>
    <row r="9765" spans="46:46">
      <c r="AT9765"/>
    </row>
    <row r="9766" spans="46:46">
      <c r="AT9766"/>
    </row>
    <row r="9767" spans="46:46">
      <c r="AT9767"/>
    </row>
    <row r="9768" spans="46:46">
      <c r="AT9768"/>
    </row>
    <row r="9769" spans="46:46">
      <c r="AT9769"/>
    </row>
    <row r="9770" spans="46:46">
      <c r="AT9770"/>
    </row>
    <row r="9771" spans="46:46">
      <c r="AT9771"/>
    </row>
    <row r="9772" spans="46:46">
      <c r="AT9772"/>
    </row>
    <row r="9773" spans="46:46">
      <c r="AT9773"/>
    </row>
    <row r="9774" spans="46:46">
      <c r="AT9774"/>
    </row>
    <row r="9775" spans="46:46">
      <c r="AT9775"/>
    </row>
    <row r="9776" spans="46:46">
      <c r="AT9776"/>
    </row>
    <row r="9777" spans="46:46">
      <c r="AT9777"/>
    </row>
    <row r="9778" spans="46:46">
      <c r="AT9778"/>
    </row>
    <row r="9779" spans="46:46">
      <c r="AT9779"/>
    </row>
    <row r="9780" spans="46:46">
      <c r="AT9780"/>
    </row>
    <row r="9781" spans="46:46">
      <c r="AT9781"/>
    </row>
    <row r="9782" spans="46:46">
      <c r="AT9782"/>
    </row>
    <row r="9783" spans="46:46">
      <c r="AT9783"/>
    </row>
    <row r="9784" spans="46:46">
      <c r="AT9784"/>
    </row>
    <row r="9785" spans="46:46">
      <c r="AT9785"/>
    </row>
    <row r="9786" spans="46:46">
      <c r="AT9786"/>
    </row>
    <row r="9787" spans="46:46">
      <c r="AT9787"/>
    </row>
    <row r="9788" spans="46:46">
      <c r="AT9788"/>
    </row>
    <row r="9789" spans="46:46">
      <c r="AT9789"/>
    </row>
    <row r="9790" spans="46:46">
      <c r="AT9790"/>
    </row>
    <row r="9791" spans="46:46">
      <c r="AT9791"/>
    </row>
    <row r="9792" spans="46:46">
      <c r="AT9792"/>
    </row>
    <row r="9793" spans="46:46">
      <c r="AT9793"/>
    </row>
    <row r="9794" spans="46:46">
      <c r="AT9794"/>
    </row>
    <row r="9795" spans="46:46">
      <c r="AT9795"/>
    </row>
    <row r="9796" spans="46:46">
      <c r="AT9796"/>
    </row>
    <row r="9797" spans="46:46">
      <c r="AT9797"/>
    </row>
    <row r="9798" spans="46:46">
      <c r="AT9798"/>
    </row>
    <row r="9799" spans="46:46">
      <c r="AT9799"/>
    </row>
    <row r="9800" spans="46:46">
      <c r="AT9800"/>
    </row>
    <row r="9801" spans="46:46">
      <c r="AT9801"/>
    </row>
    <row r="9802" spans="46:46">
      <c r="AT9802"/>
    </row>
    <row r="9803" spans="46:46">
      <c r="AT9803"/>
    </row>
    <row r="9804" spans="46:46">
      <c r="AT9804"/>
    </row>
    <row r="9805" spans="46:46">
      <c r="AT9805"/>
    </row>
    <row r="9806" spans="46:46">
      <c r="AT9806"/>
    </row>
    <row r="9807" spans="46:46">
      <c r="AT9807"/>
    </row>
    <row r="9808" spans="46:46">
      <c r="AT9808"/>
    </row>
    <row r="9809" spans="46:46">
      <c r="AT9809"/>
    </row>
    <row r="9810" spans="46:46">
      <c r="AT9810"/>
    </row>
    <row r="9811" spans="46:46">
      <c r="AT9811"/>
    </row>
    <row r="9812" spans="46:46">
      <c r="AT9812"/>
    </row>
    <row r="9813" spans="46:46">
      <c r="AT9813"/>
    </row>
    <row r="9814" spans="46:46">
      <c r="AT9814"/>
    </row>
    <row r="9815" spans="46:46">
      <c r="AT9815"/>
    </row>
    <row r="9816" spans="46:46">
      <c r="AT9816"/>
    </row>
    <row r="9817" spans="46:46">
      <c r="AT9817"/>
    </row>
    <row r="9818" spans="46:46">
      <c r="AT9818"/>
    </row>
    <row r="9819" spans="46:46">
      <c r="AT9819"/>
    </row>
    <row r="9820" spans="46:46">
      <c r="AT9820"/>
    </row>
    <row r="9821" spans="46:46">
      <c r="AT9821"/>
    </row>
    <row r="9822" spans="46:46">
      <c r="AT9822"/>
    </row>
    <row r="9823" spans="46:46">
      <c r="AT9823"/>
    </row>
    <row r="9824" spans="46:46">
      <c r="AT9824"/>
    </row>
    <row r="9825" spans="46:46">
      <c r="AT9825"/>
    </row>
    <row r="9826" spans="46:46">
      <c r="AT9826"/>
    </row>
    <row r="9827" spans="46:46">
      <c r="AT9827"/>
    </row>
    <row r="9828" spans="46:46">
      <c r="AT9828"/>
    </row>
    <row r="9829" spans="46:46">
      <c r="AT9829"/>
    </row>
    <row r="9830" spans="46:46">
      <c r="AT9830"/>
    </row>
    <row r="9831" spans="46:46">
      <c r="AT9831"/>
    </row>
    <row r="9832" spans="46:46">
      <c r="AT9832"/>
    </row>
    <row r="9833" spans="46:46">
      <c r="AT9833"/>
    </row>
    <row r="9834" spans="46:46">
      <c r="AT9834"/>
    </row>
    <row r="9835" spans="46:46">
      <c r="AT9835"/>
    </row>
    <row r="9836" spans="46:46">
      <c r="AT9836"/>
    </row>
    <row r="9837" spans="46:46">
      <c r="AT9837"/>
    </row>
    <row r="9838" spans="46:46">
      <c r="AT9838"/>
    </row>
    <row r="9839" spans="46:46">
      <c r="AT9839"/>
    </row>
    <row r="9840" spans="46:46">
      <c r="AT9840"/>
    </row>
    <row r="9841" spans="46:46">
      <c r="AT9841"/>
    </row>
    <row r="9842" spans="46:46">
      <c r="AT9842"/>
    </row>
    <row r="9843" spans="46:46">
      <c r="AT9843"/>
    </row>
    <row r="9844" spans="46:46">
      <c r="AT9844"/>
    </row>
    <row r="9845" spans="46:46">
      <c r="AT9845"/>
    </row>
    <row r="9846" spans="46:46">
      <c r="AT9846"/>
    </row>
    <row r="9847" spans="46:46">
      <c r="AT9847"/>
    </row>
    <row r="9848" spans="46:46">
      <c r="AT9848"/>
    </row>
    <row r="9849" spans="46:46">
      <c r="AT9849"/>
    </row>
    <row r="9850" spans="46:46">
      <c r="AT9850"/>
    </row>
    <row r="9851" spans="46:46">
      <c r="AT9851"/>
    </row>
    <row r="9852" spans="46:46">
      <c r="AT9852"/>
    </row>
    <row r="9853" spans="46:46">
      <c r="AT9853"/>
    </row>
    <row r="9854" spans="46:46">
      <c r="AT9854"/>
    </row>
    <row r="9855" spans="46:46">
      <c r="AT9855"/>
    </row>
    <row r="9856" spans="46:46">
      <c r="AT9856"/>
    </row>
    <row r="9857" spans="46:46">
      <c r="AT9857"/>
    </row>
    <row r="9858" spans="46:46">
      <c r="AT9858"/>
    </row>
    <row r="9859" spans="46:46">
      <c r="AT9859"/>
    </row>
    <row r="9860" spans="46:46">
      <c r="AT9860"/>
    </row>
    <row r="9861" spans="46:46">
      <c r="AT9861"/>
    </row>
    <row r="9862" spans="46:46">
      <c r="AT9862"/>
    </row>
    <row r="9863" spans="46:46">
      <c r="AT9863"/>
    </row>
    <row r="9864" spans="46:46">
      <c r="AT9864"/>
    </row>
    <row r="9865" spans="46:46">
      <c r="AT9865"/>
    </row>
    <row r="9866" spans="46:46">
      <c r="AT9866"/>
    </row>
    <row r="9867" spans="46:46">
      <c r="AT9867"/>
    </row>
    <row r="9868" spans="46:46">
      <c r="AT9868"/>
    </row>
    <row r="9869" spans="46:46">
      <c r="AT9869"/>
    </row>
    <row r="9870" spans="46:46">
      <c r="AT9870"/>
    </row>
    <row r="9871" spans="46:46">
      <c r="AT9871"/>
    </row>
    <row r="9872" spans="46:46">
      <c r="AT9872"/>
    </row>
    <row r="9873" spans="46:46">
      <c r="AT9873"/>
    </row>
    <row r="9874" spans="46:46">
      <c r="AT9874"/>
    </row>
    <row r="9875" spans="46:46">
      <c r="AT9875"/>
    </row>
    <row r="9876" spans="46:46">
      <c r="AT9876"/>
    </row>
    <row r="9877" spans="46:46">
      <c r="AT9877"/>
    </row>
    <row r="9878" spans="46:46">
      <c r="AT9878"/>
    </row>
    <row r="9879" spans="46:46">
      <c r="AT9879"/>
    </row>
    <row r="9880" spans="46:46">
      <c r="AT9880"/>
    </row>
    <row r="9881" spans="46:46">
      <c r="AT9881"/>
    </row>
    <row r="9882" spans="46:46">
      <c r="AT9882"/>
    </row>
    <row r="9883" spans="46:46">
      <c r="AT9883"/>
    </row>
    <row r="9884" spans="46:46">
      <c r="AT9884"/>
    </row>
    <row r="9885" spans="46:46">
      <c r="AT9885"/>
    </row>
    <row r="9886" spans="46:46">
      <c r="AT9886"/>
    </row>
    <row r="9887" spans="46:46">
      <c r="AT9887"/>
    </row>
    <row r="9888" spans="46:46">
      <c r="AT9888"/>
    </row>
    <row r="9889" spans="46:46">
      <c r="AT9889"/>
    </row>
    <row r="9890" spans="46:46">
      <c r="AT9890"/>
    </row>
    <row r="9891" spans="46:46">
      <c r="AT9891"/>
    </row>
    <row r="9892" spans="46:46">
      <c r="AT9892"/>
    </row>
    <row r="9893" spans="46:46">
      <c r="AT9893"/>
    </row>
    <row r="9894" spans="46:46">
      <c r="AT9894"/>
    </row>
    <row r="9895" spans="46:46">
      <c r="AT9895"/>
    </row>
    <row r="9896" spans="46:46">
      <c r="AT9896"/>
    </row>
    <row r="9897" spans="46:46">
      <c r="AT9897"/>
    </row>
    <row r="9898" spans="46:46">
      <c r="AT9898"/>
    </row>
    <row r="9899" spans="46:46">
      <c r="AT9899"/>
    </row>
    <row r="9900" spans="46:46">
      <c r="AT9900"/>
    </row>
    <row r="9901" spans="46:46">
      <c r="AT9901"/>
    </row>
    <row r="9902" spans="46:46">
      <c r="AT9902"/>
    </row>
    <row r="9903" spans="46:46">
      <c r="AT9903"/>
    </row>
    <row r="9904" spans="46:46">
      <c r="AT9904"/>
    </row>
    <row r="9905" spans="46:46">
      <c r="AT9905"/>
    </row>
    <row r="9906" spans="46:46">
      <c r="AT9906"/>
    </row>
    <row r="9907" spans="46:46">
      <c r="AT9907"/>
    </row>
    <row r="9908" spans="46:46">
      <c r="AT9908"/>
    </row>
    <row r="9909" spans="46:46">
      <c r="AT9909"/>
    </row>
    <row r="9910" spans="46:46">
      <c r="AT9910"/>
    </row>
    <row r="9911" spans="46:46">
      <c r="AT9911"/>
    </row>
    <row r="9912" spans="46:46">
      <c r="AT9912"/>
    </row>
    <row r="9913" spans="46:46">
      <c r="AT9913"/>
    </row>
    <row r="9914" spans="46:46">
      <c r="AT9914"/>
    </row>
    <row r="9915" spans="46:46">
      <c r="AT9915"/>
    </row>
    <row r="9916" spans="46:46">
      <c r="AT9916"/>
    </row>
    <row r="9917" spans="46:46">
      <c r="AT9917"/>
    </row>
    <row r="9918" spans="46:46">
      <c r="AT9918"/>
    </row>
    <row r="9919" spans="46:46">
      <c r="AT9919"/>
    </row>
    <row r="9920" spans="46:46">
      <c r="AT9920"/>
    </row>
    <row r="9921" spans="46:46">
      <c r="AT9921"/>
    </row>
    <row r="9922" spans="46:46">
      <c r="AT9922"/>
    </row>
    <row r="9923" spans="46:46">
      <c r="AT9923"/>
    </row>
    <row r="9924" spans="46:46">
      <c r="AT9924"/>
    </row>
    <row r="9925" spans="46:46">
      <c r="AT9925"/>
    </row>
    <row r="9926" spans="46:46">
      <c r="AT9926"/>
    </row>
    <row r="9927" spans="46:46">
      <c r="AT9927"/>
    </row>
    <row r="9928" spans="46:46">
      <c r="AT9928"/>
    </row>
    <row r="9929" spans="46:46">
      <c r="AT9929"/>
    </row>
    <row r="9930" spans="46:46">
      <c r="AT9930"/>
    </row>
    <row r="9931" spans="46:46">
      <c r="AT9931"/>
    </row>
    <row r="9932" spans="46:46">
      <c r="AT9932"/>
    </row>
    <row r="9933" spans="46:46">
      <c r="AT9933"/>
    </row>
    <row r="9934" spans="46:46">
      <c r="AT9934"/>
    </row>
    <row r="9935" spans="46:46">
      <c r="AT9935"/>
    </row>
    <row r="9936" spans="46:46">
      <c r="AT9936"/>
    </row>
    <row r="9937" spans="46:46">
      <c r="AT9937"/>
    </row>
    <row r="9938" spans="46:46">
      <c r="AT9938"/>
    </row>
    <row r="9939" spans="46:46">
      <c r="AT9939"/>
    </row>
    <row r="9940" spans="46:46">
      <c r="AT9940"/>
    </row>
    <row r="9941" spans="46:46">
      <c r="AT9941"/>
    </row>
    <row r="9942" spans="46:46">
      <c r="AT9942"/>
    </row>
    <row r="9943" spans="46:46">
      <c r="AT9943"/>
    </row>
    <row r="9944" spans="46:46">
      <c r="AT9944"/>
    </row>
    <row r="9945" spans="46:46">
      <c r="AT9945"/>
    </row>
    <row r="9946" spans="46:46">
      <c r="AT9946"/>
    </row>
    <row r="9947" spans="46:46">
      <c r="AT9947"/>
    </row>
    <row r="9948" spans="46:46">
      <c r="AT9948"/>
    </row>
    <row r="9949" spans="46:46">
      <c r="AT9949"/>
    </row>
    <row r="9950" spans="46:46">
      <c r="AT9950"/>
    </row>
    <row r="9951" spans="46:46">
      <c r="AT9951"/>
    </row>
    <row r="9952" spans="46:46">
      <c r="AT9952"/>
    </row>
    <row r="9953" spans="46:46">
      <c r="AT9953"/>
    </row>
    <row r="9954" spans="46:46">
      <c r="AT9954"/>
    </row>
    <row r="9955" spans="46:46">
      <c r="AT9955"/>
    </row>
    <row r="9956" spans="46:46">
      <c r="AT9956"/>
    </row>
    <row r="9957" spans="46:46">
      <c r="AT9957"/>
    </row>
    <row r="9958" spans="46:46">
      <c r="AT9958"/>
    </row>
    <row r="9959" spans="46:46">
      <c r="AT9959"/>
    </row>
    <row r="9960" spans="46:46">
      <c r="AT9960"/>
    </row>
    <row r="9961" spans="46:46">
      <c r="AT9961"/>
    </row>
    <row r="9962" spans="46:46">
      <c r="AT9962"/>
    </row>
    <row r="9963" spans="46:46">
      <c r="AT9963"/>
    </row>
    <row r="9964" spans="46:46">
      <c r="AT9964"/>
    </row>
    <row r="9965" spans="46:46">
      <c r="AT9965"/>
    </row>
    <row r="9966" spans="46:46">
      <c r="AT9966"/>
    </row>
    <row r="9967" spans="46:46">
      <c r="AT9967"/>
    </row>
    <row r="9968" spans="46:46">
      <c r="AT9968"/>
    </row>
    <row r="9969" spans="46:46">
      <c r="AT9969"/>
    </row>
    <row r="9970" spans="46:46">
      <c r="AT9970"/>
    </row>
    <row r="9971" spans="46:46">
      <c r="AT9971"/>
    </row>
    <row r="9972" spans="46:46">
      <c r="AT9972"/>
    </row>
    <row r="9973" spans="46:46">
      <c r="AT9973"/>
    </row>
    <row r="9974" spans="46:46">
      <c r="AT9974"/>
    </row>
    <row r="9975" spans="46:46">
      <c r="AT9975"/>
    </row>
    <row r="9976" spans="46:46">
      <c r="AT9976"/>
    </row>
    <row r="9977" spans="46:46">
      <c r="AT9977"/>
    </row>
    <row r="9978" spans="46:46">
      <c r="AT9978"/>
    </row>
    <row r="9979" spans="46:46">
      <c r="AT9979"/>
    </row>
    <row r="9980" spans="46:46">
      <c r="AT9980"/>
    </row>
    <row r="9981" spans="46:46">
      <c r="AT9981"/>
    </row>
    <row r="9982" spans="46:46">
      <c r="AT9982"/>
    </row>
    <row r="9983" spans="46:46">
      <c r="AT9983"/>
    </row>
    <row r="9984" spans="46:46">
      <c r="AT9984"/>
    </row>
    <row r="9985" spans="46:46">
      <c r="AT9985"/>
    </row>
    <row r="9986" spans="46:46">
      <c r="AT9986"/>
    </row>
    <row r="9987" spans="46:46">
      <c r="AT9987"/>
    </row>
    <row r="9988" spans="46:46">
      <c r="AT9988"/>
    </row>
    <row r="9989" spans="46:46">
      <c r="AT9989"/>
    </row>
    <row r="9990" spans="46:46">
      <c r="AT9990"/>
    </row>
    <row r="9991" spans="46:46">
      <c r="AT9991"/>
    </row>
    <row r="9992" spans="46:46">
      <c r="AT9992"/>
    </row>
    <row r="9993" spans="46:46">
      <c r="AT9993"/>
    </row>
    <row r="9994" spans="46:46">
      <c r="AT9994"/>
    </row>
    <row r="9995" spans="46:46">
      <c r="AT9995"/>
    </row>
    <row r="9996" spans="46:46">
      <c r="AT9996"/>
    </row>
    <row r="9997" spans="46:46">
      <c r="AT9997"/>
    </row>
    <row r="9998" spans="46:46">
      <c r="AT9998"/>
    </row>
    <row r="9999" spans="46:46">
      <c r="AT9999"/>
    </row>
    <row r="10000" spans="46:46">
      <c r="AT10000"/>
    </row>
    <row r="10001" spans="46:46">
      <c r="AT10001"/>
    </row>
    <row r="10002" spans="46:46">
      <c r="AT10002"/>
    </row>
    <row r="10003" spans="46:46">
      <c r="AT10003"/>
    </row>
    <row r="10004" spans="46:46">
      <c r="AT10004"/>
    </row>
    <row r="10005" spans="46:46">
      <c r="AT10005"/>
    </row>
    <row r="10006" spans="46:46">
      <c r="AT10006"/>
    </row>
    <row r="10007" spans="46:46">
      <c r="AT10007"/>
    </row>
    <row r="10008" spans="46:46">
      <c r="AT10008"/>
    </row>
    <row r="10009" spans="46:46">
      <c r="AT10009"/>
    </row>
    <row r="10010" spans="46:46">
      <c r="AT10010"/>
    </row>
    <row r="10011" spans="46:46">
      <c r="AT10011"/>
    </row>
    <row r="10012" spans="46:46">
      <c r="AT10012"/>
    </row>
    <row r="10013" spans="46:46">
      <c r="AT10013"/>
    </row>
    <row r="10014" spans="46:46">
      <c r="AT10014"/>
    </row>
    <row r="10015" spans="46:46">
      <c r="AT10015"/>
    </row>
    <row r="10016" spans="46:46">
      <c r="AT10016"/>
    </row>
    <row r="10017" spans="46:46">
      <c r="AT10017"/>
    </row>
    <row r="10018" spans="46:46">
      <c r="AT10018"/>
    </row>
    <row r="10019" spans="46:46">
      <c r="AT10019"/>
    </row>
    <row r="10020" spans="46:46">
      <c r="AT10020"/>
    </row>
    <row r="10021" spans="46:46">
      <c r="AT10021"/>
    </row>
    <row r="10022" spans="46:46">
      <c r="AT10022"/>
    </row>
    <row r="10023" spans="46:46">
      <c r="AT10023"/>
    </row>
    <row r="10024" spans="46:46">
      <c r="AT10024"/>
    </row>
    <row r="10025" spans="46:46">
      <c r="AT10025"/>
    </row>
    <row r="10026" spans="46:46">
      <c r="AT10026"/>
    </row>
    <row r="10027" spans="46:46">
      <c r="AT10027"/>
    </row>
    <row r="10028" spans="46:46">
      <c r="AT10028"/>
    </row>
    <row r="10029" spans="46:46">
      <c r="AT10029"/>
    </row>
    <row r="10030" spans="46:46">
      <c r="AT10030"/>
    </row>
    <row r="10031" spans="46:46">
      <c r="AT10031"/>
    </row>
    <row r="10032" spans="46:46">
      <c r="AT10032"/>
    </row>
    <row r="10033" spans="46:46">
      <c r="AT10033"/>
    </row>
    <row r="10034" spans="46:46">
      <c r="AT10034"/>
    </row>
    <row r="10035" spans="46:46">
      <c r="AT10035"/>
    </row>
    <row r="10036" spans="46:46">
      <c r="AT10036"/>
    </row>
    <row r="10037" spans="46:46">
      <c r="AT10037"/>
    </row>
    <row r="10038" spans="46:46">
      <c r="AT10038"/>
    </row>
    <row r="10039" spans="46:46">
      <c r="AT10039"/>
    </row>
    <row r="10040" spans="46:46">
      <c r="AT10040"/>
    </row>
    <row r="10041" spans="46:46">
      <c r="AT10041"/>
    </row>
    <row r="10042" spans="46:46">
      <c r="AT10042"/>
    </row>
    <row r="10043" spans="46:46">
      <c r="AT10043"/>
    </row>
    <row r="10044" spans="46:46">
      <c r="AT10044"/>
    </row>
    <row r="10045" spans="46:46">
      <c r="AT10045"/>
    </row>
    <row r="10046" spans="46:46">
      <c r="AT10046"/>
    </row>
    <row r="10047" spans="46:46">
      <c r="AT10047"/>
    </row>
    <row r="10048" spans="46:46">
      <c r="AT10048"/>
    </row>
    <row r="10049" spans="46:46">
      <c r="AT10049"/>
    </row>
    <row r="10050" spans="46:46">
      <c r="AT10050"/>
    </row>
    <row r="10051" spans="46:46">
      <c r="AT10051"/>
    </row>
    <row r="10052" spans="46:46">
      <c r="AT10052"/>
    </row>
    <row r="10053" spans="46:46">
      <c r="AT10053"/>
    </row>
    <row r="10054" spans="46:46">
      <c r="AT10054"/>
    </row>
    <row r="10055" spans="46:46">
      <c r="AT10055"/>
    </row>
    <row r="10056" spans="46:46">
      <c r="AT10056"/>
    </row>
    <row r="10057" spans="46:46">
      <c r="AT10057"/>
    </row>
    <row r="10058" spans="46:46">
      <c r="AT10058"/>
    </row>
    <row r="10059" spans="46:46">
      <c r="AT10059"/>
    </row>
    <row r="10060" spans="46:46">
      <c r="AT10060"/>
    </row>
    <row r="10061" spans="46:46">
      <c r="AT10061"/>
    </row>
    <row r="10062" spans="46:46">
      <c r="AT10062"/>
    </row>
    <row r="10063" spans="46:46">
      <c r="AT10063"/>
    </row>
    <row r="10064" spans="46:46">
      <c r="AT10064"/>
    </row>
    <row r="10065" spans="46:46">
      <c r="AT10065"/>
    </row>
    <row r="10066" spans="46:46">
      <c r="AT10066"/>
    </row>
    <row r="10067" spans="46:46">
      <c r="AT10067"/>
    </row>
    <row r="10068" spans="46:46">
      <c r="AT10068"/>
    </row>
    <row r="10069" spans="46:46">
      <c r="AT10069"/>
    </row>
    <row r="10070" spans="46:46">
      <c r="AT10070"/>
    </row>
    <row r="10071" spans="46:46">
      <c r="AT10071"/>
    </row>
    <row r="10072" spans="46:46">
      <c r="AT10072"/>
    </row>
    <row r="10073" spans="46:46">
      <c r="AT10073"/>
    </row>
    <row r="10074" spans="46:46">
      <c r="AT10074"/>
    </row>
    <row r="10075" spans="46:46">
      <c r="AT10075"/>
    </row>
    <row r="10076" spans="46:46">
      <c r="AT10076"/>
    </row>
    <row r="10077" spans="46:46">
      <c r="AT10077"/>
    </row>
    <row r="10078" spans="46:46">
      <c r="AT10078"/>
    </row>
    <row r="10079" spans="46:46">
      <c r="AT10079"/>
    </row>
    <row r="10080" spans="46:46">
      <c r="AT10080"/>
    </row>
    <row r="10081" spans="46:46">
      <c r="AT10081"/>
    </row>
    <row r="10082" spans="46:46">
      <c r="AT10082"/>
    </row>
    <row r="10083" spans="46:46">
      <c r="AT10083"/>
    </row>
    <row r="10084" spans="46:46">
      <c r="AT10084"/>
    </row>
    <row r="10085" spans="46:46">
      <c r="AT10085"/>
    </row>
    <row r="10086" spans="46:46">
      <c r="AT10086"/>
    </row>
    <row r="10087" spans="46:46">
      <c r="AT10087"/>
    </row>
    <row r="10088" spans="46:46">
      <c r="AT10088"/>
    </row>
    <row r="10089" spans="46:46">
      <c r="AT10089"/>
    </row>
    <row r="10090" spans="46:46">
      <c r="AT10090"/>
    </row>
    <row r="10091" spans="46:46">
      <c r="AT10091"/>
    </row>
    <row r="10092" spans="46:46">
      <c r="AT10092"/>
    </row>
    <row r="10093" spans="46:46">
      <c r="AT10093"/>
    </row>
    <row r="10094" spans="46:46">
      <c r="AT10094"/>
    </row>
    <row r="10095" spans="46:46">
      <c r="AT10095"/>
    </row>
    <row r="10096" spans="46:46">
      <c r="AT10096"/>
    </row>
    <row r="10097" spans="46:46">
      <c r="AT10097"/>
    </row>
    <row r="10098" spans="46:46">
      <c r="AT10098"/>
    </row>
    <row r="10099" spans="46:46">
      <c r="AT10099"/>
    </row>
    <row r="10100" spans="46:46">
      <c r="AT10100"/>
    </row>
    <row r="10101" spans="46:46">
      <c r="AT10101"/>
    </row>
    <row r="10102" spans="46:46">
      <c r="AT10102"/>
    </row>
    <row r="10103" spans="46:46">
      <c r="AT10103"/>
    </row>
    <row r="10104" spans="46:46">
      <c r="AT10104"/>
    </row>
    <row r="10105" spans="46:46">
      <c r="AT10105"/>
    </row>
    <row r="10106" spans="46:46">
      <c r="AT10106"/>
    </row>
    <row r="10107" spans="46:46">
      <c r="AT10107"/>
    </row>
    <row r="10108" spans="46:46">
      <c r="AT10108"/>
    </row>
    <row r="10109" spans="46:46">
      <c r="AT10109"/>
    </row>
    <row r="10110" spans="46:46">
      <c r="AT10110"/>
    </row>
    <row r="10111" spans="46:46">
      <c r="AT10111"/>
    </row>
    <row r="10112" spans="46:46">
      <c r="AT10112"/>
    </row>
    <row r="10113" spans="46:46">
      <c r="AT10113"/>
    </row>
    <row r="10114" spans="46:46">
      <c r="AT10114"/>
    </row>
    <row r="10115" spans="46:46">
      <c r="AT10115"/>
    </row>
    <row r="10116" spans="46:46">
      <c r="AT10116"/>
    </row>
    <row r="10117" spans="46:46">
      <c r="AT10117"/>
    </row>
    <row r="10118" spans="46:46">
      <c r="AT10118"/>
    </row>
    <row r="10119" spans="46:46">
      <c r="AT10119"/>
    </row>
    <row r="10120" spans="46:46">
      <c r="AT10120"/>
    </row>
    <row r="10121" spans="46:46">
      <c r="AT10121"/>
    </row>
    <row r="10122" spans="46:46">
      <c r="AT10122"/>
    </row>
    <row r="10123" spans="46:46">
      <c r="AT10123"/>
    </row>
    <row r="10124" spans="46:46">
      <c r="AT10124"/>
    </row>
    <row r="10125" spans="46:46">
      <c r="AT10125"/>
    </row>
    <row r="10126" spans="46:46">
      <c r="AT10126"/>
    </row>
    <row r="10127" spans="46:46">
      <c r="AT10127"/>
    </row>
    <row r="10128" spans="46:46">
      <c r="AT10128"/>
    </row>
    <row r="10129" spans="46:46">
      <c r="AT10129"/>
    </row>
    <row r="10130" spans="46:46">
      <c r="AT10130"/>
    </row>
    <row r="10131" spans="46:46">
      <c r="AT10131"/>
    </row>
    <row r="10132" spans="46:46">
      <c r="AT10132"/>
    </row>
    <row r="10133" spans="46:46">
      <c r="AT10133"/>
    </row>
    <row r="10134" spans="46:46">
      <c r="AT10134"/>
    </row>
    <row r="10135" spans="46:46">
      <c r="AT10135"/>
    </row>
    <row r="10136" spans="46:46">
      <c r="AT10136"/>
    </row>
    <row r="10137" spans="46:46">
      <c r="AT10137"/>
    </row>
    <row r="10138" spans="46:46">
      <c r="AT10138"/>
    </row>
    <row r="10139" spans="46:46">
      <c r="AT10139"/>
    </row>
    <row r="10140" spans="46:46">
      <c r="AT10140"/>
    </row>
    <row r="10141" spans="46:46">
      <c r="AT10141"/>
    </row>
    <row r="10142" spans="46:46">
      <c r="AT10142"/>
    </row>
    <row r="10143" spans="46:46">
      <c r="AT10143"/>
    </row>
    <row r="10144" spans="46:46">
      <c r="AT10144"/>
    </row>
    <row r="10145" spans="46:46">
      <c r="AT10145"/>
    </row>
    <row r="10146" spans="46:46">
      <c r="AT10146"/>
    </row>
    <row r="10147" spans="46:46">
      <c r="AT10147"/>
    </row>
    <row r="10148" spans="46:46">
      <c r="AT10148"/>
    </row>
    <row r="10149" spans="46:46">
      <c r="AT10149"/>
    </row>
    <row r="10150" spans="46:46">
      <c r="AT10150"/>
    </row>
    <row r="10151" spans="46:46">
      <c r="AT10151"/>
    </row>
    <row r="10152" spans="46:46">
      <c r="AT10152"/>
    </row>
    <row r="10153" spans="46:46">
      <c r="AT10153"/>
    </row>
    <row r="10154" spans="46:46">
      <c r="AT10154"/>
    </row>
    <row r="10155" spans="46:46">
      <c r="AT10155"/>
    </row>
    <row r="10156" spans="46:46">
      <c r="AT10156"/>
    </row>
    <row r="10157" spans="46:46">
      <c r="AT10157"/>
    </row>
    <row r="10158" spans="46:46">
      <c r="AT10158"/>
    </row>
    <row r="10159" spans="46:46">
      <c r="AT10159"/>
    </row>
    <row r="10160" spans="46:46">
      <c r="AT10160"/>
    </row>
    <row r="10161" spans="46:46">
      <c r="AT10161"/>
    </row>
    <row r="10162" spans="46:46">
      <c r="AT10162"/>
    </row>
    <row r="10163" spans="46:46">
      <c r="AT10163"/>
    </row>
    <row r="10164" spans="46:46">
      <c r="AT10164"/>
    </row>
    <row r="10165" spans="46:46">
      <c r="AT10165"/>
    </row>
    <row r="10166" spans="46:46">
      <c r="AT10166"/>
    </row>
    <row r="10167" spans="46:46">
      <c r="AT10167"/>
    </row>
    <row r="10168" spans="46:46">
      <c r="AT10168"/>
    </row>
    <row r="10169" spans="46:46">
      <c r="AT10169"/>
    </row>
    <row r="10170" spans="46:46">
      <c r="AT10170"/>
    </row>
    <row r="10171" spans="46:46">
      <c r="AT10171"/>
    </row>
    <row r="10172" spans="46:46">
      <c r="AT10172"/>
    </row>
    <row r="10173" spans="46:46">
      <c r="AT10173"/>
    </row>
    <row r="10174" spans="46:46">
      <c r="AT10174"/>
    </row>
    <row r="10175" spans="46:46">
      <c r="AT10175"/>
    </row>
    <row r="10176" spans="46:46">
      <c r="AT10176"/>
    </row>
    <row r="10177" spans="46:46">
      <c r="AT10177"/>
    </row>
    <row r="10178" spans="46:46">
      <c r="AT10178"/>
    </row>
    <row r="10179" spans="46:46">
      <c r="AT10179"/>
    </row>
    <row r="10180" spans="46:46">
      <c r="AT10180"/>
    </row>
    <row r="10181" spans="46:46">
      <c r="AT10181"/>
    </row>
    <row r="10182" spans="46:46">
      <c r="AT10182"/>
    </row>
    <row r="10183" spans="46:46">
      <c r="AT10183"/>
    </row>
    <row r="10184" spans="46:46">
      <c r="AT10184"/>
    </row>
    <row r="10185" spans="46:46">
      <c r="AT10185"/>
    </row>
    <row r="10186" spans="46:46">
      <c r="AT10186"/>
    </row>
    <row r="10187" spans="46:46">
      <c r="AT10187"/>
    </row>
    <row r="10188" spans="46:46">
      <c r="AT10188"/>
    </row>
    <row r="10189" spans="46:46">
      <c r="AT10189"/>
    </row>
    <row r="10190" spans="46:46">
      <c r="AT10190"/>
    </row>
    <row r="10191" spans="46:46">
      <c r="AT10191"/>
    </row>
    <row r="10192" spans="46:46">
      <c r="AT10192"/>
    </row>
    <row r="10193" spans="46:46">
      <c r="AT10193"/>
    </row>
    <row r="10194" spans="46:46">
      <c r="AT10194"/>
    </row>
    <row r="10195" spans="46:46">
      <c r="AT10195"/>
    </row>
    <row r="10196" spans="46:46">
      <c r="AT10196"/>
    </row>
    <row r="10197" spans="46:46">
      <c r="AT10197"/>
    </row>
    <row r="10198" spans="46:46">
      <c r="AT10198"/>
    </row>
    <row r="10199" spans="46:46">
      <c r="AT10199"/>
    </row>
    <row r="10200" spans="46:46">
      <c r="AT10200"/>
    </row>
    <row r="10201" spans="46:46">
      <c r="AT10201"/>
    </row>
    <row r="10202" spans="46:46">
      <c r="AT10202"/>
    </row>
    <row r="10203" spans="46:46">
      <c r="AT10203"/>
    </row>
    <row r="10204" spans="46:46">
      <c r="AT10204"/>
    </row>
    <row r="10205" spans="46:46">
      <c r="AT10205"/>
    </row>
    <row r="10206" spans="46:46">
      <c r="AT10206"/>
    </row>
    <row r="10207" spans="46:46">
      <c r="AT10207"/>
    </row>
    <row r="10208" spans="46:46">
      <c r="AT10208"/>
    </row>
    <row r="10209" spans="46:46">
      <c r="AT10209"/>
    </row>
    <row r="10210" spans="46:46">
      <c r="AT10210"/>
    </row>
    <row r="10211" spans="46:46">
      <c r="AT10211"/>
    </row>
    <row r="10212" spans="46:46">
      <c r="AT10212"/>
    </row>
    <row r="10213" spans="46:46">
      <c r="AT10213"/>
    </row>
    <row r="10214" spans="46:46">
      <c r="AT10214"/>
    </row>
    <row r="10215" spans="46:46">
      <c r="AT10215"/>
    </row>
    <row r="10216" spans="46:46">
      <c r="AT10216"/>
    </row>
    <row r="10217" spans="46:46">
      <c r="AT10217"/>
    </row>
    <row r="10218" spans="46:46">
      <c r="AT10218"/>
    </row>
    <row r="10219" spans="46:46">
      <c r="AT10219"/>
    </row>
    <row r="10220" spans="46:46">
      <c r="AT10220"/>
    </row>
    <row r="10221" spans="46:46">
      <c r="AT10221"/>
    </row>
    <row r="10222" spans="46:46">
      <c r="AT10222"/>
    </row>
    <row r="10223" spans="46:46">
      <c r="AT10223"/>
    </row>
    <row r="10224" spans="46:46">
      <c r="AT10224"/>
    </row>
    <row r="10225" spans="46:46">
      <c r="AT10225"/>
    </row>
    <row r="10226" spans="46:46">
      <c r="AT10226"/>
    </row>
    <row r="10227" spans="46:46">
      <c r="AT10227"/>
    </row>
    <row r="10228" spans="46:46">
      <c r="AT10228"/>
    </row>
    <row r="10229" spans="46:46">
      <c r="AT10229"/>
    </row>
    <row r="10230" spans="46:46">
      <c r="AT10230"/>
    </row>
    <row r="10231" spans="46:46">
      <c r="AT10231"/>
    </row>
    <row r="10232" spans="46:46">
      <c r="AT10232"/>
    </row>
    <row r="10233" spans="46:46">
      <c r="AT10233"/>
    </row>
    <row r="10234" spans="46:46">
      <c r="AT10234"/>
    </row>
    <row r="10235" spans="46:46">
      <c r="AT10235"/>
    </row>
    <row r="10236" spans="46:46">
      <c r="AT10236"/>
    </row>
    <row r="10237" spans="46:46">
      <c r="AT10237"/>
    </row>
    <row r="10238" spans="46:46">
      <c r="AT10238"/>
    </row>
    <row r="10239" spans="46:46">
      <c r="AT10239"/>
    </row>
    <row r="10240" spans="46:46">
      <c r="AT10240"/>
    </row>
    <row r="10241" spans="46:46">
      <c r="AT10241"/>
    </row>
    <row r="10242" spans="46:46">
      <c r="AT10242"/>
    </row>
    <row r="10243" spans="46:46">
      <c r="AT10243"/>
    </row>
    <row r="10244" spans="46:46">
      <c r="AT10244"/>
    </row>
    <row r="10245" spans="46:46">
      <c r="AT10245"/>
    </row>
    <row r="10246" spans="46:46">
      <c r="AT10246"/>
    </row>
    <row r="10247" spans="46:46">
      <c r="AT10247"/>
    </row>
    <row r="10248" spans="46:46">
      <c r="AT10248"/>
    </row>
    <row r="10249" spans="46:46">
      <c r="AT10249"/>
    </row>
    <row r="10250" spans="46:46">
      <c r="AT10250"/>
    </row>
    <row r="10251" spans="46:46">
      <c r="AT10251"/>
    </row>
    <row r="10252" spans="46:46">
      <c r="AT10252"/>
    </row>
    <row r="10253" spans="46:46">
      <c r="AT10253"/>
    </row>
    <row r="10254" spans="46:46">
      <c r="AT10254"/>
    </row>
    <row r="10255" spans="46:46">
      <c r="AT10255"/>
    </row>
    <row r="10256" spans="46:46">
      <c r="AT10256"/>
    </row>
    <row r="10257" spans="46:46">
      <c r="AT10257"/>
    </row>
    <row r="10258" spans="46:46">
      <c r="AT10258"/>
    </row>
    <row r="10259" spans="46:46">
      <c r="AT10259"/>
    </row>
    <row r="10260" spans="46:46">
      <c r="AT10260"/>
    </row>
    <row r="10261" spans="46:46">
      <c r="AT10261"/>
    </row>
    <row r="10262" spans="46:46">
      <c r="AT10262"/>
    </row>
    <row r="10263" spans="46:46">
      <c r="AT10263"/>
    </row>
    <row r="10264" spans="46:46">
      <c r="AT10264"/>
    </row>
    <row r="10265" spans="46:46">
      <c r="AT10265"/>
    </row>
    <row r="10266" spans="46:46">
      <c r="AT10266"/>
    </row>
    <row r="10267" spans="46:46">
      <c r="AT10267"/>
    </row>
    <row r="10268" spans="46:46">
      <c r="AT10268"/>
    </row>
    <row r="10269" spans="46:46">
      <c r="AT10269"/>
    </row>
    <row r="10270" spans="46:46">
      <c r="AT10270"/>
    </row>
    <row r="10271" spans="46:46">
      <c r="AT10271"/>
    </row>
    <row r="10272" spans="46:46">
      <c r="AT10272"/>
    </row>
    <row r="10273" spans="46:46">
      <c r="AT10273"/>
    </row>
    <row r="10274" spans="46:46">
      <c r="AT10274"/>
    </row>
    <row r="10275" spans="46:46">
      <c r="AT10275"/>
    </row>
    <row r="10276" spans="46:46">
      <c r="AT10276"/>
    </row>
    <row r="10277" spans="46:46">
      <c r="AT10277"/>
    </row>
    <row r="10278" spans="46:46">
      <c r="AT10278"/>
    </row>
    <row r="10279" spans="46:46">
      <c r="AT10279"/>
    </row>
    <row r="10280" spans="46:46">
      <c r="AT10280"/>
    </row>
    <row r="10281" spans="46:46">
      <c r="AT10281"/>
    </row>
    <row r="10282" spans="46:46">
      <c r="AT10282"/>
    </row>
    <row r="10283" spans="46:46">
      <c r="AT10283"/>
    </row>
    <row r="10284" spans="46:46">
      <c r="AT10284"/>
    </row>
    <row r="10285" spans="46:46">
      <c r="AT10285"/>
    </row>
    <row r="10286" spans="46:46">
      <c r="AT10286"/>
    </row>
    <row r="10287" spans="46:46">
      <c r="AT10287"/>
    </row>
    <row r="10288" spans="46:46">
      <c r="AT10288"/>
    </row>
    <row r="10289" spans="46:46">
      <c r="AT10289"/>
    </row>
    <row r="10290" spans="46:46">
      <c r="AT10290"/>
    </row>
    <row r="10291" spans="46:46">
      <c r="AT10291"/>
    </row>
    <row r="10292" spans="46:46">
      <c r="AT10292"/>
    </row>
    <row r="10293" spans="46:46">
      <c r="AT10293"/>
    </row>
    <row r="10294" spans="46:46">
      <c r="AT10294"/>
    </row>
    <row r="10295" spans="46:46">
      <c r="AT10295"/>
    </row>
    <row r="10296" spans="46:46">
      <c r="AT10296"/>
    </row>
    <row r="10297" spans="46:46">
      <c r="AT10297"/>
    </row>
    <row r="10298" spans="46:46">
      <c r="AT10298"/>
    </row>
    <row r="10299" spans="46:46">
      <c r="AT10299"/>
    </row>
    <row r="10300" spans="46:46">
      <c r="AT10300"/>
    </row>
    <row r="10301" spans="46:46">
      <c r="AT10301"/>
    </row>
    <row r="10302" spans="46:46">
      <c r="AT10302"/>
    </row>
    <row r="10303" spans="46:46">
      <c r="AT10303"/>
    </row>
    <row r="10304" spans="46:46">
      <c r="AT10304"/>
    </row>
    <row r="10305" spans="46:46">
      <c r="AT10305"/>
    </row>
    <row r="10306" spans="46:46">
      <c r="AT10306"/>
    </row>
    <row r="10307" spans="46:46">
      <c r="AT10307"/>
    </row>
    <row r="10308" spans="46:46">
      <c r="AT10308"/>
    </row>
    <row r="10309" spans="46:46">
      <c r="AT10309"/>
    </row>
    <row r="10310" spans="46:46">
      <c r="AT10310"/>
    </row>
    <row r="10311" spans="46:46">
      <c r="AT10311"/>
    </row>
    <row r="10312" spans="46:46">
      <c r="AT10312"/>
    </row>
    <row r="10313" spans="46:46">
      <c r="AT10313"/>
    </row>
    <row r="10314" spans="46:46">
      <c r="AT10314"/>
    </row>
    <row r="10315" spans="46:46">
      <c r="AT10315"/>
    </row>
    <row r="10316" spans="46:46">
      <c r="AT10316"/>
    </row>
    <row r="10317" spans="46:46">
      <c r="AT10317"/>
    </row>
    <row r="10318" spans="46:46">
      <c r="AT10318"/>
    </row>
    <row r="10319" spans="46:46">
      <c r="AT10319"/>
    </row>
    <row r="10320" spans="46:46">
      <c r="AT10320"/>
    </row>
    <row r="10321" spans="46:46">
      <c r="AT10321"/>
    </row>
    <row r="10322" spans="46:46">
      <c r="AT10322"/>
    </row>
    <row r="10323" spans="46:46">
      <c r="AT10323"/>
    </row>
    <row r="10324" spans="46:46">
      <c r="AT10324"/>
    </row>
    <row r="10325" spans="46:46">
      <c r="AT10325"/>
    </row>
    <row r="10326" spans="46:46">
      <c r="AT10326"/>
    </row>
    <row r="10327" spans="46:46">
      <c r="AT10327"/>
    </row>
    <row r="10328" spans="46:46">
      <c r="AT10328"/>
    </row>
    <row r="10329" spans="46:46">
      <c r="AT10329"/>
    </row>
    <row r="10330" spans="46:46">
      <c r="AT10330"/>
    </row>
    <row r="10331" spans="46:46">
      <c r="AT10331"/>
    </row>
    <row r="10332" spans="46:46">
      <c r="AT10332"/>
    </row>
    <row r="10333" spans="46:46">
      <c r="AT10333"/>
    </row>
    <row r="10334" spans="46:46">
      <c r="AT10334"/>
    </row>
    <row r="10335" spans="46:46">
      <c r="AT10335"/>
    </row>
    <row r="10336" spans="46:46">
      <c r="AT10336"/>
    </row>
    <row r="10337" spans="46:46">
      <c r="AT10337"/>
    </row>
    <row r="10338" spans="46:46">
      <c r="AT10338"/>
    </row>
    <row r="10339" spans="46:46">
      <c r="AT10339"/>
    </row>
    <row r="10340" spans="46:46">
      <c r="AT10340"/>
    </row>
    <row r="10341" spans="46:46">
      <c r="AT10341"/>
    </row>
    <row r="10342" spans="46:46">
      <c r="AT10342"/>
    </row>
    <row r="10343" spans="46:46">
      <c r="AT10343"/>
    </row>
    <row r="10344" spans="46:46">
      <c r="AT10344"/>
    </row>
    <row r="10345" spans="46:46">
      <c r="AT10345"/>
    </row>
    <row r="10346" spans="46:46">
      <c r="AT10346"/>
    </row>
    <row r="10347" spans="46:46">
      <c r="AT10347"/>
    </row>
    <row r="10348" spans="46:46">
      <c r="AT10348"/>
    </row>
    <row r="10349" spans="46:46">
      <c r="AT10349"/>
    </row>
    <row r="10350" spans="46:46">
      <c r="AT10350"/>
    </row>
    <row r="10351" spans="46:46">
      <c r="AT10351"/>
    </row>
    <row r="10352" spans="46:46">
      <c r="AT10352"/>
    </row>
    <row r="10353" spans="46:46">
      <c r="AT10353"/>
    </row>
    <row r="10354" spans="46:46">
      <c r="AT10354"/>
    </row>
    <row r="10355" spans="46:46">
      <c r="AT10355"/>
    </row>
    <row r="10356" spans="46:46">
      <c r="AT10356"/>
    </row>
    <row r="10357" spans="46:46">
      <c r="AT10357"/>
    </row>
    <row r="10358" spans="46:46">
      <c r="AT10358"/>
    </row>
    <row r="10359" spans="46:46">
      <c r="AT10359"/>
    </row>
    <row r="10360" spans="46:46">
      <c r="AT10360"/>
    </row>
    <row r="10361" spans="46:46">
      <c r="AT10361"/>
    </row>
    <row r="10362" spans="46:46">
      <c r="AT10362"/>
    </row>
    <row r="10363" spans="46:46">
      <c r="AT10363"/>
    </row>
    <row r="10364" spans="46:46">
      <c r="AT10364"/>
    </row>
    <row r="10365" spans="46:46">
      <c r="AT10365"/>
    </row>
    <row r="10366" spans="46:46">
      <c r="AT10366"/>
    </row>
    <row r="10367" spans="46:46">
      <c r="AT10367"/>
    </row>
    <row r="10368" spans="46:46">
      <c r="AT10368"/>
    </row>
    <row r="10369" spans="46:46">
      <c r="AT10369"/>
    </row>
    <row r="10370" spans="46:46">
      <c r="AT10370"/>
    </row>
    <row r="10371" spans="46:46">
      <c r="AT10371"/>
    </row>
    <row r="10372" spans="46:46">
      <c r="AT10372"/>
    </row>
    <row r="10373" spans="46:46">
      <c r="AT10373"/>
    </row>
    <row r="10374" spans="46:46">
      <c r="AT10374"/>
    </row>
    <row r="10375" spans="46:46">
      <c r="AT10375"/>
    </row>
    <row r="10376" spans="46:46">
      <c r="AT10376"/>
    </row>
    <row r="10377" spans="46:46">
      <c r="AT10377"/>
    </row>
    <row r="10378" spans="46:46">
      <c r="AT10378"/>
    </row>
    <row r="10379" spans="46:46">
      <c r="AT10379"/>
    </row>
    <row r="10380" spans="46:46">
      <c r="AT10380"/>
    </row>
    <row r="10381" spans="46:46">
      <c r="AT10381"/>
    </row>
    <row r="10382" spans="46:46">
      <c r="AT10382"/>
    </row>
    <row r="10383" spans="46:46">
      <c r="AT10383"/>
    </row>
    <row r="10384" spans="46:46">
      <c r="AT10384"/>
    </row>
    <row r="10385" spans="46:46">
      <c r="AT10385"/>
    </row>
    <row r="10386" spans="46:46">
      <c r="AT10386"/>
    </row>
    <row r="10387" spans="46:46">
      <c r="AT10387"/>
    </row>
    <row r="10388" spans="46:46">
      <c r="AT10388"/>
    </row>
    <row r="10389" spans="46:46">
      <c r="AT10389"/>
    </row>
    <row r="10390" spans="46:46">
      <c r="AT10390"/>
    </row>
    <row r="10391" spans="46:46">
      <c r="AT10391"/>
    </row>
    <row r="10392" spans="46:46">
      <c r="AT10392"/>
    </row>
    <row r="10393" spans="46:46">
      <c r="AT10393"/>
    </row>
    <row r="10394" spans="46:46">
      <c r="AT10394"/>
    </row>
    <row r="10395" spans="46:46">
      <c r="AT10395"/>
    </row>
    <row r="10396" spans="46:46">
      <c r="AT10396"/>
    </row>
    <row r="10397" spans="46:46">
      <c r="AT10397"/>
    </row>
    <row r="10398" spans="46:46">
      <c r="AT10398"/>
    </row>
    <row r="10399" spans="46:46">
      <c r="AT10399"/>
    </row>
    <row r="10400" spans="46:46">
      <c r="AT10400"/>
    </row>
    <row r="10401" spans="46:46">
      <c r="AT10401"/>
    </row>
    <row r="10402" spans="46:46">
      <c r="AT10402"/>
    </row>
    <row r="10403" spans="46:46">
      <c r="AT10403"/>
    </row>
    <row r="10404" spans="46:46">
      <c r="AT10404"/>
    </row>
    <row r="10405" spans="46:46">
      <c r="AT10405"/>
    </row>
    <row r="10406" spans="46:46">
      <c r="AT10406"/>
    </row>
    <row r="10407" spans="46:46">
      <c r="AT10407"/>
    </row>
    <row r="10408" spans="46:46">
      <c r="AT10408"/>
    </row>
    <row r="10409" spans="46:46">
      <c r="AT10409"/>
    </row>
    <row r="10410" spans="46:46">
      <c r="AT10410"/>
    </row>
    <row r="10411" spans="46:46">
      <c r="AT10411"/>
    </row>
    <row r="10412" spans="46:46">
      <c r="AT10412"/>
    </row>
    <row r="10413" spans="46:46">
      <c r="AT10413"/>
    </row>
    <row r="10414" spans="46:46">
      <c r="AT10414"/>
    </row>
    <row r="10415" spans="46:46">
      <c r="AT10415"/>
    </row>
    <row r="10416" spans="46:46">
      <c r="AT10416"/>
    </row>
    <row r="10417" spans="46:46">
      <c r="AT10417"/>
    </row>
    <row r="10418" spans="46:46">
      <c r="AT10418"/>
    </row>
    <row r="10419" spans="46:46">
      <c r="AT10419"/>
    </row>
    <row r="10420" spans="46:46">
      <c r="AT10420"/>
    </row>
    <row r="10421" spans="46:46">
      <c r="AT10421"/>
    </row>
    <row r="10422" spans="46:46">
      <c r="AT10422"/>
    </row>
    <row r="10423" spans="46:46">
      <c r="AT10423"/>
    </row>
    <row r="10424" spans="46:46">
      <c r="AT10424"/>
    </row>
    <row r="10425" spans="46:46">
      <c r="AT10425"/>
    </row>
    <row r="10426" spans="46:46">
      <c r="AT10426"/>
    </row>
    <row r="10427" spans="46:46">
      <c r="AT10427"/>
    </row>
    <row r="10428" spans="46:46">
      <c r="AT10428"/>
    </row>
    <row r="10429" spans="46:46">
      <c r="AT10429"/>
    </row>
    <row r="10430" spans="46:46">
      <c r="AT10430"/>
    </row>
    <row r="10431" spans="46:46">
      <c r="AT10431"/>
    </row>
    <row r="10432" spans="46:46">
      <c r="AT10432"/>
    </row>
    <row r="10433" spans="46:46">
      <c r="AT10433"/>
    </row>
    <row r="10434" spans="46:46">
      <c r="AT10434"/>
    </row>
    <row r="10435" spans="46:46">
      <c r="AT10435"/>
    </row>
    <row r="10436" spans="46:46">
      <c r="AT10436"/>
    </row>
    <row r="10437" spans="46:46">
      <c r="AT10437"/>
    </row>
    <row r="10438" spans="46:46">
      <c r="AT10438"/>
    </row>
    <row r="10439" spans="46:46">
      <c r="AT10439"/>
    </row>
    <row r="10440" spans="46:46">
      <c r="AT10440"/>
    </row>
    <row r="10441" spans="46:46">
      <c r="AT10441"/>
    </row>
    <row r="10442" spans="46:46">
      <c r="AT10442"/>
    </row>
    <row r="10443" spans="46:46">
      <c r="AT10443"/>
    </row>
    <row r="10444" spans="46:46">
      <c r="AT10444"/>
    </row>
    <row r="10445" spans="46:46">
      <c r="AT10445"/>
    </row>
    <row r="10446" spans="46:46">
      <c r="AT10446"/>
    </row>
    <row r="10447" spans="46:46">
      <c r="AT10447"/>
    </row>
    <row r="10448" spans="46:46">
      <c r="AT10448"/>
    </row>
    <row r="10449" spans="46:46">
      <c r="AT10449"/>
    </row>
    <row r="10450" spans="46:46">
      <c r="AT10450"/>
    </row>
    <row r="10451" spans="46:46">
      <c r="AT10451"/>
    </row>
    <row r="10452" spans="46:46">
      <c r="AT10452"/>
    </row>
    <row r="10453" spans="46:46">
      <c r="AT10453"/>
    </row>
    <row r="10454" spans="46:46">
      <c r="AT10454"/>
    </row>
    <row r="10455" spans="46:46">
      <c r="AT10455"/>
    </row>
    <row r="10456" spans="46:46">
      <c r="AT10456"/>
    </row>
    <row r="10457" spans="46:46">
      <c r="AT10457"/>
    </row>
    <row r="10458" spans="46:46">
      <c r="AT10458"/>
    </row>
    <row r="10459" spans="46:46">
      <c r="AT10459"/>
    </row>
    <row r="10460" spans="46:46">
      <c r="AT10460"/>
    </row>
    <row r="10461" spans="46:46">
      <c r="AT10461"/>
    </row>
    <row r="10462" spans="46:46">
      <c r="AT10462"/>
    </row>
    <row r="10463" spans="46:46">
      <c r="AT10463"/>
    </row>
    <row r="10464" spans="46:46">
      <c r="AT10464"/>
    </row>
    <row r="10465" spans="46:46">
      <c r="AT10465"/>
    </row>
    <row r="10466" spans="46:46">
      <c r="AT10466"/>
    </row>
    <row r="10467" spans="46:46">
      <c r="AT10467"/>
    </row>
    <row r="10468" spans="46:46">
      <c r="AT10468"/>
    </row>
    <row r="10469" spans="46:46">
      <c r="AT10469"/>
    </row>
    <row r="10470" spans="46:46">
      <c r="AT10470"/>
    </row>
    <row r="10471" spans="46:46">
      <c r="AT10471"/>
    </row>
    <row r="10472" spans="46:46">
      <c r="AT10472"/>
    </row>
    <row r="10473" spans="46:46">
      <c r="AT10473"/>
    </row>
    <row r="10474" spans="46:46">
      <c r="AT10474"/>
    </row>
    <row r="10475" spans="46:46">
      <c r="AT10475"/>
    </row>
    <row r="10476" spans="46:46">
      <c r="AT10476"/>
    </row>
    <row r="10477" spans="46:46">
      <c r="AT10477"/>
    </row>
    <row r="10478" spans="46:46">
      <c r="AT10478"/>
    </row>
    <row r="10479" spans="46:46">
      <c r="AT10479"/>
    </row>
    <row r="10480" spans="46:46">
      <c r="AT10480"/>
    </row>
    <row r="10481" spans="46:46">
      <c r="AT10481"/>
    </row>
    <row r="10482" spans="46:46">
      <c r="AT10482"/>
    </row>
    <row r="10483" spans="46:46">
      <c r="AT10483"/>
    </row>
    <row r="10484" spans="46:46">
      <c r="AT10484"/>
    </row>
    <row r="10485" spans="46:46">
      <c r="AT10485"/>
    </row>
    <row r="10486" spans="46:46">
      <c r="AT10486"/>
    </row>
    <row r="10487" spans="46:46">
      <c r="AT10487"/>
    </row>
    <row r="10488" spans="46:46">
      <c r="AT10488"/>
    </row>
    <row r="10489" spans="46:46">
      <c r="AT10489"/>
    </row>
    <row r="10490" spans="46:46">
      <c r="AT10490"/>
    </row>
    <row r="10491" spans="46:46">
      <c r="AT10491"/>
    </row>
    <row r="10492" spans="46:46">
      <c r="AT10492"/>
    </row>
    <row r="10493" spans="46:46">
      <c r="AT10493"/>
    </row>
    <row r="10494" spans="46:46">
      <c r="AT10494"/>
    </row>
    <row r="10495" spans="46:46">
      <c r="AT10495"/>
    </row>
    <row r="10496" spans="46:46">
      <c r="AT10496"/>
    </row>
    <row r="10497" spans="46:46">
      <c r="AT10497"/>
    </row>
    <row r="10498" spans="46:46">
      <c r="AT10498"/>
    </row>
    <row r="10499" spans="46:46">
      <c r="AT10499"/>
    </row>
    <row r="10500" spans="46:46">
      <c r="AT10500"/>
    </row>
    <row r="10501" spans="46:46">
      <c r="AT10501"/>
    </row>
    <row r="10502" spans="46:46">
      <c r="AT10502"/>
    </row>
    <row r="10503" spans="46:46">
      <c r="AT10503"/>
    </row>
    <row r="10504" spans="46:46">
      <c r="AT10504"/>
    </row>
    <row r="10505" spans="46:46">
      <c r="AT10505"/>
    </row>
    <row r="10506" spans="46:46">
      <c r="AT10506"/>
    </row>
    <row r="10507" spans="46:46">
      <c r="AT10507"/>
    </row>
    <row r="10508" spans="46:46">
      <c r="AT10508"/>
    </row>
    <row r="10509" spans="46:46">
      <c r="AT10509"/>
    </row>
    <row r="10510" spans="46:46">
      <c r="AT10510"/>
    </row>
    <row r="10511" spans="46:46">
      <c r="AT10511"/>
    </row>
    <row r="10512" spans="46:46">
      <c r="AT10512"/>
    </row>
    <row r="10513" spans="46:46">
      <c r="AT10513"/>
    </row>
    <row r="10514" spans="46:46">
      <c r="AT10514"/>
    </row>
    <row r="10515" spans="46:46">
      <c r="AT10515"/>
    </row>
    <row r="10516" spans="46:46">
      <c r="AT10516"/>
    </row>
    <row r="10517" spans="46:46">
      <c r="AT10517"/>
    </row>
    <row r="10518" spans="46:46">
      <c r="AT10518"/>
    </row>
    <row r="10519" spans="46:46">
      <c r="AT10519"/>
    </row>
    <row r="10520" spans="46:46">
      <c r="AT10520"/>
    </row>
    <row r="10521" spans="46:46">
      <c r="AT10521"/>
    </row>
    <row r="10522" spans="46:46">
      <c r="AT10522"/>
    </row>
    <row r="10523" spans="46:46">
      <c r="AT10523"/>
    </row>
    <row r="10524" spans="46:46">
      <c r="AT10524"/>
    </row>
    <row r="10525" spans="46:46">
      <c r="AT10525"/>
    </row>
    <row r="10526" spans="46:46">
      <c r="AT10526"/>
    </row>
    <row r="10527" spans="46:46">
      <c r="AT10527"/>
    </row>
    <row r="10528" spans="46:46">
      <c r="AT10528"/>
    </row>
    <row r="10529" spans="46:46">
      <c r="AT10529"/>
    </row>
    <row r="10530" spans="46:46">
      <c r="AT10530"/>
    </row>
    <row r="10531" spans="46:46">
      <c r="AT10531"/>
    </row>
    <row r="10532" spans="46:46">
      <c r="AT10532"/>
    </row>
    <row r="10533" spans="46:46">
      <c r="AT10533"/>
    </row>
    <row r="10534" spans="46:46">
      <c r="AT10534"/>
    </row>
    <row r="10535" spans="46:46">
      <c r="AT10535"/>
    </row>
    <row r="10536" spans="46:46">
      <c r="AT10536"/>
    </row>
    <row r="10537" spans="46:46">
      <c r="AT10537"/>
    </row>
    <row r="10538" spans="46:46">
      <c r="AT10538"/>
    </row>
    <row r="10539" spans="46:46">
      <c r="AT10539"/>
    </row>
    <row r="10540" spans="46:46">
      <c r="AT10540"/>
    </row>
    <row r="10541" spans="46:46">
      <c r="AT10541"/>
    </row>
    <row r="10542" spans="46:46">
      <c r="AT10542"/>
    </row>
    <row r="10543" spans="46:46">
      <c r="AT10543"/>
    </row>
    <row r="10544" spans="46:46">
      <c r="AT10544"/>
    </row>
    <row r="10545" spans="46:46">
      <c r="AT10545"/>
    </row>
    <row r="10546" spans="46:46">
      <c r="AT10546"/>
    </row>
    <row r="10547" spans="46:46">
      <c r="AT10547"/>
    </row>
    <row r="10548" spans="46:46">
      <c r="AT10548"/>
    </row>
    <row r="10549" spans="46:46">
      <c r="AT10549"/>
    </row>
    <row r="10550" spans="46:46">
      <c r="AT10550"/>
    </row>
    <row r="10551" spans="46:46">
      <c r="AT10551"/>
    </row>
    <row r="10552" spans="46:46">
      <c r="AT10552"/>
    </row>
    <row r="10553" spans="46:46">
      <c r="AT10553"/>
    </row>
    <row r="10554" spans="46:46">
      <c r="AT10554"/>
    </row>
    <row r="10555" spans="46:46">
      <c r="AT10555"/>
    </row>
    <row r="10556" spans="46:46">
      <c r="AT10556"/>
    </row>
    <row r="10557" spans="46:46">
      <c r="AT10557"/>
    </row>
    <row r="10558" spans="46:46">
      <c r="AT10558"/>
    </row>
    <row r="10559" spans="46:46">
      <c r="AT10559"/>
    </row>
    <row r="10560" spans="46:46">
      <c r="AT10560"/>
    </row>
    <row r="10561" spans="46:46">
      <c r="AT10561"/>
    </row>
    <row r="10562" spans="46:46">
      <c r="AT10562"/>
    </row>
    <row r="10563" spans="46:46">
      <c r="AT10563"/>
    </row>
    <row r="10564" spans="46:46">
      <c r="AT10564"/>
    </row>
    <row r="10565" spans="46:46">
      <c r="AT10565"/>
    </row>
    <row r="10566" spans="46:46">
      <c r="AT10566"/>
    </row>
    <row r="10567" spans="46:46">
      <c r="AT10567"/>
    </row>
    <row r="10568" spans="46:46">
      <c r="AT10568"/>
    </row>
    <row r="10569" spans="46:46">
      <c r="AT10569"/>
    </row>
    <row r="10570" spans="46:46">
      <c r="AT10570"/>
    </row>
    <row r="10571" spans="46:46">
      <c r="AT10571"/>
    </row>
    <row r="10572" spans="46:46">
      <c r="AT10572"/>
    </row>
    <row r="10573" spans="46:46">
      <c r="AT10573"/>
    </row>
    <row r="10574" spans="46:46">
      <c r="AT10574"/>
    </row>
    <row r="10575" spans="46:46">
      <c r="AT10575"/>
    </row>
    <row r="10576" spans="46:46">
      <c r="AT10576"/>
    </row>
    <row r="10577" spans="46:46">
      <c r="AT10577"/>
    </row>
    <row r="10578" spans="46:46">
      <c r="AT10578"/>
    </row>
    <row r="10579" spans="46:46">
      <c r="AT10579"/>
    </row>
    <row r="10580" spans="46:46">
      <c r="AT10580"/>
    </row>
    <row r="10581" spans="46:46">
      <c r="AT10581"/>
    </row>
    <row r="10582" spans="46:46">
      <c r="AT10582"/>
    </row>
    <row r="10583" spans="46:46">
      <c r="AT10583"/>
    </row>
    <row r="10584" spans="46:46">
      <c r="AT10584"/>
    </row>
    <row r="10585" spans="46:46">
      <c r="AT10585"/>
    </row>
    <row r="10586" spans="46:46">
      <c r="AT10586"/>
    </row>
    <row r="10587" spans="46:46">
      <c r="AT10587"/>
    </row>
    <row r="10588" spans="46:46">
      <c r="AT10588"/>
    </row>
    <row r="10589" spans="46:46">
      <c r="AT10589"/>
    </row>
    <row r="10590" spans="46:46">
      <c r="AT10590"/>
    </row>
    <row r="10591" spans="46:46">
      <c r="AT10591"/>
    </row>
    <row r="10592" spans="46:46">
      <c r="AT10592"/>
    </row>
    <row r="10593" spans="46:46">
      <c r="AT10593"/>
    </row>
    <row r="10594" spans="46:46">
      <c r="AT10594"/>
    </row>
    <row r="10595" spans="46:46">
      <c r="AT10595"/>
    </row>
    <row r="10596" spans="46:46">
      <c r="AT10596"/>
    </row>
    <row r="10597" spans="46:46">
      <c r="AT10597"/>
    </row>
    <row r="10598" spans="46:46">
      <c r="AT10598"/>
    </row>
    <row r="10599" spans="46:46">
      <c r="AT10599"/>
    </row>
    <row r="10600" spans="46:46">
      <c r="AT10600"/>
    </row>
    <row r="10601" spans="46:46">
      <c r="AT10601"/>
    </row>
    <row r="10602" spans="46:46">
      <c r="AT10602"/>
    </row>
    <row r="10603" spans="46:46">
      <c r="AT10603"/>
    </row>
    <row r="10604" spans="46:46">
      <c r="AT10604"/>
    </row>
    <row r="10605" spans="46:46">
      <c r="AT10605"/>
    </row>
    <row r="10606" spans="46:46">
      <c r="AT10606"/>
    </row>
    <row r="10607" spans="46:46">
      <c r="AT10607"/>
    </row>
    <row r="10608" spans="46:46">
      <c r="AT10608"/>
    </row>
    <row r="10609" spans="46:46">
      <c r="AT10609"/>
    </row>
    <row r="10610" spans="46:46">
      <c r="AT10610"/>
    </row>
    <row r="10611" spans="46:46">
      <c r="AT10611"/>
    </row>
    <row r="10612" spans="46:46">
      <c r="AT10612"/>
    </row>
    <row r="10613" spans="46:46">
      <c r="AT10613"/>
    </row>
    <row r="10614" spans="46:46">
      <c r="AT10614"/>
    </row>
    <row r="10615" spans="46:46">
      <c r="AT10615"/>
    </row>
    <row r="10616" spans="46:46">
      <c r="AT10616"/>
    </row>
    <row r="10617" spans="46:46">
      <c r="AT10617"/>
    </row>
    <row r="10618" spans="46:46">
      <c r="AT10618"/>
    </row>
    <row r="10619" spans="46:46">
      <c r="AT10619"/>
    </row>
    <row r="10620" spans="46:46">
      <c r="AT10620"/>
    </row>
    <row r="10621" spans="46:46">
      <c r="AT10621"/>
    </row>
    <row r="10622" spans="46:46">
      <c r="AT10622"/>
    </row>
    <row r="10623" spans="46:46">
      <c r="AT10623"/>
    </row>
    <row r="10624" spans="46:46">
      <c r="AT10624"/>
    </row>
    <row r="10625" spans="46:46">
      <c r="AT10625"/>
    </row>
    <row r="10626" spans="46:46">
      <c r="AT10626"/>
    </row>
    <row r="10627" spans="46:46">
      <c r="AT10627"/>
    </row>
    <row r="10628" spans="46:46">
      <c r="AT10628"/>
    </row>
    <row r="10629" spans="46:46">
      <c r="AT10629"/>
    </row>
    <row r="10630" spans="46:46">
      <c r="AT10630"/>
    </row>
    <row r="10631" spans="46:46">
      <c r="AT10631"/>
    </row>
    <row r="10632" spans="46:46">
      <c r="AT10632"/>
    </row>
    <row r="10633" spans="46:46">
      <c r="AT10633"/>
    </row>
    <row r="10634" spans="46:46">
      <c r="AT10634"/>
    </row>
    <row r="10635" spans="46:46">
      <c r="AT10635"/>
    </row>
    <row r="10636" spans="46:46">
      <c r="AT10636"/>
    </row>
    <row r="10637" spans="46:46">
      <c r="AT10637"/>
    </row>
    <row r="10638" spans="46:46">
      <c r="AT10638"/>
    </row>
    <row r="10639" spans="46:46">
      <c r="AT10639"/>
    </row>
    <row r="10640" spans="46:46">
      <c r="AT10640"/>
    </row>
    <row r="10641" spans="46:46">
      <c r="AT10641"/>
    </row>
    <row r="10642" spans="46:46">
      <c r="AT10642"/>
    </row>
    <row r="10643" spans="46:46">
      <c r="AT10643"/>
    </row>
    <row r="10644" spans="46:46">
      <c r="AT10644"/>
    </row>
    <row r="10645" spans="46:46">
      <c r="AT10645"/>
    </row>
    <row r="10646" spans="46:46">
      <c r="AT10646"/>
    </row>
    <row r="10647" spans="46:46">
      <c r="AT10647"/>
    </row>
    <row r="10648" spans="46:46">
      <c r="AT10648"/>
    </row>
    <row r="10649" spans="46:46">
      <c r="AT10649"/>
    </row>
    <row r="10650" spans="46:46">
      <c r="AT10650"/>
    </row>
    <row r="10651" spans="46:46">
      <c r="AT10651"/>
    </row>
    <row r="10652" spans="46:46">
      <c r="AT10652"/>
    </row>
    <row r="10653" spans="46:46">
      <c r="AT10653"/>
    </row>
    <row r="10654" spans="46:46">
      <c r="AT10654"/>
    </row>
    <row r="10655" spans="46:46">
      <c r="AT10655"/>
    </row>
    <row r="10656" spans="46:46">
      <c r="AT10656"/>
    </row>
    <row r="10657" spans="46:46">
      <c r="AT10657"/>
    </row>
    <row r="10658" spans="46:46">
      <c r="AT10658"/>
    </row>
    <row r="10659" spans="46:46">
      <c r="AT10659"/>
    </row>
    <row r="10660" spans="46:46">
      <c r="AT10660"/>
    </row>
    <row r="10661" spans="46:46">
      <c r="AT10661"/>
    </row>
    <row r="10662" spans="46:46">
      <c r="AT10662"/>
    </row>
    <row r="10663" spans="46:46">
      <c r="AT10663"/>
    </row>
    <row r="10664" spans="46:46">
      <c r="AT10664"/>
    </row>
    <row r="10665" spans="46:46">
      <c r="AT10665"/>
    </row>
    <row r="10666" spans="46:46">
      <c r="AT10666"/>
    </row>
    <row r="10667" spans="46:46">
      <c r="AT10667"/>
    </row>
    <row r="10668" spans="46:46">
      <c r="AT10668"/>
    </row>
    <row r="10669" spans="46:46">
      <c r="AT10669"/>
    </row>
    <row r="10670" spans="46:46">
      <c r="AT10670"/>
    </row>
    <row r="10671" spans="46:46">
      <c r="AT10671"/>
    </row>
    <row r="10672" spans="46:46">
      <c r="AT10672"/>
    </row>
    <row r="10673" spans="46:46">
      <c r="AT10673"/>
    </row>
    <row r="10674" spans="46:46">
      <c r="AT10674"/>
    </row>
    <row r="10675" spans="46:46">
      <c r="AT10675"/>
    </row>
    <row r="10676" spans="46:46">
      <c r="AT10676"/>
    </row>
    <row r="10677" spans="46:46">
      <c r="AT10677"/>
    </row>
    <row r="10678" spans="46:46">
      <c r="AT10678"/>
    </row>
    <row r="10679" spans="46:46">
      <c r="AT10679"/>
    </row>
    <row r="10680" spans="46:46">
      <c r="AT10680"/>
    </row>
    <row r="10681" spans="46:46">
      <c r="AT10681"/>
    </row>
    <row r="10682" spans="46:46">
      <c r="AT10682"/>
    </row>
    <row r="10683" spans="46:46">
      <c r="AT10683"/>
    </row>
    <row r="10684" spans="46:46">
      <c r="AT10684"/>
    </row>
    <row r="10685" spans="46:46">
      <c r="AT10685"/>
    </row>
    <row r="10686" spans="46:46">
      <c r="AT10686"/>
    </row>
    <row r="10687" spans="46:46">
      <c r="AT10687"/>
    </row>
    <row r="10688" spans="46:46">
      <c r="AT10688"/>
    </row>
    <row r="10689" spans="46:46">
      <c r="AT10689"/>
    </row>
    <row r="10690" spans="46:46">
      <c r="AT10690"/>
    </row>
    <row r="10691" spans="46:46">
      <c r="AT10691"/>
    </row>
    <row r="10692" spans="46:46">
      <c r="AT10692"/>
    </row>
    <row r="10693" spans="46:46">
      <c r="AT10693"/>
    </row>
    <row r="10694" spans="46:46">
      <c r="AT10694"/>
    </row>
    <row r="10695" spans="46:46">
      <c r="AT10695"/>
    </row>
    <row r="10696" spans="46:46">
      <c r="AT10696"/>
    </row>
    <row r="10697" spans="46:46">
      <c r="AT10697"/>
    </row>
    <row r="10698" spans="46:46">
      <c r="AT10698"/>
    </row>
    <row r="10699" spans="46:46">
      <c r="AT10699"/>
    </row>
    <row r="10700" spans="46:46">
      <c r="AT10700"/>
    </row>
    <row r="10701" spans="46:46">
      <c r="AT10701"/>
    </row>
    <row r="10702" spans="46:46">
      <c r="AT10702"/>
    </row>
    <row r="10703" spans="46:46">
      <c r="AT10703"/>
    </row>
    <row r="10704" spans="46:46">
      <c r="AT10704"/>
    </row>
    <row r="10705" spans="46:46">
      <c r="AT10705"/>
    </row>
    <row r="10706" spans="46:46">
      <c r="AT10706"/>
    </row>
    <row r="10707" spans="46:46">
      <c r="AT10707"/>
    </row>
    <row r="10708" spans="46:46">
      <c r="AT10708"/>
    </row>
    <row r="10709" spans="46:46">
      <c r="AT10709"/>
    </row>
    <row r="10710" spans="46:46">
      <c r="AT10710"/>
    </row>
    <row r="10711" spans="46:46">
      <c r="AT10711"/>
    </row>
    <row r="10712" spans="46:46">
      <c r="AT10712"/>
    </row>
    <row r="10713" spans="46:46">
      <c r="AT10713"/>
    </row>
    <row r="10714" spans="46:46">
      <c r="AT10714"/>
    </row>
    <row r="10715" spans="46:46">
      <c r="AT10715"/>
    </row>
    <row r="10716" spans="46:46">
      <c r="AT10716"/>
    </row>
    <row r="10717" spans="46:46">
      <c r="AT10717"/>
    </row>
    <row r="10718" spans="46:46">
      <c r="AT10718"/>
    </row>
    <row r="10719" spans="46:46">
      <c r="AT10719"/>
    </row>
    <row r="10720" spans="46:46">
      <c r="AT10720"/>
    </row>
    <row r="10721" spans="46:46">
      <c r="AT10721"/>
    </row>
    <row r="10722" spans="46:46">
      <c r="AT10722"/>
    </row>
    <row r="10723" spans="46:46">
      <c r="AT10723"/>
    </row>
    <row r="10724" spans="46:46">
      <c r="AT10724"/>
    </row>
    <row r="10725" spans="46:46">
      <c r="AT10725"/>
    </row>
    <row r="10726" spans="46:46">
      <c r="AT10726"/>
    </row>
    <row r="10727" spans="46:46">
      <c r="AT10727"/>
    </row>
    <row r="10728" spans="46:46">
      <c r="AT10728"/>
    </row>
    <row r="10729" spans="46:46">
      <c r="AT10729"/>
    </row>
    <row r="10730" spans="46:46">
      <c r="AT10730"/>
    </row>
    <row r="10731" spans="46:46">
      <c r="AT10731"/>
    </row>
    <row r="10732" spans="46:46">
      <c r="AT10732"/>
    </row>
    <row r="10733" spans="46:46">
      <c r="AT10733"/>
    </row>
    <row r="10734" spans="46:46">
      <c r="AT10734"/>
    </row>
    <row r="10735" spans="46:46">
      <c r="AT10735"/>
    </row>
    <row r="10736" spans="46:46">
      <c r="AT10736"/>
    </row>
    <row r="10737" spans="46:46">
      <c r="AT10737"/>
    </row>
    <row r="10738" spans="46:46">
      <c r="AT10738"/>
    </row>
    <row r="10739" spans="46:46">
      <c r="AT10739"/>
    </row>
    <row r="10740" spans="46:46">
      <c r="AT10740"/>
    </row>
    <row r="10741" spans="46:46">
      <c r="AT10741"/>
    </row>
    <row r="10742" spans="46:46">
      <c r="AT10742"/>
    </row>
    <row r="10743" spans="46:46">
      <c r="AT10743"/>
    </row>
    <row r="10744" spans="46:46">
      <c r="AT10744"/>
    </row>
    <row r="10745" spans="46:46">
      <c r="AT10745"/>
    </row>
    <row r="10746" spans="46:46">
      <c r="AT10746"/>
    </row>
    <row r="10747" spans="46:46">
      <c r="AT10747"/>
    </row>
    <row r="10748" spans="46:46">
      <c r="AT10748"/>
    </row>
    <row r="10749" spans="46:46">
      <c r="AT10749"/>
    </row>
    <row r="10750" spans="46:46">
      <c r="AT10750"/>
    </row>
    <row r="10751" spans="46:46">
      <c r="AT10751"/>
    </row>
    <row r="10752" spans="46:46">
      <c r="AT10752"/>
    </row>
    <row r="10753" spans="46:46">
      <c r="AT10753"/>
    </row>
    <row r="10754" spans="46:46">
      <c r="AT10754"/>
    </row>
    <row r="10755" spans="46:46">
      <c r="AT10755"/>
    </row>
    <row r="10756" spans="46:46">
      <c r="AT10756"/>
    </row>
    <row r="10757" spans="46:46">
      <c r="AT10757"/>
    </row>
    <row r="10758" spans="46:46">
      <c r="AT10758"/>
    </row>
    <row r="10759" spans="46:46">
      <c r="AT10759"/>
    </row>
    <row r="10760" spans="46:46">
      <c r="AT10760"/>
    </row>
    <row r="10761" spans="46:46">
      <c r="AT10761"/>
    </row>
    <row r="10762" spans="46:46">
      <c r="AT10762"/>
    </row>
    <row r="10763" spans="46:46">
      <c r="AT10763"/>
    </row>
    <row r="10764" spans="46:46">
      <c r="AT10764"/>
    </row>
    <row r="10765" spans="46:46">
      <c r="AT10765"/>
    </row>
    <row r="10766" spans="46:46">
      <c r="AT10766"/>
    </row>
    <row r="10767" spans="46:46">
      <c r="AT10767"/>
    </row>
    <row r="10768" spans="46:46">
      <c r="AT10768"/>
    </row>
    <row r="10769" spans="46:46">
      <c r="AT10769"/>
    </row>
    <row r="10770" spans="46:46">
      <c r="AT10770"/>
    </row>
    <row r="10771" spans="46:46">
      <c r="AT10771"/>
    </row>
    <row r="10772" spans="46:46">
      <c r="AT10772"/>
    </row>
    <row r="10773" spans="46:46">
      <c r="AT10773"/>
    </row>
    <row r="10774" spans="46:46">
      <c r="AT10774"/>
    </row>
    <row r="10775" spans="46:46">
      <c r="AT10775"/>
    </row>
    <row r="10776" spans="46:46">
      <c r="AT10776"/>
    </row>
    <row r="10777" spans="46:46">
      <c r="AT10777"/>
    </row>
    <row r="10778" spans="46:46">
      <c r="AT10778"/>
    </row>
    <row r="10779" spans="46:46">
      <c r="AT10779"/>
    </row>
    <row r="10780" spans="46:46">
      <c r="AT10780"/>
    </row>
    <row r="10781" spans="46:46">
      <c r="AT10781"/>
    </row>
    <row r="10782" spans="46:46">
      <c r="AT10782"/>
    </row>
    <row r="10783" spans="46:46">
      <c r="AT10783"/>
    </row>
    <row r="10784" spans="46:46">
      <c r="AT10784"/>
    </row>
    <row r="10785" spans="46:46">
      <c r="AT10785"/>
    </row>
    <row r="10786" spans="46:46">
      <c r="AT10786"/>
    </row>
    <row r="10787" spans="46:46">
      <c r="AT10787"/>
    </row>
    <row r="10788" spans="46:46">
      <c r="AT10788"/>
    </row>
    <row r="10789" spans="46:46">
      <c r="AT10789"/>
    </row>
    <row r="10790" spans="46:46">
      <c r="AT10790"/>
    </row>
    <row r="10791" spans="46:46">
      <c r="AT10791"/>
    </row>
    <row r="10792" spans="46:46">
      <c r="AT10792"/>
    </row>
    <row r="10793" spans="46:46">
      <c r="AT10793"/>
    </row>
    <row r="10794" spans="46:46">
      <c r="AT10794"/>
    </row>
    <row r="10795" spans="46:46">
      <c r="AT10795"/>
    </row>
    <row r="10796" spans="46:46">
      <c r="AT10796"/>
    </row>
    <row r="10797" spans="46:46">
      <c r="AT10797"/>
    </row>
    <row r="10798" spans="46:46">
      <c r="AT10798"/>
    </row>
    <row r="10799" spans="46:46">
      <c r="AT10799"/>
    </row>
    <row r="10800" spans="46:46">
      <c r="AT10800"/>
    </row>
    <row r="10801" spans="46:46">
      <c r="AT10801"/>
    </row>
    <row r="10802" spans="46:46">
      <c r="AT10802"/>
    </row>
    <row r="10803" spans="46:46">
      <c r="AT10803"/>
    </row>
    <row r="10804" spans="46:46">
      <c r="AT10804"/>
    </row>
    <row r="10805" spans="46:46">
      <c r="AT10805"/>
    </row>
    <row r="10806" spans="46:46">
      <c r="AT10806"/>
    </row>
    <row r="10807" spans="46:46">
      <c r="AT10807"/>
    </row>
    <row r="10808" spans="46:46">
      <c r="AT10808"/>
    </row>
    <row r="10809" spans="46:46">
      <c r="AT10809"/>
    </row>
    <row r="10810" spans="46:46">
      <c r="AT10810"/>
    </row>
    <row r="10811" spans="46:46">
      <c r="AT10811"/>
    </row>
    <row r="10812" spans="46:46">
      <c r="AT10812"/>
    </row>
    <row r="10813" spans="46:46">
      <c r="AT10813"/>
    </row>
    <row r="10814" spans="46:46">
      <c r="AT10814"/>
    </row>
    <row r="10815" spans="46:46">
      <c r="AT10815"/>
    </row>
    <row r="10816" spans="46:46">
      <c r="AT10816"/>
    </row>
    <row r="10817" spans="46:46">
      <c r="AT10817"/>
    </row>
    <row r="10818" spans="46:46">
      <c r="AT10818"/>
    </row>
    <row r="10819" spans="46:46">
      <c r="AT10819"/>
    </row>
    <row r="10820" spans="46:46">
      <c r="AT10820"/>
    </row>
    <row r="10821" spans="46:46">
      <c r="AT10821"/>
    </row>
    <row r="10822" spans="46:46">
      <c r="AT10822"/>
    </row>
    <row r="10823" spans="46:46">
      <c r="AT10823"/>
    </row>
    <row r="10824" spans="46:46">
      <c r="AT10824"/>
    </row>
    <row r="10825" spans="46:46">
      <c r="AT10825"/>
    </row>
    <row r="10826" spans="46:46">
      <c r="AT10826"/>
    </row>
    <row r="10827" spans="46:46">
      <c r="AT10827"/>
    </row>
    <row r="10828" spans="46:46">
      <c r="AT10828"/>
    </row>
    <row r="10829" spans="46:46">
      <c r="AT10829"/>
    </row>
    <row r="10830" spans="46:46">
      <c r="AT10830"/>
    </row>
    <row r="10831" spans="46:46">
      <c r="AT10831"/>
    </row>
    <row r="10832" spans="46:46">
      <c r="AT10832"/>
    </row>
    <row r="10833" spans="46:46">
      <c r="AT10833"/>
    </row>
    <row r="10834" spans="46:46">
      <c r="AT10834"/>
    </row>
    <row r="10835" spans="46:46">
      <c r="AT10835"/>
    </row>
    <row r="10836" spans="46:46">
      <c r="AT10836"/>
    </row>
    <row r="10837" spans="46:46">
      <c r="AT10837"/>
    </row>
    <row r="10838" spans="46:46">
      <c r="AT10838"/>
    </row>
    <row r="10839" spans="46:46">
      <c r="AT10839"/>
    </row>
    <row r="10840" spans="46:46">
      <c r="AT10840"/>
    </row>
    <row r="10841" spans="46:46">
      <c r="AT10841"/>
    </row>
    <row r="10842" spans="46:46">
      <c r="AT10842"/>
    </row>
    <row r="10843" spans="46:46">
      <c r="AT10843"/>
    </row>
    <row r="10844" spans="46:46">
      <c r="AT10844"/>
    </row>
    <row r="10845" spans="46:46">
      <c r="AT10845"/>
    </row>
    <row r="10846" spans="46:46">
      <c r="AT10846"/>
    </row>
    <row r="10847" spans="46:46">
      <c r="AT10847"/>
    </row>
    <row r="10848" spans="46:46">
      <c r="AT10848"/>
    </row>
    <row r="10849" spans="46:46">
      <c r="AT10849"/>
    </row>
    <row r="10850" spans="46:46">
      <c r="AT10850"/>
    </row>
    <row r="10851" spans="46:46">
      <c r="AT10851"/>
    </row>
    <row r="10852" spans="46:46">
      <c r="AT10852"/>
    </row>
    <row r="10853" spans="46:46">
      <c r="AT10853"/>
    </row>
    <row r="10854" spans="46:46">
      <c r="AT10854"/>
    </row>
    <row r="10855" spans="46:46">
      <c r="AT10855"/>
    </row>
    <row r="10856" spans="46:46">
      <c r="AT10856"/>
    </row>
    <row r="10857" spans="46:46">
      <c r="AT10857"/>
    </row>
    <row r="10858" spans="46:46">
      <c r="AT10858"/>
    </row>
    <row r="10859" spans="46:46">
      <c r="AT10859"/>
    </row>
    <row r="10860" spans="46:46">
      <c r="AT10860"/>
    </row>
    <row r="10861" spans="46:46">
      <c r="AT10861"/>
    </row>
    <row r="10862" spans="46:46">
      <c r="AT10862"/>
    </row>
    <row r="10863" spans="46:46">
      <c r="AT10863"/>
    </row>
    <row r="10864" spans="46:46">
      <c r="AT10864"/>
    </row>
    <row r="10865" spans="46:46">
      <c r="AT10865"/>
    </row>
    <row r="10866" spans="46:46">
      <c r="AT10866"/>
    </row>
    <row r="10867" spans="46:46">
      <c r="AT10867"/>
    </row>
    <row r="10868" spans="46:46">
      <c r="AT10868"/>
    </row>
    <row r="10869" spans="46:46">
      <c r="AT10869"/>
    </row>
    <row r="10870" spans="46:46">
      <c r="AT10870"/>
    </row>
    <row r="10871" spans="46:46">
      <c r="AT10871"/>
    </row>
    <row r="10872" spans="46:46">
      <c r="AT10872"/>
    </row>
    <row r="10873" spans="46:46">
      <c r="AT10873"/>
    </row>
    <row r="10874" spans="46:46">
      <c r="AT10874"/>
    </row>
    <row r="10875" spans="46:46">
      <c r="AT10875"/>
    </row>
    <row r="10876" spans="46:46">
      <c r="AT10876"/>
    </row>
    <row r="10877" spans="46:46">
      <c r="AT10877"/>
    </row>
    <row r="10878" spans="46:46">
      <c r="AT10878"/>
    </row>
    <row r="10879" spans="46:46">
      <c r="AT10879"/>
    </row>
    <row r="10880" spans="46:46">
      <c r="AT10880"/>
    </row>
    <row r="10881" spans="46:46">
      <c r="AT10881"/>
    </row>
    <row r="10882" spans="46:46">
      <c r="AT10882"/>
    </row>
    <row r="10883" spans="46:46">
      <c r="AT10883"/>
    </row>
    <row r="10884" spans="46:46">
      <c r="AT10884"/>
    </row>
    <row r="10885" spans="46:46">
      <c r="AT10885"/>
    </row>
    <row r="10886" spans="46:46">
      <c r="AT10886"/>
    </row>
    <row r="10887" spans="46:46">
      <c r="AT10887"/>
    </row>
    <row r="10888" spans="46:46">
      <c r="AT10888"/>
    </row>
    <row r="10889" spans="46:46">
      <c r="AT10889"/>
    </row>
    <row r="10890" spans="46:46">
      <c r="AT10890"/>
    </row>
    <row r="10891" spans="46:46">
      <c r="AT10891"/>
    </row>
    <row r="10892" spans="46:46">
      <c r="AT10892"/>
    </row>
    <row r="10893" spans="46:46">
      <c r="AT10893"/>
    </row>
    <row r="10894" spans="46:46">
      <c r="AT10894"/>
    </row>
    <row r="10895" spans="46:46">
      <c r="AT10895"/>
    </row>
    <row r="10896" spans="46:46">
      <c r="AT10896"/>
    </row>
    <row r="10897" spans="46:46">
      <c r="AT10897"/>
    </row>
    <row r="10898" spans="46:46">
      <c r="AT10898"/>
    </row>
    <row r="10899" spans="46:46">
      <c r="AT10899"/>
    </row>
    <row r="10900" spans="46:46">
      <c r="AT10900"/>
    </row>
    <row r="10901" spans="46:46">
      <c r="AT10901"/>
    </row>
    <row r="10902" spans="46:46">
      <c r="AT10902"/>
    </row>
    <row r="10903" spans="46:46">
      <c r="AT10903"/>
    </row>
    <row r="10904" spans="46:46">
      <c r="AT10904"/>
    </row>
    <row r="10905" spans="46:46">
      <c r="AT10905"/>
    </row>
    <row r="10906" spans="46:46">
      <c r="AT10906"/>
    </row>
    <row r="10907" spans="46:46">
      <c r="AT10907"/>
    </row>
    <row r="10908" spans="46:46">
      <c r="AT10908"/>
    </row>
    <row r="10909" spans="46:46">
      <c r="AT10909"/>
    </row>
    <row r="10910" spans="46:46">
      <c r="AT10910"/>
    </row>
    <row r="10911" spans="46:46">
      <c r="AT10911"/>
    </row>
    <row r="10912" spans="46:46">
      <c r="AT10912"/>
    </row>
    <row r="10913" spans="46:46">
      <c r="AT10913"/>
    </row>
    <row r="10914" spans="46:46">
      <c r="AT10914"/>
    </row>
    <row r="10915" spans="46:46">
      <c r="AT10915"/>
    </row>
    <row r="10916" spans="46:46">
      <c r="AT10916"/>
    </row>
    <row r="10917" spans="46:46">
      <c r="AT10917"/>
    </row>
    <row r="10918" spans="46:46">
      <c r="AT10918"/>
    </row>
    <row r="10919" spans="46:46">
      <c r="AT10919"/>
    </row>
    <row r="10920" spans="46:46">
      <c r="AT10920"/>
    </row>
    <row r="10921" spans="46:46">
      <c r="AT10921"/>
    </row>
    <row r="10922" spans="46:46">
      <c r="AT10922"/>
    </row>
    <row r="10923" spans="46:46">
      <c r="AT10923"/>
    </row>
    <row r="10924" spans="46:46">
      <c r="AT10924"/>
    </row>
    <row r="10925" spans="46:46">
      <c r="AT10925"/>
    </row>
    <row r="10926" spans="46:46">
      <c r="AT10926"/>
    </row>
    <row r="10927" spans="46:46">
      <c r="AT10927"/>
    </row>
    <row r="10928" spans="46:46">
      <c r="AT10928"/>
    </row>
    <row r="10929" spans="46:46">
      <c r="AT10929"/>
    </row>
    <row r="10930" spans="46:46">
      <c r="AT10930"/>
    </row>
    <row r="10931" spans="46:46">
      <c r="AT10931"/>
    </row>
    <row r="10932" spans="46:46">
      <c r="AT10932"/>
    </row>
    <row r="10933" spans="46:46">
      <c r="AT10933"/>
    </row>
    <row r="10934" spans="46:46">
      <c r="AT10934"/>
    </row>
    <row r="10935" spans="46:46">
      <c r="AT10935"/>
    </row>
    <row r="10936" spans="46:46">
      <c r="AT10936"/>
    </row>
    <row r="10937" spans="46:46">
      <c r="AT10937"/>
    </row>
    <row r="10938" spans="46:46">
      <c r="AT10938"/>
    </row>
    <row r="10939" spans="46:46">
      <c r="AT10939"/>
    </row>
    <row r="10940" spans="46:46">
      <c r="AT10940"/>
    </row>
    <row r="10941" spans="46:46">
      <c r="AT10941"/>
    </row>
    <row r="10942" spans="46:46">
      <c r="AT10942"/>
    </row>
    <row r="10943" spans="46:46">
      <c r="AT10943"/>
    </row>
    <row r="10944" spans="46:46">
      <c r="AT10944"/>
    </row>
    <row r="10945" spans="46:46">
      <c r="AT10945"/>
    </row>
    <row r="10946" spans="46:46">
      <c r="AT10946"/>
    </row>
    <row r="10947" spans="46:46">
      <c r="AT10947"/>
    </row>
    <row r="10948" spans="46:46">
      <c r="AT10948"/>
    </row>
    <row r="10949" spans="46:46">
      <c r="AT10949"/>
    </row>
    <row r="10950" spans="46:46">
      <c r="AT10950"/>
    </row>
    <row r="10951" spans="46:46">
      <c r="AT10951"/>
    </row>
    <row r="10952" spans="46:46">
      <c r="AT10952"/>
    </row>
    <row r="10953" spans="46:46">
      <c r="AT10953"/>
    </row>
    <row r="10954" spans="46:46">
      <c r="AT10954"/>
    </row>
    <row r="10955" spans="46:46">
      <c r="AT10955"/>
    </row>
    <row r="10956" spans="46:46">
      <c r="AT10956"/>
    </row>
    <row r="10957" spans="46:46">
      <c r="AT10957"/>
    </row>
    <row r="10958" spans="46:46">
      <c r="AT10958"/>
    </row>
    <row r="10959" spans="46:46">
      <c r="AT10959"/>
    </row>
    <row r="10960" spans="46:46">
      <c r="AT10960"/>
    </row>
    <row r="10961" spans="46:46">
      <c r="AT10961"/>
    </row>
    <row r="10962" spans="46:46">
      <c r="AT10962"/>
    </row>
    <row r="10963" spans="46:46">
      <c r="AT10963"/>
    </row>
    <row r="10964" spans="46:46">
      <c r="AT10964"/>
    </row>
    <row r="10965" spans="46:46">
      <c r="AT10965"/>
    </row>
    <row r="10966" spans="46:46">
      <c r="AT10966"/>
    </row>
    <row r="10967" spans="46:46">
      <c r="AT10967"/>
    </row>
    <row r="10968" spans="46:46">
      <c r="AT10968"/>
    </row>
    <row r="10969" spans="46:46">
      <c r="AT10969"/>
    </row>
    <row r="10970" spans="46:46">
      <c r="AT10970"/>
    </row>
    <row r="10971" spans="46:46">
      <c r="AT10971"/>
    </row>
    <row r="10972" spans="46:46">
      <c r="AT10972"/>
    </row>
    <row r="10973" spans="46:46">
      <c r="AT10973"/>
    </row>
    <row r="10974" spans="46:46">
      <c r="AT10974"/>
    </row>
    <row r="10975" spans="46:46">
      <c r="AT10975"/>
    </row>
    <row r="10976" spans="46:46">
      <c r="AT10976"/>
    </row>
    <row r="10977" spans="46:46">
      <c r="AT10977"/>
    </row>
    <row r="10978" spans="46:46">
      <c r="AT10978"/>
    </row>
    <row r="10979" spans="46:46">
      <c r="AT10979"/>
    </row>
    <row r="10980" spans="46:46">
      <c r="AT10980"/>
    </row>
    <row r="10981" spans="46:46">
      <c r="AT10981"/>
    </row>
    <row r="10982" spans="46:46">
      <c r="AT10982"/>
    </row>
    <row r="10983" spans="46:46">
      <c r="AT10983"/>
    </row>
    <row r="10984" spans="46:46">
      <c r="AT10984"/>
    </row>
    <row r="10985" spans="46:46">
      <c r="AT10985"/>
    </row>
    <row r="10986" spans="46:46">
      <c r="AT10986"/>
    </row>
    <row r="10987" spans="46:46">
      <c r="AT10987"/>
    </row>
    <row r="10988" spans="46:46">
      <c r="AT10988"/>
    </row>
    <row r="10989" spans="46:46">
      <c r="AT10989"/>
    </row>
    <row r="10990" spans="46:46">
      <c r="AT10990"/>
    </row>
    <row r="10991" spans="46:46">
      <c r="AT10991"/>
    </row>
    <row r="10992" spans="46:46">
      <c r="AT10992"/>
    </row>
    <row r="10993" spans="46:46">
      <c r="AT10993"/>
    </row>
    <row r="10994" spans="46:46">
      <c r="AT10994"/>
    </row>
    <row r="10995" spans="46:46">
      <c r="AT10995"/>
    </row>
    <row r="10996" spans="46:46">
      <c r="AT10996"/>
    </row>
    <row r="10997" spans="46:46">
      <c r="AT10997"/>
    </row>
    <row r="10998" spans="46:46">
      <c r="AT10998"/>
    </row>
    <row r="10999" spans="46:46">
      <c r="AT10999"/>
    </row>
    <row r="11000" spans="46:46">
      <c r="AT11000"/>
    </row>
    <row r="11001" spans="46:46">
      <c r="AT11001"/>
    </row>
    <row r="11002" spans="46:46">
      <c r="AT11002"/>
    </row>
    <row r="11003" spans="46:46">
      <c r="AT11003"/>
    </row>
    <row r="11004" spans="46:46">
      <c r="AT11004"/>
    </row>
    <row r="11005" spans="46:46">
      <c r="AT11005"/>
    </row>
    <row r="11006" spans="46:46">
      <c r="AT11006"/>
    </row>
    <row r="11007" spans="46:46">
      <c r="AT11007"/>
    </row>
    <row r="11008" spans="46:46">
      <c r="AT11008"/>
    </row>
    <row r="11009" spans="46:46">
      <c r="AT11009"/>
    </row>
    <row r="11010" spans="46:46">
      <c r="AT11010"/>
    </row>
    <row r="11011" spans="46:46">
      <c r="AT11011"/>
    </row>
    <row r="11012" spans="46:46">
      <c r="AT11012"/>
    </row>
    <row r="11013" spans="46:46">
      <c r="AT11013"/>
    </row>
    <row r="11014" spans="46:46">
      <c r="AT11014"/>
    </row>
    <row r="11015" spans="46:46">
      <c r="AT11015"/>
    </row>
    <row r="11016" spans="46:46">
      <c r="AT11016"/>
    </row>
    <row r="11017" spans="46:46">
      <c r="AT11017"/>
    </row>
    <row r="11018" spans="46:46">
      <c r="AT11018"/>
    </row>
    <row r="11019" spans="46:46">
      <c r="AT11019"/>
    </row>
    <row r="11020" spans="46:46">
      <c r="AT11020"/>
    </row>
    <row r="11021" spans="46:46">
      <c r="AT11021"/>
    </row>
    <row r="11022" spans="46:46">
      <c r="AT11022"/>
    </row>
    <row r="11023" spans="46:46">
      <c r="AT11023"/>
    </row>
    <row r="11024" spans="46:46">
      <c r="AT11024"/>
    </row>
    <row r="11025" spans="46:46">
      <c r="AT11025"/>
    </row>
    <row r="11026" spans="46:46">
      <c r="AT11026"/>
    </row>
    <row r="11027" spans="46:46">
      <c r="AT11027"/>
    </row>
    <row r="11028" spans="46:46">
      <c r="AT11028"/>
    </row>
    <row r="11029" spans="46:46">
      <c r="AT11029"/>
    </row>
    <row r="11030" spans="46:46">
      <c r="AT11030"/>
    </row>
    <row r="11031" spans="46:46">
      <c r="AT11031"/>
    </row>
    <row r="11032" spans="46:46">
      <c r="AT11032"/>
    </row>
    <row r="11033" spans="46:46">
      <c r="AT11033"/>
    </row>
    <row r="11034" spans="46:46">
      <c r="AT11034"/>
    </row>
    <row r="11035" spans="46:46">
      <c r="AT11035"/>
    </row>
    <row r="11036" spans="46:46">
      <c r="AT11036"/>
    </row>
    <row r="11037" spans="46:46">
      <c r="AT11037"/>
    </row>
    <row r="11038" spans="46:46">
      <c r="AT11038"/>
    </row>
    <row r="11039" spans="46:46">
      <c r="AT11039"/>
    </row>
    <row r="11040" spans="46:46">
      <c r="AT11040"/>
    </row>
    <row r="11041" spans="46:46">
      <c r="AT11041"/>
    </row>
    <row r="11042" spans="46:46">
      <c r="AT11042"/>
    </row>
    <row r="11043" spans="46:46">
      <c r="AT11043"/>
    </row>
    <row r="11044" spans="46:46">
      <c r="AT11044"/>
    </row>
    <row r="11045" spans="46:46">
      <c r="AT11045"/>
    </row>
    <row r="11046" spans="46:46">
      <c r="AT11046"/>
    </row>
    <row r="11047" spans="46:46">
      <c r="AT11047"/>
    </row>
    <row r="11048" spans="46:46">
      <c r="AT11048"/>
    </row>
    <row r="11049" spans="46:46">
      <c r="AT11049"/>
    </row>
    <row r="11050" spans="46:46">
      <c r="AT11050"/>
    </row>
    <row r="11051" spans="46:46">
      <c r="AT11051"/>
    </row>
    <row r="11052" spans="46:46">
      <c r="AT11052"/>
    </row>
    <row r="11053" spans="46:46">
      <c r="AT11053"/>
    </row>
    <row r="11054" spans="46:46">
      <c r="AT11054"/>
    </row>
    <row r="11055" spans="46:46">
      <c r="AT11055"/>
    </row>
    <row r="11056" spans="46:46">
      <c r="AT11056"/>
    </row>
    <row r="11057" spans="46:46">
      <c r="AT11057"/>
    </row>
    <row r="11058" spans="46:46">
      <c r="AT11058"/>
    </row>
    <row r="11059" spans="46:46">
      <c r="AT11059"/>
    </row>
    <row r="11060" spans="46:46">
      <c r="AT11060"/>
    </row>
    <row r="11061" spans="46:46">
      <c r="AT11061"/>
    </row>
    <row r="11062" spans="46:46">
      <c r="AT11062"/>
    </row>
    <row r="11063" spans="46:46">
      <c r="AT11063"/>
    </row>
    <row r="11064" spans="46:46">
      <c r="AT11064"/>
    </row>
    <row r="11065" spans="46:46">
      <c r="AT11065"/>
    </row>
    <row r="11066" spans="46:46">
      <c r="AT11066"/>
    </row>
    <row r="11067" spans="46:46">
      <c r="AT11067"/>
    </row>
    <row r="11068" spans="46:46">
      <c r="AT11068"/>
    </row>
    <row r="11069" spans="46:46">
      <c r="AT11069"/>
    </row>
    <row r="11070" spans="46:46">
      <c r="AT11070"/>
    </row>
    <row r="11071" spans="46:46">
      <c r="AT11071"/>
    </row>
    <row r="11072" spans="46:46">
      <c r="AT11072"/>
    </row>
    <row r="11073" spans="46:46">
      <c r="AT11073"/>
    </row>
    <row r="11074" spans="46:46">
      <c r="AT11074"/>
    </row>
    <row r="11075" spans="46:46">
      <c r="AT11075"/>
    </row>
    <row r="11076" spans="46:46">
      <c r="AT11076"/>
    </row>
    <row r="11077" spans="46:46">
      <c r="AT11077"/>
    </row>
    <row r="11078" spans="46:46">
      <c r="AT11078"/>
    </row>
    <row r="11079" spans="46:46">
      <c r="AT11079"/>
    </row>
    <row r="11080" spans="46:46">
      <c r="AT11080"/>
    </row>
    <row r="11081" spans="46:46">
      <c r="AT11081"/>
    </row>
    <row r="11082" spans="46:46">
      <c r="AT11082"/>
    </row>
    <row r="11083" spans="46:46">
      <c r="AT11083"/>
    </row>
    <row r="11084" spans="46:46">
      <c r="AT11084"/>
    </row>
    <row r="11085" spans="46:46">
      <c r="AT11085"/>
    </row>
    <row r="11086" spans="46:46">
      <c r="AT11086"/>
    </row>
    <row r="11087" spans="46:46">
      <c r="AT11087"/>
    </row>
    <row r="11088" spans="46:46">
      <c r="AT11088"/>
    </row>
    <row r="11089" spans="46:46">
      <c r="AT11089"/>
    </row>
    <row r="11090" spans="46:46">
      <c r="AT11090"/>
    </row>
    <row r="11091" spans="46:46">
      <c r="AT11091"/>
    </row>
    <row r="11092" spans="46:46">
      <c r="AT11092"/>
    </row>
    <row r="11093" spans="46:46">
      <c r="AT11093"/>
    </row>
    <row r="11094" spans="46:46">
      <c r="AT11094"/>
    </row>
    <row r="11095" spans="46:46">
      <c r="AT11095"/>
    </row>
    <row r="11096" spans="46:46">
      <c r="AT11096"/>
    </row>
    <row r="11097" spans="46:46">
      <c r="AT11097"/>
    </row>
    <row r="11098" spans="46:46">
      <c r="AT11098"/>
    </row>
    <row r="11099" spans="46:46">
      <c r="AT11099"/>
    </row>
    <row r="11100" spans="46:46">
      <c r="AT11100"/>
    </row>
    <row r="11101" spans="46:46">
      <c r="AT11101"/>
    </row>
    <row r="11102" spans="46:46">
      <c r="AT11102"/>
    </row>
    <row r="11103" spans="46:46">
      <c r="AT11103"/>
    </row>
    <row r="11104" spans="46:46">
      <c r="AT11104"/>
    </row>
    <row r="11105" spans="46:46">
      <c r="AT11105"/>
    </row>
    <row r="11106" spans="46:46">
      <c r="AT11106"/>
    </row>
    <row r="11107" spans="46:46">
      <c r="AT11107"/>
    </row>
    <row r="11108" spans="46:46">
      <c r="AT11108"/>
    </row>
    <row r="11109" spans="46:46">
      <c r="AT11109"/>
    </row>
    <row r="11110" spans="46:46">
      <c r="AT11110"/>
    </row>
    <row r="11111" spans="46:46">
      <c r="AT11111"/>
    </row>
    <row r="11112" spans="46:46">
      <c r="AT11112"/>
    </row>
    <row r="11113" spans="46:46">
      <c r="AT11113"/>
    </row>
    <row r="11114" spans="46:46">
      <c r="AT11114"/>
    </row>
    <row r="11115" spans="46:46">
      <c r="AT11115"/>
    </row>
    <row r="11116" spans="46:46">
      <c r="AT11116"/>
    </row>
    <row r="11117" spans="46:46">
      <c r="AT11117"/>
    </row>
    <row r="11118" spans="46:46">
      <c r="AT11118"/>
    </row>
    <row r="11119" spans="46:46">
      <c r="AT11119"/>
    </row>
    <row r="11120" spans="46:46">
      <c r="AT11120"/>
    </row>
    <row r="11121" spans="46:46">
      <c r="AT11121"/>
    </row>
    <row r="11122" spans="46:46">
      <c r="AT11122"/>
    </row>
    <row r="11123" spans="46:46">
      <c r="AT11123"/>
    </row>
    <row r="11124" spans="46:46">
      <c r="AT11124"/>
    </row>
    <row r="11125" spans="46:46">
      <c r="AT11125"/>
    </row>
    <row r="11126" spans="46:46">
      <c r="AT11126"/>
    </row>
    <row r="11127" spans="46:46">
      <c r="AT11127"/>
    </row>
    <row r="11128" spans="46:46">
      <c r="AT11128"/>
    </row>
    <row r="11129" spans="46:46">
      <c r="AT11129"/>
    </row>
    <row r="11130" spans="46:46">
      <c r="AT11130"/>
    </row>
    <row r="11131" spans="46:46">
      <c r="AT11131"/>
    </row>
    <row r="11132" spans="46:46">
      <c r="AT11132"/>
    </row>
    <row r="11133" spans="46:46">
      <c r="AT11133"/>
    </row>
    <row r="11134" spans="46:46">
      <c r="AT11134"/>
    </row>
    <row r="11135" spans="46:46">
      <c r="AT11135"/>
    </row>
    <row r="11136" spans="46:46">
      <c r="AT11136"/>
    </row>
    <row r="11137" spans="46:46">
      <c r="AT11137"/>
    </row>
    <row r="11138" spans="46:46">
      <c r="AT11138"/>
    </row>
    <row r="11139" spans="46:46">
      <c r="AT11139"/>
    </row>
    <row r="11140" spans="46:46">
      <c r="AT11140"/>
    </row>
    <row r="11141" spans="46:46">
      <c r="AT11141"/>
    </row>
    <row r="11142" spans="46:46">
      <c r="AT11142"/>
    </row>
    <row r="11143" spans="46:46">
      <c r="AT11143"/>
    </row>
    <row r="11144" spans="46:46">
      <c r="AT11144"/>
    </row>
    <row r="11145" spans="46:46">
      <c r="AT11145"/>
    </row>
    <row r="11146" spans="46:46">
      <c r="AT11146"/>
    </row>
    <row r="11147" spans="46:46">
      <c r="AT11147"/>
    </row>
    <row r="11148" spans="46:46">
      <c r="AT11148"/>
    </row>
    <row r="11149" spans="46:46">
      <c r="AT11149"/>
    </row>
    <row r="11150" spans="46:46">
      <c r="AT11150"/>
    </row>
    <row r="11151" spans="46:46">
      <c r="AT11151"/>
    </row>
    <row r="11152" spans="46:46">
      <c r="AT11152"/>
    </row>
    <row r="11153" spans="46:46">
      <c r="AT11153"/>
    </row>
    <row r="11154" spans="46:46">
      <c r="AT11154"/>
    </row>
    <row r="11155" spans="46:46">
      <c r="AT11155"/>
    </row>
    <row r="11156" spans="46:46">
      <c r="AT11156"/>
    </row>
    <row r="11157" spans="46:46">
      <c r="AT11157"/>
    </row>
    <row r="11158" spans="46:46">
      <c r="AT11158"/>
    </row>
    <row r="11159" spans="46:46">
      <c r="AT11159"/>
    </row>
    <row r="11160" spans="46:46">
      <c r="AT11160"/>
    </row>
    <row r="11161" spans="46:46">
      <c r="AT11161"/>
    </row>
    <row r="11162" spans="46:46">
      <c r="AT11162"/>
    </row>
    <row r="11163" spans="46:46">
      <c r="AT11163"/>
    </row>
    <row r="11164" spans="46:46">
      <c r="AT11164"/>
    </row>
    <row r="11165" spans="46:46">
      <c r="AT11165"/>
    </row>
    <row r="11166" spans="46:46">
      <c r="AT11166"/>
    </row>
    <row r="11167" spans="46:46">
      <c r="AT11167"/>
    </row>
    <row r="11168" spans="46:46">
      <c r="AT11168"/>
    </row>
    <row r="11169" spans="46:46">
      <c r="AT11169"/>
    </row>
    <row r="11170" spans="46:46">
      <c r="AT11170"/>
    </row>
    <row r="11171" spans="46:46">
      <c r="AT11171"/>
    </row>
    <row r="11172" spans="46:46">
      <c r="AT11172"/>
    </row>
    <row r="11173" spans="46:46">
      <c r="AT11173"/>
    </row>
    <row r="11174" spans="46:46">
      <c r="AT11174"/>
    </row>
    <row r="11175" spans="46:46">
      <c r="AT11175"/>
    </row>
    <row r="11176" spans="46:46">
      <c r="AT11176"/>
    </row>
    <row r="11177" spans="46:46">
      <c r="AT11177"/>
    </row>
    <row r="11178" spans="46:46">
      <c r="AT11178"/>
    </row>
    <row r="11179" spans="46:46">
      <c r="AT11179"/>
    </row>
    <row r="11180" spans="46:46">
      <c r="AT11180"/>
    </row>
    <row r="11181" spans="46:46">
      <c r="AT11181"/>
    </row>
    <row r="11182" spans="46:46">
      <c r="AT11182"/>
    </row>
    <row r="11183" spans="46:46">
      <c r="AT11183"/>
    </row>
    <row r="11184" spans="46:46">
      <c r="AT11184"/>
    </row>
    <row r="11185" spans="46:46">
      <c r="AT11185"/>
    </row>
    <row r="11186" spans="46:46">
      <c r="AT11186"/>
    </row>
    <row r="11187" spans="46:46">
      <c r="AT11187"/>
    </row>
    <row r="11188" spans="46:46">
      <c r="AT11188"/>
    </row>
    <row r="11189" spans="46:46">
      <c r="AT11189"/>
    </row>
    <row r="11190" spans="46:46">
      <c r="AT11190"/>
    </row>
    <row r="11191" spans="46:46">
      <c r="AT11191"/>
    </row>
    <row r="11192" spans="46:46">
      <c r="AT11192"/>
    </row>
    <row r="11193" spans="46:46">
      <c r="AT11193"/>
    </row>
    <row r="11194" spans="46:46">
      <c r="AT11194"/>
    </row>
    <row r="11195" spans="46:46">
      <c r="AT11195"/>
    </row>
    <row r="11196" spans="46:46">
      <c r="AT11196"/>
    </row>
    <row r="11197" spans="46:46">
      <c r="AT11197"/>
    </row>
    <row r="11198" spans="46:46">
      <c r="AT11198"/>
    </row>
    <row r="11199" spans="46:46">
      <c r="AT11199"/>
    </row>
    <row r="11200" spans="46:46">
      <c r="AT11200"/>
    </row>
    <row r="11201" spans="46:46">
      <c r="AT11201"/>
    </row>
    <row r="11202" spans="46:46">
      <c r="AT11202"/>
    </row>
    <row r="11203" spans="46:46">
      <c r="AT11203"/>
    </row>
    <row r="11204" spans="46:46">
      <c r="AT11204"/>
    </row>
    <row r="11205" spans="46:46">
      <c r="AT11205"/>
    </row>
    <row r="11206" spans="46:46">
      <c r="AT11206"/>
    </row>
    <row r="11207" spans="46:46">
      <c r="AT11207"/>
    </row>
    <row r="11208" spans="46:46">
      <c r="AT11208"/>
    </row>
    <row r="11209" spans="46:46">
      <c r="AT11209"/>
    </row>
    <row r="11210" spans="46:46">
      <c r="AT11210"/>
    </row>
    <row r="11211" spans="46:46">
      <c r="AT11211"/>
    </row>
    <row r="11212" spans="46:46">
      <c r="AT11212"/>
    </row>
    <row r="11213" spans="46:46">
      <c r="AT11213"/>
    </row>
    <row r="11214" spans="46:46">
      <c r="AT11214"/>
    </row>
    <row r="11215" spans="46:46">
      <c r="AT11215"/>
    </row>
    <row r="11216" spans="46:46">
      <c r="AT11216"/>
    </row>
    <row r="11217" spans="46:46">
      <c r="AT11217"/>
    </row>
    <row r="11218" spans="46:46">
      <c r="AT11218"/>
    </row>
    <row r="11219" spans="46:46">
      <c r="AT11219"/>
    </row>
    <row r="11220" spans="46:46">
      <c r="AT11220"/>
    </row>
    <row r="11221" spans="46:46">
      <c r="AT11221"/>
    </row>
    <row r="11222" spans="46:46">
      <c r="AT11222"/>
    </row>
    <row r="11223" spans="46:46">
      <c r="AT11223"/>
    </row>
    <row r="11224" spans="46:46">
      <c r="AT11224"/>
    </row>
    <row r="11225" spans="46:46">
      <c r="AT11225"/>
    </row>
    <row r="11226" spans="46:46">
      <c r="AT11226"/>
    </row>
    <row r="11227" spans="46:46">
      <c r="AT11227"/>
    </row>
    <row r="11228" spans="46:46">
      <c r="AT11228"/>
    </row>
    <row r="11229" spans="46:46">
      <c r="AT11229"/>
    </row>
    <row r="11230" spans="46:46">
      <c r="AT11230"/>
    </row>
    <row r="11231" spans="46:46">
      <c r="AT11231"/>
    </row>
    <row r="11232" spans="46:46">
      <c r="AT11232"/>
    </row>
    <row r="11233" spans="46:46">
      <c r="AT11233"/>
    </row>
    <row r="11234" spans="46:46">
      <c r="AT11234"/>
    </row>
    <row r="11235" spans="46:46">
      <c r="AT11235"/>
    </row>
    <row r="11236" spans="46:46">
      <c r="AT11236"/>
    </row>
    <row r="11237" spans="46:46">
      <c r="AT11237"/>
    </row>
    <row r="11238" spans="46:46">
      <c r="AT11238"/>
    </row>
    <row r="11239" spans="46:46">
      <c r="AT11239"/>
    </row>
    <row r="11240" spans="46:46">
      <c r="AT11240"/>
    </row>
    <row r="11241" spans="46:46">
      <c r="AT11241"/>
    </row>
    <row r="11242" spans="46:46">
      <c r="AT11242"/>
    </row>
    <row r="11243" spans="46:46">
      <c r="AT11243"/>
    </row>
    <row r="11244" spans="46:46">
      <c r="AT11244"/>
    </row>
    <row r="11245" spans="46:46">
      <c r="AT11245"/>
    </row>
    <row r="11246" spans="46:46">
      <c r="AT11246"/>
    </row>
    <row r="11247" spans="46:46">
      <c r="AT11247"/>
    </row>
    <row r="11248" spans="46:46">
      <c r="AT11248"/>
    </row>
    <row r="11249" spans="46:46">
      <c r="AT11249"/>
    </row>
    <row r="11250" spans="46:46">
      <c r="AT11250"/>
    </row>
    <row r="11251" spans="46:46">
      <c r="AT11251"/>
    </row>
    <row r="11252" spans="46:46">
      <c r="AT11252"/>
    </row>
    <row r="11253" spans="46:46">
      <c r="AT11253"/>
    </row>
    <row r="11254" spans="46:46">
      <c r="AT11254"/>
    </row>
    <row r="11255" spans="46:46">
      <c r="AT11255"/>
    </row>
    <row r="11256" spans="46:46">
      <c r="AT11256"/>
    </row>
    <row r="11257" spans="46:46">
      <c r="AT11257"/>
    </row>
    <row r="11258" spans="46:46">
      <c r="AT11258"/>
    </row>
    <row r="11259" spans="46:46">
      <c r="AT11259"/>
    </row>
    <row r="11260" spans="46:46">
      <c r="AT11260"/>
    </row>
    <row r="11261" spans="46:46">
      <c r="AT11261"/>
    </row>
    <row r="11262" spans="46:46">
      <c r="AT11262"/>
    </row>
    <row r="11263" spans="46:46">
      <c r="AT11263"/>
    </row>
    <row r="11264" spans="46:46">
      <c r="AT11264"/>
    </row>
    <row r="11265" spans="46:46">
      <c r="AT11265"/>
    </row>
    <row r="11266" spans="46:46">
      <c r="AT11266"/>
    </row>
    <row r="11267" spans="46:46">
      <c r="AT11267"/>
    </row>
    <row r="11268" spans="46:46">
      <c r="AT11268"/>
    </row>
    <row r="11269" spans="46:46">
      <c r="AT11269"/>
    </row>
    <row r="11270" spans="46:46">
      <c r="AT11270"/>
    </row>
    <row r="11271" spans="46:46">
      <c r="AT11271"/>
    </row>
    <row r="11272" spans="46:46">
      <c r="AT11272"/>
    </row>
    <row r="11273" spans="46:46">
      <c r="AT11273"/>
    </row>
    <row r="11274" spans="46:46">
      <c r="AT11274"/>
    </row>
    <row r="11275" spans="46:46">
      <c r="AT11275"/>
    </row>
    <row r="11276" spans="46:46">
      <c r="AT11276"/>
    </row>
    <row r="11277" spans="46:46">
      <c r="AT11277"/>
    </row>
    <row r="11278" spans="46:46">
      <c r="AT11278"/>
    </row>
    <row r="11279" spans="46:46">
      <c r="AT11279"/>
    </row>
    <row r="11280" spans="46:46">
      <c r="AT11280"/>
    </row>
    <row r="11281" spans="46:46">
      <c r="AT11281"/>
    </row>
    <row r="11282" spans="46:46">
      <c r="AT11282"/>
    </row>
    <row r="11283" spans="46:46">
      <c r="AT11283"/>
    </row>
    <row r="11284" spans="46:46">
      <c r="AT11284"/>
    </row>
    <row r="11285" spans="46:46">
      <c r="AT11285"/>
    </row>
    <row r="11286" spans="46:46">
      <c r="AT11286"/>
    </row>
    <row r="11287" spans="46:46">
      <c r="AT11287"/>
    </row>
    <row r="11288" spans="46:46">
      <c r="AT11288"/>
    </row>
    <row r="11289" spans="46:46">
      <c r="AT11289"/>
    </row>
    <row r="11290" spans="46:46">
      <c r="AT11290"/>
    </row>
    <row r="11291" spans="46:46">
      <c r="AT11291"/>
    </row>
    <row r="11292" spans="46:46">
      <c r="AT11292"/>
    </row>
    <row r="11293" spans="46:46">
      <c r="AT11293"/>
    </row>
    <row r="11294" spans="46:46">
      <c r="AT11294"/>
    </row>
    <row r="11295" spans="46:46">
      <c r="AT11295"/>
    </row>
    <row r="11296" spans="46:46">
      <c r="AT11296"/>
    </row>
    <row r="11297" spans="46:46">
      <c r="AT11297"/>
    </row>
    <row r="11298" spans="46:46">
      <c r="AT11298"/>
    </row>
    <row r="11299" spans="46:46">
      <c r="AT11299"/>
    </row>
    <row r="11300" spans="46:46">
      <c r="AT11300"/>
    </row>
    <row r="11301" spans="46:46">
      <c r="AT11301"/>
    </row>
    <row r="11302" spans="46:46">
      <c r="AT11302"/>
    </row>
    <row r="11303" spans="46:46">
      <c r="AT11303"/>
    </row>
    <row r="11304" spans="46:46">
      <c r="AT11304"/>
    </row>
    <row r="11305" spans="46:46">
      <c r="AT11305"/>
    </row>
    <row r="11306" spans="46:46">
      <c r="AT11306"/>
    </row>
    <row r="11307" spans="46:46">
      <c r="AT11307"/>
    </row>
    <row r="11308" spans="46:46">
      <c r="AT11308"/>
    </row>
    <row r="11309" spans="46:46">
      <c r="AT11309"/>
    </row>
    <row r="11310" spans="46:46">
      <c r="AT11310"/>
    </row>
    <row r="11311" spans="46:46">
      <c r="AT11311"/>
    </row>
    <row r="11312" spans="46:46">
      <c r="AT11312"/>
    </row>
    <row r="11313" spans="46:46">
      <c r="AT11313"/>
    </row>
    <row r="11314" spans="46:46">
      <c r="AT11314"/>
    </row>
    <row r="11315" spans="46:46">
      <c r="AT11315"/>
    </row>
    <row r="11316" spans="46:46">
      <c r="AT11316"/>
    </row>
    <row r="11317" spans="46:46">
      <c r="AT11317"/>
    </row>
    <row r="11318" spans="46:46">
      <c r="AT11318"/>
    </row>
    <row r="11319" spans="46:46">
      <c r="AT11319"/>
    </row>
    <row r="11320" spans="46:46">
      <c r="AT11320"/>
    </row>
    <row r="11321" spans="46:46">
      <c r="AT11321"/>
    </row>
    <row r="11322" spans="46:46">
      <c r="AT11322"/>
    </row>
    <row r="11323" spans="46:46">
      <c r="AT11323"/>
    </row>
    <row r="11324" spans="46:46">
      <c r="AT11324"/>
    </row>
    <row r="11325" spans="46:46">
      <c r="AT11325"/>
    </row>
    <row r="11326" spans="46:46">
      <c r="AT11326"/>
    </row>
    <row r="11327" spans="46:46">
      <c r="AT11327"/>
    </row>
    <row r="11328" spans="46:46">
      <c r="AT11328"/>
    </row>
    <row r="11329" spans="46:46">
      <c r="AT11329"/>
    </row>
    <row r="11330" spans="46:46">
      <c r="AT11330"/>
    </row>
    <row r="11331" spans="46:46">
      <c r="AT11331"/>
    </row>
    <row r="11332" spans="46:46">
      <c r="AT11332"/>
    </row>
    <row r="11333" spans="46:46">
      <c r="AT11333"/>
    </row>
    <row r="11334" spans="46:46">
      <c r="AT11334"/>
    </row>
    <row r="11335" spans="46:46">
      <c r="AT11335"/>
    </row>
    <row r="11336" spans="46:46">
      <c r="AT11336"/>
    </row>
    <row r="11337" spans="46:46">
      <c r="AT11337"/>
    </row>
    <row r="11338" spans="46:46">
      <c r="AT11338"/>
    </row>
    <row r="11339" spans="46:46">
      <c r="AT11339"/>
    </row>
    <row r="11340" spans="46:46">
      <c r="AT11340"/>
    </row>
    <row r="11341" spans="46:46">
      <c r="AT11341"/>
    </row>
    <row r="11342" spans="46:46">
      <c r="AT11342"/>
    </row>
    <row r="11343" spans="46:46">
      <c r="AT11343"/>
    </row>
    <row r="11344" spans="46:46">
      <c r="AT11344"/>
    </row>
    <row r="11345" spans="46:46">
      <c r="AT11345"/>
    </row>
    <row r="11346" spans="46:46">
      <c r="AT11346"/>
    </row>
    <row r="11347" spans="46:46">
      <c r="AT11347"/>
    </row>
    <row r="11348" spans="46:46">
      <c r="AT11348"/>
    </row>
    <row r="11349" spans="46:46">
      <c r="AT11349"/>
    </row>
    <row r="11350" spans="46:46">
      <c r="AT11350"/>
    </row>
    <row r="11351" spans="46:46">
      <c r="AT11351"/>
    </row>
    <row r="11352" spans="46:46">
      <c r="AT11352"/>
    </row>
    <row r="11353" spans="46:46">
      <c r="AT11353"/>
    </row>
    <row r="11354" spans="46:46">
      <c r="AT11354"/>
    </row>
    <row r="11355" spans="46:46">
      <c r="AT11355"/>
    </row>
    <row r="11356" spans="46:46">
      <c r="AT11356"/>
    </row>
    <row r="11357" spans="46:46">
      <c r="AT11357"/>
    </row>
    <row r="11358" spans="46:46">
      <c r="AT11358"/>
    </row>
    <row r="11359" spans="46:46">
      <c r="AT11359"/>
    </row>
    <row r="11360" spans="46:46">
      <c r="AT11360"/>
    </row>
    <row r="11361" spans="46:46">
      <c r="AT11361"/>
    </row>
    <row r="11362" spans="46:46">
      <c r="AT11362"/>
    </row>
    <row r="11363" spans="46:46">
      <c r="AT11363"/>
    </row>
    <row r="11364" spans="46:46">
      <c r="AT11364"/>
    </row>
    <row r="11365" spans="46:46">
      <c r="AT11365"/>
    </row>
    <row r="11366" spans="46:46">
      <c r="AT11366"/>
    </row>
    <row r="11367" spans="46:46">
      <c r="AT11367"/>
    </row>
    <row r="11368" spans="46:46">
      <c r="AT11368"/>
    </row>
    <row r="11369" spans="46:46">
      <c r="AT11369"/>
    </row>
    <row r="11370" spans="46:46">
      <c r="AT11370"/>
    </row>
    <row r="11371" spans="46:46">
      <c r="AT11371"/>
    </row>
    <row r="11372" spans="46:46">
      <c r="AT11372"/>
    </row>
    <row r="11373" spans="46:46">
      <c r="AT11373"/>
    </row>
    <row r="11374" spans="46:46">
      <c r="AT11374"/>
    </row>
    <row r="11375" spans="46:46">
      <c r="AT11375"/>
    </row>
    <row r="11376" spans="46:46">
      <c r="AT11376"/>
    </row>
    <row r="11377" spans="46:46">
      <c r="AT11377"/>
    </row>
    <row r="11378" spans="46:46">
      <c r="AT11378"/>
    </row>
    <row r="11379" spans="46:46">
      <c r="AT11379"/>
    </row>
    <row r="11380" spans="46:46">
      <c r="AT11380"/>
    </row>
    <row r="11381" spans="46:46">
      <c r="AT11381"/>
    </row>
    <row r="11382" spans="46:46">
      <c r="AT11382"/>
    </row>
    <row r="11383" spans="46:46">
      <c r="AT11383"/>
    </row>
    <row r="11384" spans="46:46">
      <c r="AT11384"/>
    </row>
    <row r="11385" spans="46:46">
      <c r="AT11385"/>
    </row>
    <row r="11386" spans="46:46">
      <c r="AT11386"/>
    </row>
    <row r="11387" spans="46:46">
      <c r="AT11387"/>
    </row>
    <row r="11388" spans="46:46">
      <c r="AT11388"/>
    </row>
    <row r="11389" spans="46:46">
      <c r="AT11389"/>
    </row>
    <row r="11390" spans="46:46">
      <c r="AT11390"/>
    </row>
    <row r="11391" spans="46:46">
      <c r="AT11391"/>
    </row>
    <row r="11392" spans="46:46">
      <c r="AT11392"/>
    </row>
    <row r="11393" spans="46:46">
      <c r="AT11393"/>
    </row>
    <row r="11394" spans="46:46">
      <c r="AT11394"/>
    </row>
    <row r="11395" spans="46:46">
      <c r="AT11395"/>
    </row>
    <row r="11396" spans="46:46">
      <c r="AT11396"/>
    </row>
    <row r="11397" spans="46:46">
      <c r="AT11397"/>
    </row>
    <row r="11398" spans="46:46">
      <c r="AT11398"/>
    </row>
    <row r="11399" spans="46:46">
      <c r="AT11399"/>
    </row>
    <row r="11400" spans="46:46">
      <c r="AT11400"/>
    </row>
    <row r="11401" spans="46:46">
      <c r="AT11401"/>
    </row>
    <row r="11402" spans="46:46">
      <c r="AT11402"/>
    </row>
    <row r="11403" spans="46:46">
      <c r="AT11403"/>
    </row>
    <row r="11404" spans="46:46">
      <c r="AT11404"/>
    </row>
    <row r="11405" spans="46:46">
      <c r="AT11405"/>
    </row>
    <row r="11406" spans="46:46">
      <c r="AT11406"/>
    </row>
    <row r="11407" spans="46:46">
      <c r="AT11407"/>
    </row>
    <row r="11408" spans="46:46">
      <c r="AT11408"/>
    </row>
    <row r="11409" spans="46:46">
      <c r="AT11409"/>
    </row>
    <row r="11410" spans="46:46">
      <c r="AT11410"/>
    </row>
    <row r="11411" spans="46:46">
      <c r="AT11411"/>
    </row>
    <row r="11412" spans="46:46">
      <c r="AT11412"/>
    </row>
    <row r="11413" spans="46:46">
      <c r="AT11413"/>
    </row>
    <row r="11414" spans="46:46">
      <c r="AT11414"/>
    </row>
    <row r="11415" spans="46:46">
      <c r="AT11415"/>
    </row>
    <row r="11416" spans="46:46">
      <c r="AT11416"/>
    </row>
    <row r="11417" spans="46:46">
      <c r="AT11417"/>
    </row>
    <row r="11418" spans="46:46">
      <c r="AT11418"/>
    </row>
    <row r="11419" spans="46:46">
      <c r="AT11419"/>
    </row>
    <row r="11420" spans="46:46">
      <c r="AT11420"/>
    </row>
    <row r="11421" spans="46:46">
      <c r="AT11421"/>
    </row>
    <row r="11422" spans="46:46">
      <c r="AT11422"/>
    </row>
    <row r="11423" spans="46:46">
      <c r="AT11423"/>
    </row>
    <row r="11424" spans="46:46">
      <c r="AT11424"/>
    </row>
    <row r="11425" spans="46:46">
      <c r="AT11425"/>
    </row>
    <row r="11426" spans="46:46">
      <c r="AT11426"/>
    </row>
    <row r="11427" spans="46:46">
      <c r="AT11427"/>
    </row>
    <row r="11428" spans="46:46">
      <c r="AT11428"/>
    </row>
    <row r="11429" spans="46:46">
      <c r="AT11429"/>
    </row>
    <row r="11430" spans="46:46">
      <c r="AT11430"/>
    </row>
    <row r="11431" spans="46:46">
      <c r="AT11431"/>
    </row>
    <row r="11432" spans="46:46">
      <c r="AT11432"/>
    </row>
    <row r="11433" spans="46:46">
      <c r="AT11433"/>
    </row>
    <row r="11434" spans="46:46">
      <c r="AT11434"/>
    </row>
    <row r="11435" spans="46:46">
      <c r="AT11435"/>
    </row>
    <row r="11436" spans="46:46">
      <c r="AT11436"/>
    </row>
    <row r="11437" spans="46:46">
      <c r="AT11437"/>
    </row>
    <row r="11438" spans="46:46">
      <c r="AT11438"/>
    </row>
    <row r="11439" spans="46:46">
      <c r="AT11439"/>
    </row>
    <row r="11440" spans="46:46">
      <c r="AT11440"/>
    </row>
    <row r="11441" spans="46:46">
      <c r="AT11441"/>
    </row>
    <row r="11442" spans="46:46">
      <c r="AT11442"/>
    </row>
    <row r="11443" spans="46:46">
      <c r="AT11443"/>
    </row>
    <row r="11444" spans="46:46">
      <c r="AT11444"/>
    </row>
    <row r="11445" spans="46:46">
      <c r="AT11445"/>
    </row>
    <row r="11446" spans="46:46">
      <c r="AT11446"/>
    </row>
    <row r="11447" spans="46:46">
      <c r="AT11447"/>
    </row>
    <row r="11448" spans="46:46">
      <c r="AT11448"/>
    </row>
    <row r="11449" spans="46:46">
      <c r="AT11449"/>
    </row>
    <row r="11450" spans="46:46">
      <c r="AT11450"/>
    </row>
    <row r="11451" spans="46:46">
      <c r="AT11451"/>
    </row>
    <row r="11452" spans="46:46">
      <c r="AT11452"/>
    </row>
    <row r="11453" spans="46:46">
      <c r="AT11453"/>
    </row>
    <row r="11454" spans="46:46">
      <c r="AT11454"/>
    </row>
    <row r="11455" spans="46:46">
      <c r="AT11455"/>
    </row>
    <row r="11456" spans="46:46">
      <c r="AT11456"/>
    </row>
    <row r="11457" spans="46:46">
      <c r="AT11457"/>
    </row>
    <row r="11458" spans="46:46">
      <c r="AT11458"/>
    </row>
    <row r="11459" spans="46:46">
      <c r="AT11459"/>
    </row>
    <row r="11460" spans="46:46">
      <c r="AT11460"/>
    </row>
    <row r="11461" spans="46:46">
      <c r="AT11461"/>
    </row>
    <row r="11462" spans="46:46">
      <c r="AT11462"/>
    </row>
    <row r="11463" spans="46:46">
      <c r="AT11463"/>
    </row>
    <row r="11464" spans="46:46">
      <c r="AT11464"/>
    </row>
    <row r="11465" spans="46:46">
      <c r="AT11465"/>
    </row>
    <row r="11466" spans="46:46">
      <c r="AT11466"/>
    </row>
    <row r="11467" spans="46:46">
      <c r="AT11467"/>
    </row>
    <row r="11468" spans="46:46">
      <c r="AT11468"/>
    </row>
    <row r="11469" spans="46:46">
      <c r="AT11469"/>
    </row>
    <row r="11470" spans="46:46">
      <c r="AT11470"/>
    </row>
    <row r="11471" spans="46:46">
      <c r="AT11471"/>
    </row>
    <row r="11472" spans="46:46">
      <c r="AT11472"/>
    </row>
    <row r="11473" spans="46:46">
      <c r="AT11473"/>
    </row>
    <row r="11474" spans="46:46">
      <c r="AT11474"/>
    </row>
    <row r="11475" spans="46:46">
      <c r="AT11475"/>
    </row>
    <row r="11476" spans="46:46">
      <c r="AT11476"/>
    </row>
    <row r="11477" spans="46:46">
      <c r="AT11477"/>
    </row>
    <row r="11478" spans="46:46">
      <c r="AT11478"/>
    </row>
    <row r="11479" spans="46:46">
      <c r="AT11479"/>
    </row>
    <row r="11480" spans="46:46">
      <c r="AT11480"/>
    </row>
    <row r="11481" spans="46:46">
      <c r="AT11481"/>
    </row>
    <row r="11482" spans="46:46">
      <c r="AT11482"/>
    </row>
    <row r="11483" spans="46:46">
      <c r="AT11483"/>
    </row>
    <row r="11484" spans="46:46">
      <c r="AT11484"/>
    </row>
    <row r="11485" spans="46:46">
      <c r="AT11485"/>
    </row>
    <row r="11486" spans="46:46">
      <c r="AT11486"/>
    </row>
    <row r="11487" spans="46:46">
      <c r="AT11487"/>
    </row>
    <row r="11488" spans="46:46">
      <c r="AT11488"/>
    </row>
    <row r="11489" spans="46:46">
      <c r="AT11489"/>
    </row>
    <row r="11490" spans="46:46">
      <c r="AT11490"/>
    </row>
    <row r="11491" spans="46:46">
      <c r="AT11491"/>
    </row>
    <row r="11492" spans="46:46">
      <c r="AT11492"/>
    </row>
    <row r="11493" spans="46:46">
      <c r="AT11493"/>
    </row>
    <row r="11494" spans="46:46">
      <c r="AT11494"/>
    </row>
    <row r="11495" spans="46:46">
      <c r="AT11495"/>
    </row>
    <row r="11496" spans="46:46">
      <c r="AT11496"/>
    </row>
    <row r="11497" spans="46:46">
      <c r="AT11497"/>
    </row>
    <row r="11498" spans="46:46">
      <c r="AT11498"/>
    </row>
    <row r="11499" spans="46:46">
      <c r="AT11499"/>
    </row>
    <row r="11500" spans="46:46">
      <c r="AT11500"/>
    </row>
    <row r="11501" spans="46:46">
      <c r="AT11501"/>
    </row>
    <row r="11502" spans="46:46">
      <c r="AT11502"/>
    </row>
    <row r="11503" spans="46:46">
      <c r="AT11503"/>
    </row>
    <row r="11504" spans="46:46">
      <c r="AT11504"/>
    </row>
    <row r="11505" spans="46:46">
      <c r="AT11505"/>
    </row>
    <row r="11506" spans="46:46">
      <c r="AT11506"/>
    </row>
    <row r="11507" spans="46:46">
      <c r="AT11507"/>
    </row>
    <row r="11508" spans="46:46">
      <c r="AT11508"/>
    </row>
    <row r="11509" spans="46:46">
      <c r="AT11509"/>
    </row>
    <row r="11510" spans="46:46">
      <c r="AT11510"/>
    </row>
    <row r="11511" spans="46:46">
      <c r="AT11511"/>
    </row>
    <row r="11512" spans="46:46">
      <c r="AT11512"/>
    </row>
    <row r="11513" spans="46:46">
      <c r="AT11513"/>
    </row>
    <row r="11514" spans="46:46">
      <c r="AT11514"/>
    </row>
    <row r="11515" spans="46:46">
      <c r="AT11515"/>
    </row>
    <row r="11516" spans="46:46">
      <c r="AT11516"/>
    </row>
    <row r="11517" spans="46:46">
      <c r="AT11517"/>
    </row>
    <row r="11518" spans="46:46">
      <c r="AT11518"/>
    </row>
    <row r="11519" spans="46:46">
      <c r="AT11519"/>
    </row>
    <row r="11520" spans="46:46">
      <c r="AT11520"/>
    </row>
    <row r="11521" spans="46:46">
      <c r="AT11521"/>
    </row>
    <row r="11522" spans="46:46">
      <c r="AT11522"/>
    </row>
    <row r="11523" spans="46:46">
      <c r="AT11523"/>
    </row>
    <row r="11524" spans="46:46">
      <c r="AT11524"/>
    </row>
    <row r="11525" spans="46:46">
      <c r="AT11525"/>
    </row>
    <row r="11526" spans="46:46">
      <c r="AT11526"/>
    </row>
    <row r="11527" spans="46:46">
      <c r="AT11527"/>
    </row>
    <row r="11528" spans="46:46">
      <c r="AT11528"/>
    </row>
    <row r="11529" spans="46:46">
      <c r="AT11529"/>
    </row>
    <row r="11530" spans="46:46">
      <c r="AT11530"/>
    </row>
    <row r="11531" spans="46:46">
      <c r="AT11531"/>
    </row>
    <row r="11532" spans="46:46">
      <c r="AT11532"/>
    </row>
    <row r="11533" spans="46:46">
      <c r="AT11533"/>
    </row>
    <row r="11534" spans="46:46">
      <c r="AT11534"/>
    </row>
    <row r="11535" spans="46:46">
      <c r="AT11535"/>
    </row>
    <row r="11536" spans="46:46">
      <c r="AT11536"/>
    </row>
    <row r="11537" spans="46:46">
      <c r="AT11537"/>
    </row>
    <row r="11538" spans="46:46">
      <c r="AT11538"/>
    </row>
    <row r="11539" spans="46:46">
      <c r="AT11539"/>
    </row>
    <row r="11540" spans="46:46">
      <c r="AT11540"/>
    </row>
    <row r="11541" spans="46:46">
      <c r="AT11541"/>
    </row>
    <row r="11542" spans="46:46">
      <c r="AT11542"/>
    </row>
    <row r="11543" spans="46:46">
      <c r="AT11543"/>
    </row>
    <row r="11544" spans="46:46">
      <c r="AT11544"/>
    </row>
    <row r="11545" spans="46:46">
      <c r="AT11545"/>
    </row>
    <row r="11546" spans="46:46">
      <c r="AT11546"/>
    </row>
    <row r="11547" spans="46:46">
      <c r="AT11547"/>
    </row>
    <row r="11548" spans="46:46">
      <c r="AT11548"/>
    </row>
    <row r="11549" spans="46:46">
      <c r="AT11549"/>
    </row>
    <row r="11550" spans="46:46">
      <c r="AT11550"/>
    </row>
    <row r="11551" spans="46:46">
      <c r="AT11551"/>
    </row>
    <row r="11552" spans="46:46">
      <c r="AT11552"/>
    </row>
    <row r="11553" spans="46:46">
      <c r="AT11553"/>
    </row>
    <row r="11554" spans="46:46">
      <c r="AT11554"/>
    </row>
    <row r="11555" spans="46:46">
      <c r="AT11555"/>
    </row>
    <row r="11556" spans="46:46">
      <c r="AT11556"/>
    </row>
    <row r="11557" spans="46:46">
      <c r="AT11557"/>
    </row>
    <row r="11558" spans="46:46">
      <c r="AT11558"/>
    </row>
    <row r="11559" spans="46:46">
      <c r="AT11559"/>
    </row>
    <row r="11560" spans="46:46">
      <c r="AT11560"/>
    </row>
    <row r="11561" spans="46:46">
      <c r="AT11561"/>
    </row>
    <row r="11562" spans="46:46">
      <c r="AT11562"/>
    </row>
    <row r="11563" spans="46:46">
      <c r="AT11563"/>
    </row>
    <row r="11564" spans="46:46">
      <c r="AT11564"/>
    </row>
    <row r="11565" spans="46:46">
      <c r="AT11565"/>
    </row>
    <row r="11566" spans="46:46">
      <c r="AT11566"/>
    </row>
    <row r="11567" spans="46:46">
      <c r="AT11567"/>
    </row>
    <row r="11568" spans="46:46">
      <c r="AT11568"/>
    </row>
    <row r="11569" spans="46:46">
      <c r="AT11569"/>
    </row>
    <row r="11570" spans="46:46">
      <c r="AT11570"/>
    </row>
    <row r="11571" spans="46:46">
      <c r="AT11571"/>
    </row>
    <row r="11572" spans="46:46">
      <c r="AT11572"/>
    </row>
    <row r="11573" spans="46:46">
      <c r="AT11573"/>
    </row>
    <row r="11574" spans="46:46">
      <c r="AT11574"/>
    </row>
    <row r="11575" spans="46:46">
      <c r="AT11575"/>
    </row>
    <row r="11576" spans="46:46">
      <c r="AT11576"/>
    </row>
    <row r="11577" spans="46:46">
      <c r="AT11577"/>
    </row>
    <row r="11578" spans="46:46">
      <c r="AT11578"/>
    </row>
    <row r="11579" spans="46:46">
      <c r="AT11579"/>
    </row>
    <row r="11580" spans="46:46">
      <c r="AT11580"/>
    </row>
    <row r="11581" spans="46:46">
      <c r="AT11581"/>
    </row>
    <row r="11582" spans="46:46">
      <c r="AT11582"/>
    </row>
    <row r="11583" spans="46:46">
      <c r="AT11583"/>
    </row>
    <row r="11584" spans="46:46">
      <c r="AT11584"/>
    </row>
    <row r="11585" spans="46:46">
      <c r="AT11585"/>
    </row>
    <row r="11586" spans="46:46">
      <c r="AT11586"/>
    </row>
    <row r="11587" spans="46:46">
      <c r="AT11587"/>
    </row>
    <row r="11588" spans="46:46">
      <c r="AT11588"/>
    </row>
    <row r="11589" spans="46:46">
      <c r="AT11589"/>
    </row>
    <row r="11590" spans="46:46">
      <c r="AT11590"/>
    </row>
    <row r="11591" spans="46:46">
      <c r="AT11591"/>
    </row>
    <row r="11592" spans="46:46">
      <c r="AT11592"/>
    </row>
    <row r="11593" spans="46:46">
      <c r="AT11593"/>
    </row>
    <row r="11594" spans="46:46">
      <c r="AT11594"/>
    </row>
    <row r="11595" spans="46:46">
      <c r="AT11595"/>
    </row>
    <row r="11596" spans="46:46">
      <c r="AT11596"/>
    </row>
    <row r="11597" spans="46:46">
      <c r="AT11597"/>
    </row>
    <row r="11598" spans="46:46">
      <c r="AT11598"/>
    </row>
    <row r="11599" spans="46:46">
      <c r="AT11599"/>
    </row>
    <row r="11600" spans="46:46">
      <c r="AT11600"/>
    </row>
    <row r="11601" spans="46:46">
      <c r="AT11601"/>
    </row>
    <row r="11602" spans="46:46">
      <c r="AT11602"/>
    </row>
    <row r="11603" spans="46:46">
      <c r="AT11603"/>
    </row>
    <row r="11604" spans="46:46">
      <c r="AT11604"/>
    </row>
    <row r="11605" spans="46:46">
      <c r="AT11605"/>
    </row>
    <row r="11606" spans="46:46">
      <c r="AT11606"/>
    </row>
    <row r="11607" spans="46:46">
      <c r="AT11607"/>
    </row>
    <row r="11608" spans="46:46">
      <c r="AT11608"/>
    </row>
    <row r="11609" spans="46:46">
      <c r="AT11609"/>
    </row>
    <row r="11610" spans="46:46">
      <c r="AT11610"/>
    </row>
    <row r="11611" spans="46:46">
      <c r="AT11611"/>
    </row>
    <row r="11612" spans="46:46">
      <c r="AT11612"/>
    </row>
    <row r="11613" spans="46:46">
      <c r="AT11613"/>
    </row>
    <row r="11614" spans="46:46">
      <c r="AT11614"/>
    </row>
    <row r="11615" spans="46:46">
      <c r="AT11615"/>
    </row>
    <row r="11616" spans="46:46">
      <c r="AT11616"/>
    </row>
    <row r="11617" spans="46:46">
      <c r="AT11617"/>
    </row>
    <row r="11618" spans="46:46">
      <c r="AT11618"/>
    </row>
    <row r="11619" spans="46:46">
      <c r="AT11619"/>
    </row>
    <row r="11620" spans="46:46">
      <c r="AT11620"/>
    </row>
    <row r="11621" spans="46:46">
      <c r="AT11621"/>
    </row>
    <row r="11622" spans="46:46">
      <c r="AT11622"/>
    </row>
    <row r="11623" spans="46:46">
      <c r="AT11623"/>
    </row>
    <row r="11624" spans="46:46">
      <c r="AT11624"/>
    </row>
    <row r="11625" spans="46:46">
      <c r="AT11625"/>
    </row>
    <row r="11626" spans="46:46">
      <c r="AT11626"/>
    </row>
    <row r="11627" spans="46:46">
      <c r="AT11627"/>
    </row>
    <row r="11628" spans="46:46">
      <c r="AT11628"/>
    </row>
    <row r="11629" spans="46:46">
      <c r="AT11629"/>
    </row>
    <row r="11630" spans="46:46">
      <c r="AT11630"/>
    </row>
    <row r="11631" spans="46:46">
      <c r="AT11631"/>
    </row>
    <row r="11632" spans="46:46">
      <c r="AT11632"/>
    </row>
    <row r="11633" spans="46:46">
      <c r="AT11633"/>
    </row>
    <row r="11634" spans="46:46">
      <c r="AT11634"/>
    </row>
    <row r="11635" spans="46:46">
      <c r="AT11635"/>
    </row>
    <row r="11636" spans="46:46">
      <c r="AT11636"/>
    </row>
    <row r="11637" spans="46:46">
      <c r="AT11637"/>
    </row>
    <row r="11638" spans="46:46">
      <c r="AT11638"/>
    </row>
    <row r="11639" spans="46:46">
      <c r="AT11639"/>
    </row>
    <row r="11640" spans="46:46">
      <c r="AT11640"/>
    </row>
    <row r="11641" spans="46:46">
      <c r="AT11641"/>
    </row>
    <row r="11642" spans="46:46">
      <c r="AT11642"/>
    </row>
    <row r="11643" spans="46:46">
      <c r="AT11643"/>
    </row>
    <row r="11644" spans="46:46">
      <c r="AT11644"/>
    </row>
    <row r="11645" spans="46:46">
      <c r="AT11645"/>
    </row>
    <row r="11646" spans="46:46">
      <c r="AT11646"/>
    </row>
    <row r="11647" spans="46:46">
      <c r="AT11647"/>
    </row>
    <row r="11648" spans="46:46">
      <c r="AT11648"/>
    </row>
    <row r="11649" spans="46:46">
      <c r="AT11649"/>
    </row>
    <row r="11650" spans="46:46">
      <c r="AT11650"/>
    </row>
    <row r="11651" spans="46:46">
      <c r="AT11651"/>
    </row>
    <row r="11652" spans="46:46">
      <c r="AT11652"/>
    </row>
    <row r="11653" spans="46:46">
      <c r="AT11653"/>
    </row>
    <row r="11654" spans="46:46">
      <c r="AT11654"/>
    </row>
    <row r="11655" spans="46:46">
      <c r="AT11655"/>
    </row>
    <row r="11656" spans="46:46">
      <c r="AT11656"/>
    </row>
    <row r="11657" spans="46:46">
      <c r="AT11657"/>
    </row>
    <row r="11658" spans="46:46">
      <c r="AT11658"/>
    </row>
    <row r="11659" spans="46:46">
      <c r="AT11659"/>
    </row>
    <row r="11660" spans="46:46">
      <c r="AT11660"/>
    </row>
    <row r="11661" spans="46:46">
      <c r="AT11661"/>
    </row>
    <row r="11662" spans="46:46">
      <c r="AT11662"/>
    </row>
    <row r="11663" spans="46:46">
      <c r="AT11663"/>
    </row>
    <row r="11664" spans="46:46">
      <c r="AT11664"/>
    </row>
    <row r="11665" spans="46:46">
      <c r="AT11665"/>
    </row>
    <row r="11666" spans="46:46">
      <c r="AT11666"/>
    </row>
    <row r="11667" spans="46:46">
      <c r="AT11667"/>
    </row>
    <row r="11668" spans="46:46">
      <c r="AT11668"/>
    </row>
    <row r="11669" spans="46:46">
      <c r="AT11669"/>
    </row>
    <row r="11670" spans="46:46">
      <c r="AT11670"/>
    </row>
    <row r="11671" spans="46:46">
      <c r="AT11671"/>
    </row>
    <row r="11672" spans="46:46">
      <c r="AT11672"/>
    </row>
    <row r="11673" spans="46:46">
      <c r="AT11673"/>
    </row>
    <row r="11674" spans="46:46">
      <c r="AT11674"/>
    </row>
    <row r="11675" spans="46:46">
      <c r="AT11675"/>
    </row>
    <row r="11676" spans="46:46">
      <c r="AT11676"/>
    </row>
    <row r="11677" spans="46:46">
      <c r="AT11677"/>
    </row>
    <row r="11678" spans="46:46">
      <c r="AT11678"/>
    </row>
    <row r="11679" spans="46:46">
      <c r="AT11679"/>
    </row>
    <row r="11680" spans="46:46">
      <c r="AT11680"/>
    </row>
    <row r="11681" spans="46:46">
      <c r="AT11681"/>
    </row>
    <row r="11682" spans="46:46">
      <c r="AT11682"/>
    </row>
    <row r="11683" spans="46:46">
      <c r="AT11683"/>
    </row>
    <row r="11684" spans="46:46">
      <c r="AT11684"/>
    </row>
    <row r="11685" spans="46:46">
      <c r="AT11685"/>
    </row>
    <row r="11686" spans="46:46">
      <c r="AT11686"/>
    </row>
    <row r="11687" spans="46:46">
      <c r="AT11687"/>
    </row>
    <row r="11688" spans="46:46">
      <c r="AT11688"/>
    </row>
    <row r="11689" spans="46:46">
      <c r="AT11689"/>
    </row>
    <row r="11690" spans="46:46">
      <c r="AT11690"/>
    </row>
    <row r="11691" spans="46:46">
      <c r="AT11691"/>
    </row>
    <row r="11692" spans="46:46">
      <c r="AT11692"/>
    </row>
    <row r="11693" spans="46:46">
      <c r="AT11693"/>
    </row>
    <row r="11694" spans="46:46">
      <c r="AT11694"/>
    </row>
    <row r="11695" spans="46:46">
      <c r="AT11695"/>
    </row>
    <row r="11696" spans="46:46">
      <c r="AT11696"/>
    </row>
    <row r="11697" spans="46:46">
      <c r="AT11697"/>
    </row>
    <row r="11698" spans="46:46">
      <c r="AT11698"/>
    </row>
    <row r="11699" spans="46:46">
      <c r="AT11699"/>
    </row>
    <row r="11700" spans="46:46">
      <c r="AT11700"/>
    </row>
    <row r="11701" spans="46:46">
      <c r="AT11701"/>
    </row>
    <row r="11702" spans="46:46">
      <c r="AT11702"/>
    </row>
    <row r="11703" spans="46:46">
      <c r="AT11703"/>
    </row>
    <row r="11704" spans="46:46">
      <c r="AT11704"/>
    </row>
    <row r="11705" spans="46:46">
      <c r="AT11705"/>
    </row>
    <row r="11706" spans="46:46">
      <c r="AT11706"/>
    </row>
    <row r="11707" spans="46:46">
      <c r="AT11707"/>
    </row>
    <row r="11708" spans="46:46">
      <c r="AT11708"/>
    </row>
    <row r="11709" spans="46:46">
      <c r="AT11709"/>
    </row>
    <row r="11710" spans="46:46">
      <c r="AT11710"/>
    </row>
    <row r="11711" spans="46:46">
      <c r="AT11711"/>
    </row>
    <row r="11712" spans="46:46">
      <c r="AT11712"/>
    </row>
    <row r="11713" spans="46:46">
      <c r="AT11713"/>
    </row>
    <row r="11714" spans="46:46">
      <c r="AT11714"/>
    </row>
    <row r="11715" spans="46:46">
      <c r="AT11715"/>
    </row>
    <row r="11716" spans="46:46">
      <c r="AT11716"/>
    </row>
    <row r="11717" spans="46:46">
      <c r="AT11717"/>
    </row>
    <row r="11718" spans="46:46">
      <c r="AT11718"/>
    </row>
    <row r="11719" spans="46:46">
      <c r="AT11719"/>
    </row>
    <row r="11720" spans="46:46">
      <c r="AT11720"/>
    </row>
    <row r="11721" spans="46:46">
      <c r="AT11721"/>
    </row>
    <row r="11722" spans="46:46">
      <c r="AT11722"/>
    </row>
    <row r="11723" spans="46:46">
      <c r="AT11723"/>
    </row>
    <row r="11724" spans="46:46">
      <c r="AT11724"/>
    </row>
    <row r="11725" spans="46:46">
      <c r="AT11725"/>
    </row>
    <row r="11726" spans="46:46">
      <c r="AT11726"/>
    </row>
    <row r="11727" spans="46:46">
      <c r="AT11727"/>
    </row>
    <row r="11728" spans="46:46">
      <c r="AT11728"/>
    </row>
    <row r="11729" spans="46:46">
      <c r="AT11729"/>
    </row>
    <row r="11730" spans="46:46">
      <c r="AT11730"/>
    </row>
    <row r="11731" spans="46:46">
      <c r="AT11731"/>
    </row>
    <row r="11732" spans="46:46">
      <c r="AT11732"/>
    </row>
    <row r="11733" spans="46:46">
      <c r="AT11733"/>
    </row>
    <row r="11734" spans="46:46">
      <c r="AT11734"/>
    </row>
    <row r="11735" spans="46:46">
      <c r="AT11735"/>
    </row>
    <row r="11736" spans="46:46">
      <c r="AT11736"/>
    </row>
    <row r="11737" spans="46:46">
      <c r="AT11737"/>
    </row>
    <row r="11738" spans="46:46">
      <c r="AT11738"/>
    </row>
    <row r="11739" spans="46:46">
      <c r="AT11739"/>
    </row>
    <row r="11740" spans="46:46">
      <c r="AT11740"/>
    </row>
    <row r="11741" spans="46:46">
      <c r="AT11741"/>
    </row>
    <row r="11742" spans="46:46">
      <c r="AT11742"/>
    </row>
    <row r="11743" spans="46:46">
      <c r="AT11743"/>
    </row>
    <row r="11744" spans="46:46">
      <c r="AT11744"/>
    </row>
    <row r="11745" spans="46:46">
      <c r="AT11745"/>
    </row>
    <row r="11746" spans="46:46">
      <c r="AT11746"/>
    </row>
    <row r="11747" spans="46:46">
      <c r="AT11747"/>
    </row>
    <row r="11748" spans="46:46">
      <c r="AT11748"/>
    </row>
    <row r="11749" spans="46:46">
      <c r="AT11749"/>
    </row>
    <row r="11750" spans="46:46">
      <c r="AT11750"/>
    </row>
    <row r="11751" spans="46:46">
      <c r="AT11751"/>
    </row>
    <row r="11752" spans="46:46">
      <c r="AT11752"/>
    </row>
    <row r="11753" spans="46:46">
      <c r="AT11753"/>
    </row>
    <row r="11754" spans="46:46">
      <c r="AT11754"/>
    </row>
    <row r="11755" spans="46:46">
      <c r="AT11755"/>
    </row>
    <row r="11756" spans="46:46">
      <c r="AT11756"/>
    </row>
    <row r="11757" spans="46:46">
      <c r="AT11757"/>
    </row>
    <row r="11758" spans="46:46">
      <c r="AT11758"/>
    </row>
    <row r="11759" spans="46:46">
      <c r="AT11759"/>
    </row>
    <row r="11760" spans="46:46">
      <c r="AT11760"/>
    </row>
    <row r="11761" spans="46:46">
      <c r="AT11761"/>
    </row>
    <row r="11762" spans="46:46">
      <c r="AT11762"/>
    </row>
    <row r="11763" spans="46:46">
      <c r="AT11763"/>
    </row>
    <row r="11764" spans="46:46">
      <c r="AT11764"/>
    </row>
    <row r="11765" spans="46:46">
      <c r="AT11765"/>
    </row>
    <row r="11766" spans="46:46">
      <c r="AT11766"/>
    </row>
    <row r="11767" spans="46:46">
      <c r="AT11767"/>
    </row>
    <row r="11768" spans="46:46">
      <c r="AT11768"/>
    </row>
    <row r="11769" spans="46:46">
      <c r="AT11769"/>
    </row>
    <row r="11770" spans="46:46">
      <c r="AT11770"/>
    </row>
    <row r="11771" spans="46:46">
      <c r="AT11771"/>
    </row>
    <row r="11772" spans="46:46">
      <c r="AT11772"/>
    </row>
    <row r="11773" spans="46:46">
      <c r="AT11773"/>
    </row>
    <row r="11774" spans="46:46">
      <c r="AT11774"/>
    </row>
    <row r="11775" spans="46:46">
      <c r="AT11775"/>
    </row>
    <row r="11776" spans="46:46">
      <c r="AT11776"/>
    </row>
    <row r="11777" spans="46:46">
      <c r="AT11777"/>
    </row>
    <row r="11778" spans="46:46">
      <c r="AT11778"/>
    </row>
    <row r="11779" spans="46:46">
      <c r="AT11779"/>
    </row>
    <row r="11780" spans="46:46">
      <c r="AT11780"/>
    </row>
    <row r="11781" spans="46:46">
      <c r="AT11781"/>
    </row>
    <row r="11782" spans="46:46">
      <c r="AT11782"/>
    </row>
    <row r="11783" spans="46:46">
      <c r="AT11783"/>
    </row>
    <row r="11784" spans="46:46">
      <c r="AT11784"/>
    </row>
    <row r="11785" spans="46:46">
      <c r="AT11785"/>
    </row>
    <row r="11786" spans="46:46">
      <c r="AT11786"/>
    </row>
    <row r="11787" spans="46:46">
      <c r="AT11787"/>
    </row>
    <row r="11788" spans="46:46">
      <c r="AT11788"/>
    </row>
    <row r="11789" spans="46:46">
      <c r="AT11789"/>
    </row>
    <row r="11790" spans="46:46">
      <c r="AT11790"/>
    </row>
    <row r="11791" spans="46:46">
      <c r="AT11791"/>
    </row>
    <row r="11792" spans="46:46">
      <c r="AT11792"/>
    </row>
    <row r="11793" spans="46:46">
      <c r="AT11793"/>
    </row>
    <row r="11794" spans="46:46">
      <c r="AT11794"/>
    </row>
    <row r="11795" spans="46:46">
      <c r="AT11795"/>
    </row>
    <row r="11796" spans="46:46">
      <c r="AT11796"/>
    </row>
    <row r="11797" spans="46:46">
      <c r="AT11797"/>
    </row>
    <row r="11798" spans="46:46">
      <c r="AT11798"/>
    </row>
    <row r="11799" spans="46:46">
      <c r="AT11799"/>
    </row>
    <row r="11800" spans="46:46">
      <c r="AT11800"/>
    </row>
    <row r="11801" spans="46:46">
      <c r="AT11801"/>
    </row>
    <row r="11802" spans="46:46">
      <c r="AT11802"/>
    </row>
    <row r="11803" spans="46:46">
      <c r="AT11803"/>
    </row>
    <row r="11804" spans="46:46">
      <c r="AT11804"/>
    </row>
    <row r="11805" spans="46:46">
      <c r="AT11805"/>
    </row>
    <row r="11806" spans="46:46">
      <c r="AT11806"/>
    </row>
    <row r="11807" spans="46:46">
      <c r="AT11807"/>
    </row>
    <row r="11808" spans="46:46">
      <c r="AT11808"/>
    </row>
    <row r="11809" spans="46:46">
      <c r="AT11809"/>
    </row>
    <row r="11810" spans="46:46">
      <c r="AT11810"/>
    </row>
    <row r="11811" spans="46:46">
      <c r="AT11811"/>
    </row>
    <row r="11812" spans="46:46">
      <c r="AT11812"/>
    </row>
    <row r="11813" spans="46:46">
      <c r="AT11813"/>
    </row>
    <row r="11814" spans="46:46">
      <c r="AT11814"/>
    </row>
    <row r="11815" spans="46:46">
      <c r="AT11815"/>
    </row>
    <row r="11816" spans="46:46">
      <c r="AT11816"/>
    </row>
    <row r="11817" spans="46:46">
      <c r="AT11817"/>
    </row>
    <row r="11818" spans="46:46">
      <c r="AT11818"/>
    </row>
    <row r="11819" spans="46:46">
      <c r="AT11819"/>
    </row>
    <row r="11820" spans="46:46">
      <c r="AT11820"/>
    </row>
    <row r="11821" spans="46:46">
      <c r="AT11821"/>
    </row>
    <row r="11822" spans="46:46">
      <c r="AT11822"/>
    </row>
    <row r="11823" spans="46:46">
      <c r="AT11823"/>
    </row>
    <row r="11824" spans="46:46">
      <c r="AT11824"/>
    </row>
    <row r="11825" spans="46:46">
      <c r="AT11825"/>
    </row>
    <row r="11826" spans="46:46">
      <c r="AT11826"/>
    </row>
    <row r="11827" spans="46:46">
      <c r="AT11827"/>
    </row>
    <row r="11828" spans="46:46">
      <c r="AT11828"/>
    </row>
    <row r="11829" spans="46:46">
      <c r="AT11829"/>
    </row>
    <row r="11830" spans="46:46">
      <c r="AT11830"/>
    </row>
    <row r="11831" spans="46:46">
      <c r="AT11831"/>
    </row>
    <row r="11832" spans="46:46">
      <c r="AT11832"/>
    </row>
    <row r="11833" spans="46:46">
      <c r="AT11833"/>
    </row>
    <row r="11834" spans="46:46">
      <c r="AT11834"/>
    </row>
    <row r="11835" spans="46:46">
      <c r="AT11835"/>
    </row>
    <row r="11836" spans="46:46">
      <c r="AT11836"/>
    </row>
    <row r="11837" spans="46:46">
      <c r="AT11837"/>
    </row>
    <row r="11838" spans="46:46">
      <c r="AT11838"/>
    </row>
    <row r="11839" spans="46:46">
      <c r="AT11839"/>
    </row>
    <row r="11840" spans="46:46">
      <c r="AT11840"/>
    </row>
    <row r="11841" spans="46:46">
      <c r="AT11841"/>
    </row>
    <row r="11842" spans="46:46">
      <c r="AT11842"/>
    </row>
    <row r="11843" spans="46:46">
      <c r="AT11843"/>
    </row>
    <row r="11844" spans="46:46">
      <c r="AT11844"/>
    </row>
    <row r="11845" spans="46:46">
      <c r="AT11845"/>
    </row>
    <row r="11846" spans="46:46">
      <c r="AT11846"/>
    </row>
    <row r="11847" spans="46:46">
      <c r="AT11847"/>
    </row>
    <row r="11848" spans="46:46">
      <c r="AT11848"/>
    </row>
    <row r="11849" spans="46:46">
      <c r="AT11849"/>
    </row>
    <row r="11850" spans="46:46">
      <c r="AT11850"/>
    </row>
    <row r="11851" spans="46:46">
      <c r="AT11851"/>
    </row>
    <row r="11852" spans="46:46">
      <c r="AT11852"/>
    </row>
    <row r="11853" spans="46:46">
      <c r="AT11853"/>
    </row>
    <row r="11854" spans="46:46">
      <c r="AT11854"/>
    </row>
    <row r="11855" spans="46:46">
      <c r="AT11855"/>
    </row>
    <row r="11856" spans="46:46">
      <c r="AT11856"/>
    </row>
    <row r="11857" spans="46:46">
      <c r="AT11857"/>
    </row>
    <row r="11858" spans="46:46">
      <c r="AT11858"/>
    </row>
    <row r="11859" spans="46:46">
      <c r="AT11859"/>
    </row>
    <row r="11860" spans="46:46">
      <c r="AT11860"/>
    </row>
    <row r="11861" spans="46:46">
      <c r="AT11861"/>
    </row>
    <row r="11862" spans="46:46">
      <c r="AT11862"/>
    </row>
    <row r="11863" spans="46:46">
      <c r="AT11863"/>
    </row>
    <row r="11864" spans="46:46">
      <c r="AT11864"/>
    </row>
    <row r="11865" spans="46:46">
      <c r="AT11865"/>
    </row>
    <row r="11866" spans="46:46">
      <c r="AT11866"/>
    </row>
    <row r="11867" spans="46:46">
      <c r="AT11867"/>
    </row>
    <row r="11868" spans="46:46">
      <c r="AT11868"/>
    </row>
    <row r="11869" spans="46:46">
      <c r="AT11869"/>
    </row>
    <row r="11870" spans="46:46">
      <c r="AT11870"/>
    </row>
    <row r="11871" spans="46:46">
      <c r="AT11871"/>
    </row>
    <row r="11872" spans="46:46">
      <c r="AT11872"/>
    </row>
    <row r="11873" spans="46:46">
      <c r="AT11873"/>
    </row>
    <row r="11874" spans="46:46">
      <c r="AT11874"/>
    </row>
    <row r="11875" spans="46:46">
      <c r="AT11875"/>
    </row>
    <row r="11876" spans="46:46">
      <c r="AT11876"/>
    </row>
    <row r="11877" spans="46:46">
      <c r="AT11877"/>
    </row>
    <row r="11878" spans="46:46">
      <c r="AT11878"/>
    </row>
    <row r="11879" spans="46:46">
      <c r="AT11879"/>
    </row>
    <row r="11880" spans="46:46">
      <c r="AT11880"/>
    </row>
    <row r="11881" spans="46:46">
      <c r="AT11881"/>
    </row>
    <row r="11882" spans="46:46">
      <c r="AT11882"/>
    </row>
    <row r="11883" spans="46:46">
      <c r="AT11883"/>
    </row>
    <row r="11884" spans="46:46">
      <c r="AT11884"/>
    </row>
    <row r="11885" spans="46:46">
      <c r="AT11885"/>
    </row>
    <row r="11886" spans="46:46">
      <c r="AT11886"/>
    </row>
    <row r="11887" spans="46:46">
      <c r="AT11887"/>
    </row>
    <row r="11888" spans="46:46">
      <c r="AT11888"/>
    </row>
    <row r="11889" spans="46:46">
      <c r="AT11889"/>
    </row>
    <row r="11890" spans="46:46">
      <c r="AT11890"/>
    </row>
    <row r="11891" spans="46:46">
      <c r="AT11891"/>
    </row>
    <row r="11892" spans="46:46">
      <c r="AT11892"/>
    </row>
    <row r="11893" spans="46:46">
      <c r="AT11893"/>
    </row>
    <row r="11894" spans="46:46">
      <c r="AT11894"/>
    </row>
    <row r="11895" spans="46:46">
      <c r="AT11895"/>
    </row>
    <row r="11896" spans="46:46">
      <c r="AT11896"/>
    </row>
    <row r="11897" spans="46:46">
      <c r="AT11897"/>
    </row>
    <row r="11898" spans="46:46">
      <c r="AT11898"/>
    </row>
    <row r="11899" spans="46:46">
      <c r="AT11899"/>
    </row>
    <row r="11900" spans="46:46">
      <c r="AT11900"/>
    </row>
    <row r="11901" spans="46:46">
      <c r="AT11901"/>
    </row>
    <row r="11902" spans="46:46">
      <c r="AT11902"/>
    </row>
    <row r="11903" spans="46:46">
      <c r="AT11903"/>
    </row>
    <row r="11904" spans="46:46">
      <c r="AT11904"/>
    </row>
    <row r="11905" spans="46:46">
      <c r="AT11905"/>
    </row>
    <row r="11906" spans="46:46">
      <c r="AT11906"/>
    </row>
    <row r="11907" spans="46:46">
      <c r="AT11907"/>
    </row>
    <row r="11908" spans="46:46">
      <c r="AT11908"/>
    </row>
    <row r="11909" spans="46:46">
      <c r="AT11909"/>
    </row>
    <row r="11910" spans="46:46">
      <c r="AT11910"/>
    </row>
    <row r="11911" spans="46:46">
      <c r="AT11911"/>
    </row>
    <row r="11912" spans="46:46">
      <c r="AT11912"/>
    </row>
    <row r="11913" spans="46:46">
      <c r="AT11913"/>
    </row>
    <row r="11914" spans="46:46">
      <c r="AT11914"/>
    </row>
    <row r="11915" spans="46:46">
      <c r="AT11915"/>
    </row>
    <row r="11916" spans="46:46">
      <c r="AT11916"/>
    </row>
    <row r="11917" spans="46:46">
      <c r="AT11917"/>
    </row>
    <row r="11918" spans="46:46">
      <c r="AT11918"/>
    </row>
    <row r="11919" spans="46:46">
      <c r="AT11919"/>
    </row>
    <row r="11920" spans="46:46">
      <c r="AT11920"/>
    </row>
    <row r="11921" spans="46:46">
      <c r="AT11921"/>
    </row>
    <row r="11922" spans="46:46">
      <c r="AT11922"/>
    </row>
    <row r="11923" spans="46:46">
      <c r="AT11923"/>
    </row>
    <row r="11924" spans="46:46">
      <c r="AT11924"/>
    </row>
    <row r="11925" spans="46:46">
      <c r="AT11925"/>
    </row>
    <row r="11926" spans="46:46">
      <c r="AT11926"/>
    </row>
    <row r="11927" spans="46:46">
      <c r="AT11927"/>
    </row>
    <row r="11928" spans="46:46">
      <c r="AT11928"/>
    </row>
    <row r="11929" spans="46:46">
      <c r="AT11929"/>
    </row>
    <row r="11930" spans="46:46">
      <c r="AT11930"/>
    </row>
    <row r="11931" spans="46:46">
      <c r="AT11931"/>
    </row>
    <row r="11932" spans="46:46">
      <c r="AT11932"/>
    </row>
    <row r="11933" spans="46:46">
      <c r="AT11933"/>
    </row>
    <row r="11934" spans="46:46">
      <c r="AT11934"/>
    </row>
    <row r="11935" spans="46:46">
      <c r="AT11935"/>
    </row>
    <row r="11936" spans="46:46">
      <c r="AT11936"/>
    </row>
    <row r="11937" spans="46:46">
      <c r="AT11937"/>
    </row>
    <row r="11938" spans="46:46">
      <c r="AT11938"/>
    </row>
    <row r="11939" spans="46:46">
      <c r="AT11939"/>
    </row>
    <row r="11940" spans="46:46">
      <c r="AT11940"/>
    </row>
    <row r="11941" spans="46:46">
      <c r="AT11941"/>
    </row>
    <row r="11942" spans="46:46">
      <c r="AT11942"/>
    </row>
    <row r="11943" spans="46:46">
      <c r="AT11943"/>
    </row>
    <row r="11944" spans="46:46">
      <c r="AT11944"/>
    </row>
    <row r="11945" spans="46:46">
      <c r="AT11945"/>
    </row>
    <row r="11946" spans="46:46">
      <c r="AT11946"/>
    </row>
    <row r="11947" spans="46:46">
      <c r="AT11947"/>
    </row>
    <row r="11948" spans="46:46">
      <c r="AT11948"/>
    </row>
    <row r="11949" spans="46:46">
      <c r="AT11949"/>
    </row>
    <row r="11950" spans="46:46">
      <c r="AT11950"/>
    </row>
    <row r="11951" spans="46:46">
      <c r="AT11951"/>
    </row>
    <row r="11952" spans="46:46">
      <c r="AT11952"/>
    </row>
    <row r="11953" spans="46:46">
      <c r="AT11953"/>
    </row>
    <row r="11954" spans="46:46">
      <c r="AT11954"/>
    </row>
    <row r="11955" spans="46:46">
      <c r="AT11955"/>
    </row>
    <row r="11956" spans="46:46">
      <c r="AT11956"/>
    </row>
    <row r="11957" spans="46:46">
      <c r="AT11957"/>
    </row>
    <row r="11958" spans="46:46">
      <c r="AT11958"/>
    </row>
    <row r="11959" spans="46:46">
      <c r="AT11959"/>
    </row>
    <row r="11960" spans="46:46">
      <c r="AT11960"/>
    </row>
    <row r="11961" spans="46:46">
      <c r="AT11961"/>
    </row>
    <row r="11962" spans="46:46">
      <c r="AT11962"/>
    </row>
    <row r="11963" spans="46:46">
      <c r="AT11963"/>
    </row>
    <row r="11964" spans="46:46">
      <c r="AT11964"/>
    </row>
    <row r="11965" spans="46:46">
      <c r="AT11965"/>
    </row>
    <row r="11966" spans="46:46">
      <c r="AT11966"/>
    </row>
    <row r="11967" spans="46:46">
      <c r="AT11967"/>
    </row>
    <row r="11968" spans="46:46">
      <c r="AT11968"/>
    </row>
    <row r="11969" spans="46:46">
      <c r="AT11969"/>
    </row>
    <row r="11970" spans="46:46">
      <c r="AT11970"/>
    </row>
    <row r="11971" spans="46:46">
      <c r="AT11971"/>
    </row>
    <row r="11972" spans="46:46">
      <c r="AT11972"/>
    </row>
    <row r="11973" spans="46:46">
      <c r="AT11973"/>
    </row>
    <row r="11974" spans="46:46">
      <c r="AT11974"/>
    </row>
    <row r="11975" spans="46:46">
      <c r="AT11975"/>
    </row>
    <row r="11976" spans="46:46">
      <c r="AT11976"/>
    </row>
    <row r="11977" spans="46:46">
      <c r="AT11977"/>
    </row>
    <row r="11978" spans="46:46">
      <c r="AT11978"/>
    </row>
    <row r="11979" spans="46:46">
      <c r="AT11979"/>
    </row>
    <row r="11980" spans="46:46">
      <c r="AT11980"/>
    </row>
    <row r="11981" spans="46:46">
      <c r="AT11981"/>
    </row>
    <row r="11982" spans="46:46">
      <c r="AT11982"/>
    </row>
    <row r="11983" spans="46:46">
      <c r="AT11983"/>
    </row>
    <row r="11984" spans="46:46">
      <c r="AT11984"/>
    </row>
    <row r="11985" spans="46:46">
      <c r="AT11985"/>
    </row>
    <row r="11986" spans="46:46">
      <c r="AT11986"/>
    </row>
    <row r="11987" spans="46:46">
      <c r="AT11987"/>
    </row>
    <row r="11988" spans="46:46">
      <c r="AT11988"/>
    </row>
    <row r="11989" spans="46:46">
      <c r="AT11989"/>
    </row>
    <row r="11990" spans="46:46">
      <c r="AT11990"/>
    </row>
    <row r="11991" spans="46:46">
      <c r="AT11991"/>
    </row>
    <row r="11992" spans="46:46">
      <c r="AT11992"/>
    </row>
    <row r="11993" spans="46:46">
      <c r="AT11993"/>
    </row>
    <row r="11994" spans="46:46">
      <c r="AT11994"/>
    </row>
    <row r="11995" spans="46:46">
      <c r="AT11995"/>
    </row>
    <row r="11996" spans="46:46">
      <c r="AT11996"/>
    </row>
    <row r="11997" spans="46:46">
      <c r="AT11997"/>
    </row>
    <row r="11998" spans="46:46">
      <c r="AT11998"/>
    </row>
    <row r="11999" spans="46:46">
      <c r="AT11999"/>
    </row>
    <row r="12000" spans="46:46">
      <c r="AT12000"/>
    </row>
    <row r="12001" spans="46:46">
      <c r="AT12001"/>
    </row>
    <row r="12002" spans="46:46">
      <c r="AT12002"/>
    </row>
    <row r="12003" spans="46:46">
      <c r="AT12003"/>
    </row>
    <row r="12004" spans="46:46">
      <c r="AT12004"/>
    </row>
    <row r="12005" spans="46:46">
      <c r="AT12005"/>
    </row>
    <row r="12006" spans="46:46">
      <c r="AT12006"/>
    </row>
    <row r="12007" spans="46:46">
      <c r="AT12007"/>
    </row>
    <row r="12008" spans="46:46">
      <c r="AT12008"/>
    </row>
    <row r="12009" spans="46:46">
      <c r="AT12009"/>
    </row>
    <row r="12010" spans="46:46">
      <c r="AT12010"/>
    </row>
    <row r="12011" spans="46:46">
      <c r="AT12011"/>
    </row>
    <row r="12012" spans="46:46">
      <c r="AT12012"/>
    </row>
    <row r="12013" spans="46:46">
      <c r="AT12013"/>
    </row>
    <row r="12014" spans="46:46">
      <c r="AT12014"/>
    </row>
    <row r="12015" spans="46:46">
      <c r="AT12015"/>
    </row>
    <row r="12016" spans="46:46">
      <c r="AT12016"/>
    </row>
    <row r="12017" spans="46:46">
      <c r="AT12017"/>
    </row>
    <row r="12018" spans="46:46">
      <c r="AT12018"/>
    </row>
    <row r="12019" spans="46:46">
      <c r="AT12019"/>
    </row>
    <row r="12020" spans="46:46">
      <c r="AT12020"/>
    </row>
    <row r="12021" spans="46:46">
      <c r="AT12021"/>
    </row>
    <row r="12022" spans="46:46">
      <c r="AT12022"/>
    </row>
    <row r="12023" spans="46:46">
      <c r="AT12023"/>
    </row>
    <row r="12024" spans="46:46">
      <c r="AT12024"/>
    </row>
    <row r="12025" spans="46:46">
      <c r="AT12025"/>
    </row>
    <row r="12026" spans="46:46">
      <c r="AT12026"/>
    </row>
    <row r="12027" spans="46:46">
      <c r="AT12027"/>
    </row>
    <row r="12028" spans="46:46">
      <c r="AT12028"/>
    </row>
    <row r="12029" spans="46:46">
      <c r="AT12029"/>
    </row>
    <row r="12030" spans="46:46">
      <c r="AT12030"/>
    </row>
    <row r="12031" spans="46:46">
      <c r="AT12031"/>
    </row>
    <row r="12032" spans="46:46">
      <c r="AT12032"/>
    </row>
    <row r="12033" spans="46:46">
      <c r="AT12033"/>
    </row>
    <row r="12034" spans="46:46">
      <c r="AT12034"/>
    </row>
    <row r="12035" spans="46:46">
      <c r="AT12035"/>
    </row>
    <row r="12036" spans="46:46">
      <c r="AT12036"/>
    </row>
    <row r="12037" spans="46:46">
      <c r="AT12037"/>
    </row>
    <row r="12038" spans="46:46">
      <c r="AT12038"/>
    </row>
    <row r="12039" spans="46:46">
      <c r="AT12039"/>
    </row>
    <row r="12040" spans="46:46">
      <c r="AT12040"/>
    </row>
    <row r="12041" spans="46:46">
      <c r="AT12041"/>
    </row>
    <row r="12042" spans="46:46">
      <c r="AT12042"/>
    </row>
    <row r="12043" spans="46:46">
      <c r="AT12043"/>
    </row>
    <row r="12044" spans="46:46">
      <c r="AT12044"/>
    </row>
    <row r="12045" spans="46:46">
      <c r="AT12045"/>
    </row>
    <row r="12046" spans="46:46">
      <c r="AT12046"/>
    </row>
    <row r="12047" spans="46:46">
      <c r="AT12047"/>
    </row>
    <row r="12048" spans="46:46">
      <c r="AT12048"/>
    </row>
    <row r="12049" spans="46:46">
      <c r="AT12049"/>
    </row>
    <row r="12050" spans="46:46">
      <c r="AT12050"/>
    </row>
    <row r="12051" spans="46:46">
      <c r="AT12051"/>
    </row>
    <row r="12052" spans="46:46">
      <c r="AT12052"/>
    </row>
    <row r="12053" spans="46:46">
      <c r="AT12053"/>
    </row>
    <row r="12054" spans="46:46">
      <c r="AT12054"/>
    </row>
    <row r="12055" spans="46:46">
      <c r="AT12055"/>
    </row>
    <row r="12056" spans="46:46">
      <c r="AT12056"/>
    </row>
    <row r="12057" spans="46:46">
      <c r="AT12057"/>
    </row>
    <row r="12058" spans="46:46">
      <c r="AT12058"/>
    </row>
    <row r="12059" spans="46:46">
      <c r="AT12059"/>
    </row>
    <row r="12060" spans="46:46">
      <c r="AT12060"/>
    </row>
    <row r="12061" spans="46:46">
      <c r="AT12061"/>
    </row>
    <row r="12062" spans="46:46">
      <c r="AT12062"/>
    </row>
    <row r="12063" spans="46:46">
      <c r="AT12063"/>
    </row>
    <row r="12064" spans="46:46">
      <c r="AT12064"/>
    </row>
    <row r="12065" spans="46:46">
      <c r="AT12065"/>
    </row>
    <row r="12066" spans="46:46">
      <c r="AT12066"/>
    </row>
    <row r="12067" spans="46:46">
      <c r="AT12067"/>
    </row>
    <row r="12068" spans="46:46">
      <c r="AT12068"/>
    </row>
    <row r="12069" spans="46:46">
      <c r="AT12069"/>
    </row>
    <row r="12070" spans="46:46">
      <c r="AT12070"/>
    </row>
    <row r="12071" spans="46:46">
      <c r="AT12071"/>
    </row>
    <row r="12072" spans="46:46">
      <c r="AT12072"/>
    </row>
    <row r="12073" spans="46:46">
      <c r="AT12073"/>
    </row>
    <row r="12074" spans="46:46">
      <c r="AT12074"/>
    </row>
    <row r="12075" spans="46:46">
      <c r="AT12075"/>
    </row>
    <row r="12076" spans="46:46">
      <c r="AT12076"/>
    </row>
    <row r="12077" spans="46:46">
      <c r="AT12077"/>
    </row>
    <row r="12078" spans="46:46">
      <c r="AT12078"/>
    </row>
    <row r="12079" spans="46:46">
      <c r="AT12079"/>
    </row>
    <row r="12080" spans="46:46">
      <c r="AT12080"/>
    </row>
    <row r="12081" spans="46:46">
      <c r="AT12081"/>
    </row>
    <row r="12082" spans="46:46">
      <c r="AT12082"/>
    </row>
    <row r="12083" spans="46:46">
      <c r="AT12083"/>
    </row>
    <row r="12084" spans="46:46">
      <c r="AT12084"/>
    </row>
    <row r="12085" spans="46:46">
      <c r="AT12085"/>
    </row>
    <row r="12086" spans="46:46">
      <c r="AT12086"/>
    </row>
    <row r="12087" spans="46:46">
      <c r="AT12087"/>
    </row>
    <row r="12088" spans="46:46">
      <c r="AT12088"/>
    </row>
    <row r="12089" spans="46:46">
      <c r="AT12089"/>
    </row>
    <row r="12090" spans="46:46">
      <c r="AT12090"/>
    </row>
    <row r="12091" spans="46:46">
      <c r="AT12091"/>
    </row>
    <row r="12092" spans="46:46">
      <c r="AT12092"/>
    </row>
    <row r="12093" spans="46:46">
      <c r="AT12093"/>
    </row>
    <row r="12094" spans="46:46">
      <c r="AT12094"/>
    </row>
    <row r="12095" spans="46:46">
      <c r="AT12095"/>
    </row>
    <row r="12096" spans="46:46">
      <c r="AT12096"/>
    </row>
    <row r="12097" spans="46:46">
      <c r="AT12097"/>
    </row>
    <row r="12098" spans="46:46">
      <c r="AT12098"/>
    </row>
    <row r="12099" spans="46:46">
      <c r="AT12099"/>
    </row>
    <row r="12100" spans="46:46">
      <c r="AT12100"/>
    </row>
    <row r="12101" spans="46:46">
      <c r="AT12101"/>
    </row>
    <row r="12102" spans="46:46">
      <c r="AT12102"/>
    </row>
    <row r="12103" spans="46:46">
      <c r="AT12103"/>
    </row>
    <row r="12104" spans="46:46">
      <c r="AT12104"/>
    </row>
    <row r="12105" spans="46:46">
      <c r="AT12105"/>
    </row>
    <row r="12106" spans="46:46">
      <c r="AT12106"/>
    </row>
    <row r="12107" spans="46:46">
      <c r="AT12107"/>
    </row>
    <row r="12108" spans="46:46">
      <c r="AT12108"/>
    </row>
    <row r="12109" spans="46:46">
      <c r="AT12109"/>
    </row>
    <row r="12110" spans="46:46">
      <c r="AT12110"/>
    </row>
    <row r="12111" spans="46:46">
      <c r="AT12111"/>
    </row>
    <row r="12112" spans="46:46">
      <c r="AT12112"/>
    </row>
    <row r="12113" spans="46:46">
      <c r="AT12113"/>
    </row>
    <row r="12114" spans="46:46">
      <c r="AT12114"/>
    </row>
    <row r="12115" spans="46:46">
      <c r="AT12115"/>
    </row>
    <row r="12116" spans="46:46">
      <c r="AT12116"/>
    </row>
    <row r="12117" spans="46:46">
      <c r="AT12117"/>
    </row>
    <row r="12118" spans="46:46">
      <c r="AT12118"/>
    </row>
    <row r="12119" spans="46:46">
      <c r="AT12119"/>
    </row>
    <row r="12120" spans="46:46">
      <c r="AT12120"/>
    </row>
    <row r="12121" spans="46:46">
      <c r="AT12121"/>
    </row>
    <row r="12122" spans="46:46">
      <c r="AT12122"/>
    </row>
    <row r="12123" spans="46:46">
      <c r="AT12123"/>
    </row>
    <row r="12124" spans="46:46">
      <c r="AT12124"/>
    </row>
    <row r="12125" spans="46:46">
      <c r="AT12125"/>
    </row>
    <row r="12126" spans="46:46">
      <c r="AT12126"/>
    </row>
    <row r="12127" spans="46:46">
      <c r="AT12127"/>
    </row>
    <row r="12128" spans="46:46">
      <c r="AT12128"/>
    </row>
    <row r="12129" spans="46:46">
      <c r="AT12129"/>
    </row>
    <row r="12130" spans="46:46">
      <c r="AT12130"/>
    </row>
    <row r="12131" spans="46:46">
      <c r="AT12131"/>
    </row>
    <row r="12132" spans="46:46">
      <c r="AT12132"/>
    </row>
    <row r="12133" spans="46:46">
      <c r="AT12133"/>
    </row>
    <row r="12134" spans="46:46">
      <c r="AT12134"/>
    </row>
    <row r="12135" spans="46:46">
      <c r="AT12135"/>
    </row>
    <row r="12136" spans="46:46">
      <c r="AT12136"/>
    </row>
    <row r="12137" spans="46:46">
      <c r="AT12137"/>
    </row>
    <row r="12138" spans="46:46">
      <c r="AT12138"/>
    </row>
    <row r="12139" spans="46:46">
      <c r="AT12139"/>
    </row>
    <row r="12140" spans="46:46">
      <c r="AT12140"/>
    </row>
    <row r="12141" spans="46:46">
      <c r="AT12141"/>
    </row>
    <row r="12142" spans="46:46">
      <c r="AT12142"/>
    </row>
    <row r="12143" spans="46:46">
      <c r="AT12143"/>
    </row>
    <row r="12144" spans="46:46">
      <c r="AT12144"/>
    </row>
    <row r="12145" spans="46:46">
      <c r="AT12145"/>
    </row>
    <row r="12146" spans="46:46">
      <c r="AT12146"/>
    </row>
    <row r="12147" spans="46:46">
      <c r="AT12147"/>
    </row>
    <row r="12148" spans="46:46">
      <c r="AT12148"/>
    </row>
    <row r="12149" spans="46:46">
      <c r="AT12149"/>
    </row>
    <row r="12150" spans="46:46">
      <c r="AT12150"/>
    </row>
    <row r="12151" spans="46:46">
      <c r="AT12151"/>
    </row>
    <row r="12152" spans="46:46">
      <c r="AT12152"/>
    </row>
    <row r="12153" spans="46:46">
      <c r="AT12153"/>
    </row>
    <row r="12154" spans="46:46">
      <c r="AT12154"/>
    </row>
    <row r="12155" spans="46:46">
      <c r="AT12155"/>
    </row>
    <row r="12156" spans="46:46">
      <c r="AT12156"/>
    </row>
    <row r="12157" spans="46:46">
      <c r="AT12157"/>
    </row>
    <row r="12158" spans="46:46">
      <c r="AT12158"/>
    </row>
    <row r="12159" spans="46:46">
      <c r="AT12159"/>
    </row>
    <row r="12160" spans="46:46">
      <c r="AT12160"/>
    </row>
    <row r="12161" spans="46:46">
      <c r="AT12161"/>
    </row>
    <row r="12162" spans="46:46">
      <c r="AT12162"/>
    </row>
    <row r="12163" spans="46:46">
      <c r="AT12163"/>
    </row>
    <row r="12164" spans="46:46">
      <c r="AT12164"/>
    </row>
    <row r="12165" spans="46:46">
      <c r="AT12165"/>
    </row>
    <row r="12166" spans="46:46">
      <c r="AT12166"/>
    </row>
    <row r="12167" spans="46:46">
      <c r="AT12167"/>
    </row>
    <row r="12168" spans="46:46">
      <c r="AT12168"/>
    </row>
    <row r="12169" spans="46:46">
      <c r="AT12169"/>
    </row>
    <row r="12170" spans="46:46">
      <c r="AT12170"/>
    </row>
    <row r="12171" spans="46:46">
      <c r="AT12171"/>
    </row>
    <row r="12172" spans="46:46">
      <c r="AT12172"/>
    </row>
    <row r="12173" spans="46:46">
      <c r="AT12173"/>
    </row>
    <row r="12174" spans="46:46">
      <c r="AT12174"/>
    </row>
    <row r="12175" spans="46:46">
      <c r="AT12175"/>
    </row>
    <row r="12176" spans="46:46">
      <c r="AT12176"/>
    </row>
    <row r="12177" spans="46:46">
      <c r="AT12177"/>
    </row>
    <row r="12178" spans="46:46">
      <c r="AT12178"/>
    </row>
    <row r="12179" spans="46:46">
      <c r="AT12179"/>
    </row>
    <row r="12180" spans="46:46">
      <c r="AT12180"/>
    </row>
    <row r="12181" spans="46:46">
      <c r="AT12181"/>
    </row>
    <row r="12182" spans="46:46">
      <c r="AT12182"/>
    </row>
    <row r="12183" spans="46:46">
      <c r="AT12183"/>
    </row>
    <row r="12184" spans="46:46">
      <c r="AT12184"/>
    </row>
    <row r="12185" spans="46:46">
      <c r="AT12185"/>
    </row>
    <row r="12186" spans="46:46">
      <c r="AT12186"/>
    </row>
    <row r="12187" spans="46:46">
      <c r="AT12187"/>
    </row>
    <row r="12188" spans="46:46">
      <c r="AT12188"/>
    </row>
    <row r="12189" spans="46:46">
      <c r="AT12189"/>
    </row>
    <row r="12190" spans="46:46">
      <c r="AT12190"/>
    </row>
    <row r="12191" spans="46:46">
      <c r="AT12191"/>
    </row>
    <row r="12192" spans="46:46">
      <c r="AT12192"/>
    </row>
    <row r="12193" spans="46:46">
      <c r="AT12193"/>
    </row>
    <row r="12194" spans="46:46">
      <c r="AT12194"/>
    </row>
    <row r="12195" spans="46:46">
      <c r="AT12195"/>
    </row>
    <row r="12196" spans="46:46">
      <c r="AT12196"/>
    </row>
    <row r="12197" spans="46:46">
      <c r="AT12197"/>
    </row>
    <row r="12198" spans="46:46">
      <c r="AT12198"/>
    </row>
    <row r="12199" spans="46:46">
      <c r="AT12199"/>
    </row>
    <row r="12200" spans="46:46">
      <c r="AT12200"/>
    </row>
    <row r="12201" spans="46:46">
      <c r="AT12201"/>
    </row>
    <row r="12202" spans="46:46">
      <c r="AT12202"/>
    </row>
    <row r="12203" spans="46:46">
      <c r="AT12203"/>
    </row>
    <row r="12204" spans="46:46">
      <c r="AT12204"/>
    </row>
    <row r="12205" spans="46:46">
      <c r="AT12205"/>
    </row>
    <row r="12206" spans="46:46">
      <c r="AT12206"/>
    </row>
    <row r="12207" spans="46:46">
      <c r="AT12207"/>
    </row>
    <row r="12208" spans="46:46">
      <c r="AT12208"/>
    </row>
    <row r="12209" spans="46:46">
      <c r="AT12209"/>
    </row>
    <row r="12210" spans="46:46">
      <c r="AT12210"/>
    </row>
    <row r="12211" spans="46:46">
      <c r="AT12211"/>
    </row>
    <row r="12212" spans="46:46">
      <c r="AT12212"/>
    </row>
    <row r="12213" spans="46:46">
      <c r="AT12213"/>
    </row>
    <row r="12214" spans="46:46">
      <c r="AT12214"/>
    </row>
    <row r="12215" spans="46:46">
      <c r="AT12215"/>
    </row>
    <row r="12216" spans="46:46">
      <c r="AT12216"/>
    </row>
    <row r="12217" spans="46:46">
      <c r="AT12217"/>
    </row>
    <row r="12218" spans="46:46">
      <c r="AT12218"/>
    </row>
    <row r="12219" spans="46:46">
      <c r="AT12219"/>
    </row>
    <row r="12220" spans="46:46">
      <c r="AT12220"/>
    </row>
    <row r="12221" spans="46:46">
      <c r="AT12221"/>
    </row>
    <row r="12222" spans="46:46">
      <c r="AT12222"/>
    </row>
    <row r="12223" spans="46:46">
      <c r="AT12223"/>
    </row>
    <row r="12224" spans="46:46">
      <c r="AT12224"/>
    </row>
    <row r="12225" spans="46:46">
      <c r="AT12225"/>
    </row>
    <row r="12226" spans="46:46">
      <c r="AT12226"/>
    </row>
    <row r="12227" spans="46:46">
      <c r="AT12227"/>
    </row>
    <row r="12228" spans="46:46">
      <c r="AT12228"/>
    </row>
    <row r="12229" spans="46:46">
      <c r="AT12229"/>
    </row>
    <row r="12230" spans="46:46">
      <c r="AT12230"/>
    </row>
    <row r="12231" spans="46:46">
      <c r="AT12231"/>
    </row>
    <row r="12232" spans="46:46">
      <c r="AT12232"/>
    </row>
    <row r="12233" spans="46:46">
      <c r="AT12233"/>
    </row>
    <row r="12234" spans="46:46">
      <c r="AT12234"/>
    </row>
    <row r="12235" spans="46:46">
      <c r="AT12235"/>
    </row>
    <row r="12236" spans="46:46">
      <c r="AT12236"/>
    </row>
    <row r="12237" spans="46:46">
      <c r="AT12237"/>
    </row>
    <row r="12238" spans="46:46">
      <c r="AT12238"/>
    </row>
    <row r="12239" spans="46:46">
      <c r="AT12239"/>
    </row>
    <row r="12240" spans="46:46">
      <c r="AT12240"/>
    </row>
    <row r="12241" spans="46:46">
      <c r="AT12241"/>
    </row>
    <row r="12242" spans="46:46">
      <c r="AT12242"/>
    </row>
    <row r="12243" spans="46:46">
      <c r="AT12243"/>
    </row>
    <row r="12244" spans="46:46">
      <c r="AT12244"/>
    </row>
    <row r="12245" spans="46:46">
      <c r="AT12245"/>
    </row>
    <row r="12246" spans="46:46">
      <c r="AT12246"/>
    </row>
    <row r="12247" spans="46:46">
      <c r="AT12247"/>
    </row>
    <row r="12248" spans="46:46">
      <c r="AT12248"/>
    </row>
    <row r="12249" spans="46:46">
      <c r="AT12249"/>
    </row>
    <row r="12250" spans="46:46">
      <c r="AT12250"/>
    </row>
    <row r="12251" spans="46:46">
      <c r="AT12251"/>
    </row>
    <row r="12252" spans="46:46">
      <c r="AT12252"/>
    </row>
    <row r="12253" spans="46:46">
      <c r="AT12253"/>
    </row>
    <row r="12254" spans="46:46">
      <c r="AT12254"/>
    </row>
    <row r="12255" spans="46:46">
      <c r="AT12255"/>
    </row>
    <row r="12256" spans="46:46">
      <c r="AT12256"/>
    </row>
    <row r="12257" spans="46:46">
      <c r="AT12257"/>
    </row>
    <row r="12258" spans="46:46">
      <c r="AT12258"/>
    </row>
    <row r="12259" spans="46:46">
      <c r="AT12259"/>
    </row>
    <row r="12260" spans="46:46">
      <c r="AT12260"/>
    </row>
    <row r="12261" spans="46:46">
      <c r="AT12261"/>
    </row>
    <row r="12262" spans="46:46">
      <c r="AT12262"/>
    </row>
    <row r="12263" spans="46:46">
      <c r="AT12263"/>
    </row>
    <row r="12264" spans="46:46">
      <c r="AT12264"/>
    </row>
    <row r="12265" spans="46:46">
      <c r="AT12265"/>
    </row>
    <row r="12266" spans="46:46">
      <c r="AT12266"/>
    </row>
    <row r="12267" spans="46:46">
      <c r="AT12267"/>
    </row>
    <row r="12268" spans="46:46">
      <c r="AT12268"/>
    </row>
    <row r="12269" spans="46:46">
      <c r="AT12269"/>
    </row>
    <row r="12270" spans="46:46">
      <c r="AT12270"/>
    </row>
    <row r="12271" spans="46:46">
      <c r="AT12271"/>
    </row>
    <row r="12272" spans="46:46">
      <c r="AT12272"/>
    </row>
    <row r="12273" spans="46:46">
      <c r="AT12273"/>
    </row>
    <row r="12274" spans="46:46">
      <c r="AT12274"/>
    </row>
    <row r="12275" spans="46:46">
      <c r="AT12275"/>
    </row>
    <row r="12276" spans="46:46">
      <c r="AT12276"/>
    </row>
    <row r="12277" spans="46:46">
      <c r="AT12277"/>
    </row>
    <row r="12278" spans="46:46">
      <c r="AT12278"/>
    </row>
    <row r="12279" spans="46:46">
      <c r="AT12279"/>
    </row>
    <row r="12280" spans="46:46">
      <c r="AT12280"/>
    </row>
    <row r="12281" spans="46:46">
      <c r="AT12281"/>
    </row>
    <row r="12282" spans="46:46">
      <c r="AT12282"/>
    </row>
    <row r="12283" spans="46:46">
      <c r="AT12283"/>
    </row>
    <row r="12284" spans="46:46">
      <c r="AT12284"/>
    </row>
    <row r="12285" spans="46:46">
      <c r="AT12285"/>
    </row>
    <row r="12286" spans="46:46">
      <c r="AT12286"/>
    </row>
    <row r="12287" spans="46:46">
      <c r="AT12287"/>
    </row>
    <row r="12288" spans="46:46">
      <c r="AT12288"/>
    </row>
    <row r="12289" spans="46:46">
      <c r="AT12289"/>
    </row>
    <row r="12290" spans="46:46">
      <c r="AT12290"/>
    </row>
    <row r="12291" spans="46:46">
      <c r="AT12291"/>
    </row>
    <row r="12292" spans="46:46">
      <c r="AT12292"/>
    </row>
    <row r="12293" spans="46:46">
      <c r="AT12293"/>
    </row>
    <row r="12294" spans="46:46">
      <c r="AT12294"/>
    </row>
    <row r="12295" spans="46:46">
      <c r="AT12295"/>
    </row>
    <row r="12296" spans="46:46">
      <c r="AT12296"/>
    </row>
    <row r="12297" spans="46:46">
      <c r="AT12297"/>
    </row>
    <row r="12298" spans="46:46">
      <c r="AT12298"/>
    </row>
    <row r="12299" spans="46:46">
      <c r="AT12299"/>
    </row>
    <row r="12300" spans="46:46">
      <c r="AT12300"/>
    </row>
    <row r="12301" spans="46:46">
      <c r="AT12301"/>
    </row>
    <row r="12302" spans="46:46">
      <c r="AT12302"/>
    </row>
    <row r="12303" spans="46:46">
      <c r="AT12303"/>
    </row>
    <row r="12304" spans="46:46">
      <c r="AT12304"/>
    </row>
    <row r="12305" spans="46:46">
      <c r="AT12305"/>
    </row>
    <row r="12306" spans="46:46">
      <c r="AT12306"/>
    </row>
    <row r="12307" spans="46:46">
      <c r="AT12307"/>
    </row>
    <row r="12308" spans="46:46">
      <c r="AT12308"/>
    </row>
    <row r="12309" spans="46:46">
      <c r="AT12309"/>
    </row>
    <row r="12310" spans="46:46">
      <c r="AT12310"/>
    </row>
    <row r="12311" spans="46:46">
      <c r="AT12311"/>
    </row>
    <row r="12312" spans="46:46">
      <c r="AT12312"/>
    </row>
    <row r="12313" spans="46:46">
      <c r="AT12313"/>
    </row>
    <row r="12314" spans="46:46">
      <c r="AT12314"/>
    </row>
    <row r="12315" spans="46:46">
      <c r="AT12315"/>
    </row>
    <row r="12316" spans="46:46">
      <c r="AT12316"/>
    </row>
    <row r="12317" spans="46:46">
      <c r="AT12317"/>
    </row>
    <row r="12318" spans="46:46">
      <c r="AT12318"/>
    </row>
    <row r="12319" spans="46:46">
      <c r="AT12319"/>
    </row>
    <row r="12320" spans="46:46">
      <c r="AT12320"/>
    </row>
    <row r="12321" spans="46:46">
      <c r="AT12321"/>
    </row>
    <row r="12322" spans="46:46">
      <c r="AT12322"/>
    </row>
    <row r="12323" spans="46:46">
      <c r="AT12323"/>
    </row>
    <row r="12324" spans="46:46">
      <c r="AT12324"/>
    </row>
    <row r="12325" spans="46:46">
      <c r="AT12325"/>
    </row>
    <row r="12326" spans="46:46">
      <c r="AT12326"/>
    </row>
    <row r="12327" spans="46:46">
      <c r="AT12327"/>
    </row>
    <row r="12328" spans="46:46">
      <c r="AT12328"/>
    </row>
    <row r="12329" spans="46:46">
      <c r="AT12329"/>
    </row>
    <row r="12330" spans="46:46">
      <c r="AT12330"/>
    </row>
    <row r="12331" spans="46:46">
      <c r="AT12331"/>
    </row>
    <row r="12332" spans="46:46">
      <c r="AT12332"/>
    </row>
    <row r="12333" spans="46:46">
      <c r="AT12333"/>
    </row>
    <row r="12334" spans="46:46">
      <c r="AT12334"/>
    </row>
    <row r="12335" spans="46:46">
      <c r="AT12335"/>
    </row>
    <row r="12336" spans="46:46">
      <c r="AT12336"/>
    </row>
    <row r="12337" spans="46:46">
      <c r="AT12337"/>
    </row>
    <row r="12338" spans="46:46">
      <c r="AT12338"/>
    </row>
    <row r="12339" spans="46:46">
      <c r="AT12339"/>
    </row>
    <row r="12340" spans="46:46">
      <c r="AT12340"/>
    </row>
    <row r="12341" spans="46:46">
      <c r="AT12341"/>
    </row>
    <row r="12342" spans="46:46">
      <c r="AT12342"/>
    </row>
    <row r="12343" spans="46:46">
      <c r="AT12343"/>
    </row>
    <row r="12344" spans="46:46">
      <c r="AT12344"/>
    </row>
    <row r="12345" spans="46:46">
      <c r="AT12345"/>
    </row>
    <row r="12346" spans="46:46">
      <c r="AT12346"/>
    </row>
    <row r="12347" spans="46:46">
      <c r="AT12347"/>
    </row>
    <row r="12348" spans="46:46">
      <c r="AT12348"/>
    </row>
    <row r="12349" spans="46:46">
      <c r="AT12349"/>
    </row>
    <row r="12350" spans="46:46">
      <c r="AT12350"/>
    </row>
    <row r="12351" spans="46:46">
      <c r="AT12351"/>
    </row>
    <row r="12352" spans="46:46">
      <c r="AT12352"/>
    </row>
    <row r="12353" spans="46:46">
      <c r="AT12353"/>
    </row>
    <row r="12354" spans="46:46">
      <c r="AT12354"/>
    </row>
    <row r="12355" spans="46:46">
      <c r="AT12355"/>
    </row>
    <row r="12356" spans="46:46">
      <c r="AT12356"/>
    </row>
    <row r="12357" spans="46:46">
      <c r="AT12357"/>
    </row>
    <row r="12358" spans="46:46">
      <c r="AT12358"/>
    </row>
    <row r="12359" spans="46:46">
      <c r="AT12359"/>
    </row>
    <row r="12360" spans="46:46">
      <c r="AT12360"/>
    </row>
    <row r="12361" spans="46:46">
      <c r="AT12361"/>
    </row>
    <row r="12362" spans="46:46">
      <c r="AT12362"/>
    </row>
    <row r="12363" spans="46:46">
      <c r="AT12363"/>
    </row>
    <row r="12364" spans="46:46">
      <c r="AT12364"/>
    </row>
    <row r="12365" spans="46:46">
      <c r="AT12365"/>
    </row>
    <row r="12366" spans="46:46">
      <c r="AT12366"/>
    </row>
    <row r="12367" spans="46:46">
      <c r="AT12367"/>
    </row>
    <row r="12368" spans="46:46">
      <c r="AT12368"/>
    </row>
    <row r="12369" spans="46:46">
      <c r="AT12369"/>
    </row>
    <row r="12370" spans="46:46">
      <c r="AT12370"/>
    </row>
    <row r="12371" spans="46:46">
      <c r="AT12371"/>
    </row>
    <row r="12372" spans="46:46">
      <c r="AT12372"/>
    </row>
    <row r="12373" spans="46:46">
      <c r="AT12373"/>
    </row>
    <row r="12374" spans="46:46">
      <c r="AT12374"/>
    </row>
    <row r="12375" spans="46:46">
      <c r="AT12375"/>
    </row>
    <row r="12376" spans="46:46">
      <c r="AT12376"/>
    </row>
    <row r="12377" spans="46:46">
      <c r="AT12377"/>
    </row>
    <row r="12378" spans="46:46">
      <c r="AT12378"/>
    </row>
    <row r="12379" spans="46:46">
      <c r="AT12379"/>
    </row>
    <row r="12380" spans="46:46">
      <c r="AT12380"/>
    </row>
    <row r="12381" spans="46:46">
      <c r="AT12381"/>
    </row>
    <row r="12382" spans="46:46">
      <c r="AT12382"/>
    </row>
    <row r="12383" spans="46:46">
      <c r="AT12383"/>
    </row>
    <row r="12384" spans="46:46">
      <c r="AT12384"/>
    </row>
    <row r="12385" spans="46:46">
      <c r="AT12385"/>
    </row>
    <row r="12386" spans="46:46">
      <c r="AT12386"/>
    </row>
    <row r="12387" spans="46:46">
      <c r="AT12387"/>
    </row>
    <row r="12388" spans="46:46">
      <c r="AT12388"/>
    </row>
    <row r="12389" spans="46:46">
      <c r="AT12389"/>
    </row>
    <row r="12390" spans="46:46">
      <c r="AT12390"/>
    </row>
    <row r="12391" spans="46:46">
      <c r="AT12391"/>
    </row>
    <row r="12392" spans="46:46">
      <c r="AT12392"/>
    </row>
    <row r="12393" spans="46:46">
      <c r="AT12393"/>
    </row>
    <row r="12394" spans="46:46">
      <c r="AT12394"/>
    </row>
    <row r="12395" spans="46:46">
      <c r="AT12395"/>
    </row>
    <row r="12396" spans="46:46">
      <c r="AT12396"/>
    </row>
    <row r="12397" spans="46:46">
      <c r="AT12397"/>
    </row>
    <row r="12398" spans="46:46">
      <c r="AT12398"/>
    </row>
    <row r="12399" spans="46:46">
      <c r="AT12399"/>
    </row>
    <row r="12400" spans="46:46">
      <c r="AT12400"/>
    </row>
    <row r="12401" spans="46:46">
      <c r="AT12401"/>
    </row>
    <row r="12402" spans="46:46">
      <c r="AT12402"/>
    </row>
    <row r="12403" spans="46:46">
      <c r="AT12403"/>
    </row>
    <row r="12404" spans="46:46">
      <c r="AT12404"/>
    </row>
    <row r="12405" spans="46:46">
      <c r="AT12405"/>
    </row>
    <row r="12406" spans="46:46">
      <c r="AT12406"/>
    </row>
    <row r="12407" spans="46:46">
      <c r="AT12407"/>
    </row>
    <row r="12408" spans="46:46">
      <c r="AT12408"/>
    </row>
    <row r="12409" spans="46:46">
      <c r="AT12409"/>
    </row>
    <row r="12410" spans="46:46">
      <c r="AT12410"/>
    </row>
    <row r="12411" spans="46:46">
      <c r="AT12411"/>
    </row>
    <row r="12412" spans="46:46">
      <c r="AT12412"/>
    </row>
    <row r="12413" spans="46:46">
      <c r="AT12413"/>
    </row>
    <row r="12414" spans="46:46">
      <c r="AT12414"/>
    </row>
    <row r="12415" spans="46:46">
      <c r="AT12415"/>
    </row>
    <row r="12416" spans="46:46">
      <c r="AT12416"/>
    </row>
    <row r="12417" spans="46:46">
      <c r="AT12417"/>
    </row>
    <row r="12418" spans="46:46">
      <c r="AT12418"/>
    </row>
    <row r="12419" spans="46:46">
      <c r="AT12419"/>
    </row>
    <row r="12420" spans="46:46">
      <c r="AT12420"/>
    </row>
    <row r="12421" spans="46:46">
      <c r="AT12421"/>
    </row>
    <row r="12422" spans="46:46">
      <c r="AT12422"/>
    </row>
    <row r="12423" spans="46:46">
      <c r="AT12423"/>
    </row>
    <row r="12424" spans="46:46">
      <c r="AT12424"/>
    </row>
    <row r="12425" spans="46:46">
      <c r="AT12425"/>
    </row>
    <row r="12426" spans="46:46">
      <c r="AT12426"/>
    </row>
    <row r="12427" spans="46:46">
      <c r="AT12427"/>
    </row>
    <row r="12428" spans="46:46">
      <c r="AT12428"/>
    </row>
    <row r="12429" spans="46:46">
      <c r="AT12429"/>
    </row>
    <row r="12430" spans="46:46">
      <c r="AT12430"/>
    </row>
    <row r="12431" spans="46:46">
      <c r="AT12431"/>
    </row>
    <row r="12432" spans="46:46">
      <c r="AT12432"/>
    </row>
    <row r="12433" spans="46:46">
      <c r="AT12433"/>
    </row>
    <row r="12434" spans="46:46">
      <c r="AT12434"/>
    </row>
    <row r="12435" spans="46:46">
      <c r="AT12435"/>
    </row>
    <row r="12436" spans="46:46">
      <c r="AT12436"/>
    </row>
    <row r="12437" spans="46:46">
      <c r="AT12437"/>
    </row>
    <row r="12438" spans="46:46">
      <c r="AT12438"/>
    </row>
    <row r="12439" spans="46:46">
      <c r="AT12439"/>
    </row>
    <row r="12440" spans="46:46">
      <c r="AT12440"/>
    </row>
    <row r="12441" spans="46:46">
      <c r="AT12441"/>
    </row>
    <row r="12442" spans="46:46">
      <c r="AT12442"/>
    </row>
    <row r="12443" spans="46:46">
      <c r="AT12443"/>
    </row>
    <row r="12444" spans="46:46">
      <c r="AT12444"/>
    </row>
    <row r="12445" spans="46:46">
      <c r="AT12445"/>
    </row>
    <row r="12446" spans="46:46">
      <c r="AT12446"/>
    </row>
    <row r="12447" spans="46:46">
      <c r="AT12447"/>
    </row>
    <row r="12448" spans="46:46">
      <c r="AT12448"/>
    </row>
    <row r="12449" spans="46:46">
      <c r="AT12449"/>
    </row>
    <row r="12450" spans="46:46">
      <c r="AT12450"/>
    </row>
    <row r="12451" spans="46:46">
      <c r="AT12451"/>
    </row>
    <row r="12452" spans="46:46">
      <c r="AT12452"/>
    </row>
    <row r="12453" spans="46:46">
      <c r="AT12453"/>
    </row>
    <row r="12454" spans="46:46">
      <c r="AT12454"/>
    </row>
    <row r="12455" spans="46:46">
      <c r="AT12455"/>
    </row>
    <row r="12456" spans="46:46">
      <c r="AT12456"/>
    </row>
    <row r="12457" spans="46:46">
      <c r="AT12457"/>
    </row>
    <row r="12458" spans="46:46">
      <c r="AT12458"/>
    </row>
    <row r="12459" spans="46:46">
      <c r="AT12459"/>
    </row>
    <row r="12460" spans="46:46">
      <c r="AT12460"/>
    </row>
    <row r="12461" spans="46:46">
      <c r="AT12461"/>
    </row>
    <row r="12462" spans="46:46">
      <c r="AT12462"/>
    </row>
    <row r="12463" spans="46:46">
      <c r="AT12463"/>
    </row>
    <row r="12464" spans="46:46">
      <c r="AT12464"/>
    </row>
    <row r="12465" spans="46:46">
      <c r="AT12465"/>
    </row>
    <row r="12466" spans="46:46">
      <c r="AT12466"/>
    </row>
    <row r="12467" spans="46:46">
      <c r="AT12467"/>
    </row>
    <row r="12468" spans="46:46">
      <c r="AT12468"/>
    </row>
    <row r="12469" spans="46:46">
      <c r="AT12469"/>
    </row>
    <row r="12470" spans="46:46">
      <c r="AT12470"/>
    </row>
    <row r="12471" spans="46:46">
      <c r="AT12471"/>
    </row>
    <row r="12472" spans="46:46">
      <c r="AT12472"/>
    </row>
    <row r="12473" spans="46:46">
      <c r="AT12473"/>
    </row>
    <row r="12474" spans="46:46">
      <c r="AT12474"/>
    </row>
    <row r="12475" spans="46:46">
      <c r="AT12475"/>
    </row>
    <row r="12476" spans="46:46">
      <c r="AT12476"/>
    </row>
    <row r="12477" spans="46:46">
      <c r="AT12477"/>
    </row>
    <row r="12478" spans="46:46">
      <c r="AT12478"/>
    </row>
    <row r="12479" spans="46:46">
      <c r="AT12479"/>
    </row>
    <row r="12480" spans="46:46">
      <c r="AT12480"/>
    </row>
    <row r="12481" spans="46:46">
      <c r="AT12481"/>
    </row>
    <row r="12482" spans="46:46">
      <c r="AT12482"/>
    </row>
    <row r="12483" spans="46:46">
      <c r="AT12483"/>
    </row>
    <row r="12484" spans="46:46">
      <c r="AT12484"/>
    </row>
    <row r="12485" spans="46:46">
      <c r="AT12485"/>
    </row>
    <row r="12486" spans="46:46">
      <c r="AT12486"/>
    </row>
    <row r="12487" spans="46:46">
      <c r="AT12487"/>
    </row>
    <row r="12488" spans="46:46">
      <c r="AT12488"/>
    </row>
    <row r="12489" spans="46:46">
      <c r="AT12489"/>
    </row>
    <row r="12490" spans="46:46">
      <c r="AT12490"/>
    </row>
    <row r="12491" spans="46:46">
      <c r="AT12491"/>
    </row>
    <row r="12492" spans="46:46">
      <c r="AT12492"/>
    </row>
    <row r="12493" spans="46:46">
      <c r="AT12493"/>
    </row>
    <row r="12494" spans="46:46">
      <c r="AT12494"/>
    </row>
    <row r="12495" spans="46:46">
      <c r="AT12495"/>
    </row>
    <row r="12496" spans="46:46">
      <c r="AT12496"/>
    </row>
    <row r="12497" spans="46:46">
      <c r="AT12497"/>
    </row>
    <row r="12498" spans="46:46">
      <c r="AT12498"/>
    </row>
    <row r="12499" spans="46:46">
      <c r="AT12499"/>
    </row>
    <row r="12500" spans="46:46">
      <c r="AT12500"/>
    </row>
    <row r="12501" spans="46:46">
      <c r="AT12501"/>
    </row>
    <row r="12502" spans="46:46">
      <c r="AT12502"/>
    </row>
    <row r="12503" spans="46:46">
      <c r="AT12503"/>
    </row>
    <row r="12504" spans="46:46">
      <c r="AT12504"/>
    </row>
    <row r="12505" spans="46:46">
      <c r="AT12505"/>
    </row>
    <row r="12506" spans="46:46">
      <c r="AT12506"/>
    </row>
    <row r="12507" spans="46:46">
      <c r="AT12507"/>
    </row>
    <row r="12508" spans="46:46">
      <c r="AT12508"/>
    </row>
    <row r="12509" spans="46:46">
      <c r="AT12509"/>
    </row>
    <row r="12510" spans="46:46">
      <c r="AT12510"/>
    </row>
    <row r="12511" spans="46:46">
      <c r="AT12511"/>
    </row>
    <row r="12512" spans="46:46">
      <c r="AT12512"/>
    </row>
    <row r="12513" spans="46:46">
      <c r="AT12513"/>
    </row>
    <row r="12514" spans="46:46">
      <c r="AT12514"/>
    </row>
    <row r="12515" spans="46:46">
      <c r="AT12515"/>
    </row>
    <row r="12516" spans="46:46">
      <c r="AT12516"/>
    </row>
    <row r="12517" spans="46:46">
      <c r="AT12517"/>
    </row>
    <row r="12518" spans="46:46">
      <c r="AT12518"/>
    </row>
    <row r="12519" spans="46:46">
      <c r="AT12519"/>
    </row>
    <row r="12520" spans="46:46">
      <c r="AT12520"/>
    </row>
    <row r="12521" spans="46:46">
      <c r="AT12521"/>
    </row>
    <row r="12522" spans="46:46">
      <c r="AT12522"/>
    </row>
    <row r="12523" spans="46:46">
      <c r="AT12523"/>
    </row>
    <row r="12524" spans="46:46">
      <c r="AT12524"/>
    </row>
    <row r="12525" spans="46:46">
      <c r="AT12525"/>
    </row>
    <row r="12526" spans="46:46">
      <c r="AT12526"/>
    </row>
    <row r="12527" spans="46:46">
      <c r="AT12527"/>
    </row>
    <row r="12528" spans="46:46">
      <c r="AT12528"/>
    </row>
    <row r="12529" spans="46:46">
      <c r="AT12529"/>
    </row>
    <row r="12530" spans="46:46">
      <c r="AT12530"/>
    </row>
    <row r="12531" spans="46:46">
      <c r="AT12531"/>
    </row>
    <row r="12532" spans="46:46">
      <c r="AT12532"/>
    </row>
    <row r="12533" spans="46:46">
      <c r="AT12533"/>
    </row>
    <row r="12534" spans="46:46">
      <c r="AT12534"/>
    </row>
    <row r="12535" spans="46:46">
      <c r="AT12535"/>
    </row>
    <row r="12536" spans="46:46">
      <c r="AT12536"/>
    </row>
    <row r="12537" spans="46:46">
      <c r="AT12537"/>
    </row>
    <row r="12538" spans="46:46">
      <c r="AT12538"/>
    </row>
    <row r="12539" spans="46:46">
      <c r="AT12539"/>
    </row>
    <row r="12540" spans="46:46">
      <c r="AT12540"/>
    </row>
    <row r="12541" spans="46:46">
      <c r="AT12541"/>
    </row>
    <row r="12542" spans="46:46">
      <c r="AT12542"/>
    </row>
    <row r="12543" spans="46:46">
      <c r="AT12543"/>
    </row>
    <row r="12544" spans="46:46">
      <c r="AT12544"/>
    </row>
    <row r="12545" spans="46:46">
      <c r="AT12545"/>
    </row>
    <row r="12546" spans="46:46">
      <c r="AT12546"/>
    </row>
    <row r="12547" spans="46:46">
      <c r="AT12547"/>
    </row>
    <row r="12548" spans="46:46">
      <c r="AT12548"/>
    </row>
    <row r="12549" spans="46:46">
      <c r="AT12549"/>
    </row>
    <row r="12550" spans="46:46">
      <c r="AT12550"/>
    </row>
    <row r="12551" spans="46:46">
      <c r="AT12551"/>
    </row>
    <row r="12552" spans="46:46">
      <c r="AT12552"/>
    </row>
    <row r="12553" spans="46:46">
      <c r="AT12553"/>
    </row>
    <row r="12554" spans="46:46">
      <c r="AT12554"/>
    </row>
    <row r="12555" spans="46:46">
      <c r="AT12555"/>
    </row>
    <row r="12556" spans="46:46">
      <c r="AT12556"/>
    </row>
    <row r="12557" spans="46:46">
      <c r="AT12557"/>
    </row>
    <row r="12558" spans="46:46">
      <c r="AT12558"/>
    </row>
    <row r="12559" spans="46:46">
      <c r="AT12559"/>
    </row>
    <row r="12560" spans="46:46">
      <c r="AT12560"/>
    </row>
    <row r="12561" spans="46:46">
      <c r="AT12561"/>
    </row>
    <row r="12562" spans="46:46">
      <c r="AT12562"/>
    </row>
    <row r="12563" spans="46:46">
      <c r="AT12563"/>
    </row>
    <row r="12564" spans="46:46">
      <c r="AT12564"/>
    </row>
    <row r="12565" spans="46:46">
      <c r="AT12565"/>
    </row>
    <row r="12566" spans="46:46">
      <c r="AT12566"/>
    </row>
    <row r="12567" spans="46:46">
      <c r="AT12567"/>
    </row>
    <row r="12568" spans="46:46">
      <c r="AT12568"/>
    </row>
    <row r="12569" spans="46:46">
      <c r="AT12569"/>
    </row>
    <row r="12570" spans="46:46">
      <c r="AT12570"/>
    </row>
    <row r="12571" spans="46:46">
      <c r="AT12571"/>
    </row>
    <row r="12572" spans="46:46">
      <c r="AT12572"/>
    </row>
    <row r="12573" spans="46:46">
      <c r="AT12573"/>
    </row>
    <row r="12574" spans="46:46">
      <c r="AT12574"/>
    </row>
    <row r="12575" spans="46:46">
      <c r="AT12575"/>
    </row>
    <row r="12576" spans="46:46">
      <c r="AT12576"/>
    </row>
    <row r="12577" spans="46:46">
      <c r="AT12577"/>
    </row>
    <row r="12578" spans="46:46">
      <c r="AT12578"/>
    </row>
    <row r="12579" spans="46:46">
      <c r="AT12579"/>
    </row>
    <row r="12580" spans="46:46">
      <c r="AT12580"/>
    </row>
    <row r="12581" spans="46:46">
      <c r="AT12581"/>
    </row>
    <row r="12582" spans="46:46">
      <c r="AT12582"/>
    </row>
    <row r="12583" spans="46:46">
      <c r="AT12583"/>
    </row>
    <row r="12584" spans="46:46">
      <c r="AT12584"/>
    </row>
    <row r="12585" spans="46:46">
      <c r="AT12585"/>
    </row>
    <row r="12586" spans="46:46">
      <c r="AT12586"/>
    </row>
    <row r="12587" spans="46:46">
      <c r="AT12587"/>
    </row>
    <row r="12588" spans="46:46">
      <c r="AT12588"/>
    </row>
    <row r="12589" spans="46:46">
      <c r="AT12589"/>
    </row>
    <row r="12590" spans="46:46">
      <c r="AT12590"/>
    </row>
    <row r="12591" spans="46:46">
      <c r="AT12591"/>
    </row>
    <row r="12592" spans="46:46">
      <c r="AT12592"/>
    </row>
    <row r="12593" spans="46:46">
      <c r="AT12593"/>
    </row>
    <row r="12594" spans="46:46">
      <c r="AT12594"/>
    </row>
    <row r="12595" spans="46:46">
      <c r="AT12595"/>
    </row>
    <row r="12596" spans="46:46">
      <c r="AT12596"/>
    </row>
    <row r="12597" spans="46:46">
      <c r="AT12597"/>
    </row>
    <row r="12598" spans="46:46">
      <c r="AT12598"/>
    </row>
    <row r="12599" spans="46:46">
      <c r="AT12599"/>
    </row>
    <row r="12600" spans="46:46">
      <c r="AT12600"/>
    </row>
    <row r="12601" spans="46:46">
      <c r="AT12601"/>
    </row>
    <row r="12602" spans="46:46">
      <c r="AT12602"/>
    </row>
    <row r="12603" spans="46:46">
      <c r="AT12603"/>
    </row>
    <row r="12604" spans="46:46">
      <c r="AT12604"/>
    </row>
    <row r="12605" spans="46:46">
      <c r="AT12605"/>
    </row>
    <row r="12606" spans="46:46">
      <c r="AT12606"/>
    </row>
    <row r="12607" spans="46:46">
      <c r="AT12607"/>
    </row>
    <row r="12608" spans="46:46">
      <c r="AT12608"/>
    </row>
    <row r="12609" spans="46:46">
      <c r="AT12609"/>
    </row>
    <row r="12610" spans="46:46">
      <c r="AT12610"/>
    </row>
    <row r="12611" spans="46:46">
      <c r="AT12611"/>
    </row>
    <row r="12612" spans="46:46">
      <c r="AT12612"/>
    </row>
    <row r="12613" spans="46:46">
      <c r="AT12613"/>
    </row>
    <row r="12614" spans="46:46">
      <c r="AT12614"/>
    </row>
    <row r="12615" spans="46:46">
      <c r="AT12615"/>
    </row>
    <row r="12616" spans="46:46">
      <c r="AT12616"/>
    </row>
    <row r="12617" spans="46:46">
      <c r="AT12617"/>
    </row>
    <row r="12618" spans="46:46">
      <c r="AT12618"/>
    </row>
    <row r="12619" spans="46:46">
      <c r="AT12619"/>
    </row>
    <row r="12620" spans="46:46">
      <c r="AT12620"/>
    </row>
    <row r="12621" spans="46:46">
      <c r="AT12621"/>
    </row>
    <row r="12622" spans="46:46">
      <c r="AT12622"/>
    </row>
    <row r="12623" spans="46:46">
      <c r="AT12623"/>
    </row>
    <row r="12624" spans="46:46">
      <c r="AT12624"/>
    </row>
    <row r="12625" spans="46:46">
      <c r="AT12625"/>
    </row>
    <row r="12626" spans="46:46">
      <c r="AT12626"/>
    </row>
    <row r="12627" spans="46:46">
      <c r="AT12627"/>
    </row>
    <row r="12628" spans="46:46">
      <c r="AT12628"/>
    </row>
    <row r="12629" spans="46:46">
      <c r="AT12629"/>
    </row>
    <row r="12630" spans="46:46">
      <c r="AT12630"/>
    </row>
    <row r="12631" spans="46:46">
      <c r="AT12631"/>
    </row>
    <row r="12632" spans="46:46">
      <c r="AT12632"/>
    </row>
    <row r="12633" spans="46:46">
      <c r="AT12633"/>
    </row>
    <row r="12634" spans="46:46">
      <c r="AT12634"/>
    </row>
    <row r="12635" spans="46:46">
      <c r="AT12635"/>
    </row>
    <row r="12636" spans="46:46">
      <c r="AT12636"/>
    </row>
    <row r="12637" spans="46:46">
      <c r="AT12637"/>
    </row>
    <row r="12638" spans="46:46">
      <c r="AT12638"/>
    </row>
    <row r="12639" spans="46:46">
      <c r="AT12639"/>
    </row>
    <row r="12640" spans="46:46">
      <c r="AT12640"/>
    </row>
    <row r="12641" spans="46:46">
      <c r="AT12641"/>
    </row>
    <row r="12642" spans="46:46">
      <c r="AT12642"/>
    </row>
    <row r="12643" spans="46:46">
      <c r="AT12643"/>
    </row>
    <row r="12644" spans="46:46">
      <c r="AT12644"/>
    </row>
    <row r="12645" spans="46:46">
      <c r="AT12645"/>
    </row>
    <row r="12646" spans="46:46">
      <c r="AT12646"/>
    </row>
    <row r="12647" spans="46:46">
      <c r="AT12647"/>
    </row>
    <row r="12648" spans="46:46">
      <c r="AT12648"/>
    </row>
    <row r="12649" spans="46:46">
      <c r="AT12649"/>
    </row>
    <row r="12650" spans="46:46">
      <c r="AT12650"/>
    </row>
    <row r="12651" spans="46:46">
      <c r="AT12651"/>
    </row>
    <row r="12652" spans="46:46">
      <c r="AT12652"/>
    </row>
    <row r="12653" spans="46:46">
      <c r="AT12653"/>
    </row>
    <row r="12654" spans="46:46">
      <c r="AT12654"/>
    </row>
    <row r="12655" spans="46:46">
      <c r="AT12655"/>
    </row>
    <row r="12656" spans="46:46">
      <c r="AT12656"/>
    </row>
    <row r="12657" spans="46:46">
      <c r="AT12657"/>
    </row>
    <row r="12658" spans="46:46">
      <c r="AT12658"/>
    </row>
    <row r="12659" spans="46:46">
      <c r="AT12659"/>
    </row>
    <row r="12660" spans="46:46">
      <c r="AT12660"/>
    </row>
    <row r="12661" spans="46:46">
      <c r="AT12661"/>
    </row>
    <row r="12662" spans="46:46">
      <c r="AT12662"/>
    </row>
    <row r="12663" spans="46:46">
      <c r="AT12663"/>
    </row>
    <row r="12664" spans="46:46">
      <c r="AT12664"/>
    </row>
    <row r="12665" spans="46:46">
      <c r="AT12665"/>
    </row>
    <row r="12666" spans="46:46">
      <c r="AT12666"/>
    </row>
    <row r="12667" spans="46:46">
      <c r="AT12667"/>
    </row>
    <row r="12668" spans="46:46">
      <c r="AT12668"/>
    </row>
    <row r="12669" spans="46:46">
      <c r="AT12669"/>
    </row>
    <row r="12670" spans="46:46">
      <c r="AT12670"/>
    </row>
    <row r="12671" spans="46:46">
      <c r="AT12671"/>
    </row>
    <row r="12672" spans="46:46">
      <c r="AT12672"/>
    </row>
    <row r="12673" spans="46:46">
      <c r="AT12673"/>
    </row>
    <row r="12674" spans="46:46">
      <c r="AT12674"/>
    </row>
    <row r="12675" spans="46:46">
      <c r="AT12675"/>
    </row>
    <row r="12676" spans="46:46">
      <c r="AT12676"/>
    </row>
    <row r="12677" spans="46:46">
      <c r="AT12677"/>
    </row>
    <row r="12678" spans="46:46">
      <c r="AT12678"/>
    </row>
    <row r="12679" spans="46:46">
      <c r="AT12679"/>
    </row>
    <row r="12680" spans="46:46">
      <c r="AT12680"/>
    </row>
    <row r="12681" spans="46:46">
      <c r="AT12681"/>
    </row>
    <row r="12682" spans="46:46">
      <c r="AT12682"/>
    </row>
    <row r="12683" spans="46:46">
      <c r="AT12683"/>
    </row>
    <row r="12684" spans="46:46">
      <c r="AT12684"/>
    </row>
    <row r="12685" spans="46:46">
      <c r="AT12685"/>
    </row>
    <row r="12686" spans="46:46">
      <c r="AT12686"/>
    </row>
    <row r="12687" spans="46:46">
      <c r="AT12687"/>
    </row>
    <row r="12688" spans="46:46">
      <c r="AT12688"/>
    </row>
    <row r="12689" spans="46:46">
      <c r="AT12689"/>
    </row>
    <row r="12690" spans="46:46">
      <c r="AT12690"/>
    </row>
    <row r="12691" spans="46:46">
      <c r="AT12691"/>
    </row>
    <row r="12692" spans="46:46">
      <c r="AT12692"/>
    </row>
    <row r="12693" spans="46:46">
      <c r="AT12693"/>
    </row>
    <row r="12694" spans="46:46">
      <c r="AT12694"/>
    </row>
    <row r="12695" spans="46:46">
      <c r="AT12695"/>
    </row>
    <row r="12696" spans="46:46">
      <c r="AT12696"/>
    </row>
    <row r="12697" spans="46:46">
      <c r="AT12697"/>
    </row>
    <row r="12698" spans="46:46">
      <c r="AT12698"/>
    </row>
    <row r="12699" spans="46:46">
      <c r="AT12699"/>
    </row>
    <row r="12700" spans="46:46">
      <c r="AT12700"/>
    </row>
    <row r="12701" spans="46:46">
      <c r="AT12701"/>
    </row>
    <row r="12702" spans="46:46">
      <c r="AT12702"/>
    </row>
    <row r="12703" spans="46:46">
      <c r="AT12703"/>
    </row>
    <row r="12704" spans="46:46">
      <c r="AT12704"/>
    </row>
    <row r="12705" spans="46:46">
      <c r="AT12705"/>
    </row>
    <row r="12706" spans="46:46">
      <c r="AT12706"/>
    </row>
    <row r="12707" spans="46:46">
      <c r="AT12707"/>
    </row>
    <row r="12708" spans="46:46">
      <c r="AT12708"/>
    </row>
    <row r="12709" spans="46:46">
      <c r="AT12709"/>
    </row>
    <row r="12710" spans="46:46">
      <c r="AT12710"/>
    </row>
    <row r="12711" spans="46:46">
      <c r="AT12711"/>
    </row>
    <row r="12712" spans="46:46">
      <c r="AT12712"/>
    </row>
    <row r="12713" spans="46:46">
      <c r="AT12713"/>
    </row>
    <row r="12714" spans="46:46">
      <c r="AT12714"/>
    </row>
    <row r="12715" spans="46:46">
      <c r="AT12715"/>
    </row>
    <row r="12716" spans="46:46">
      <c r="AT12716"/>
    </row>
    <row r="12717" spans="46:46">
      <c r="AT12717"/>
    </row>
    <row r="12718" spans="46:46">
      <c r="AT12718"/>
    </row>
    <row r="12719" spans="46:46">
      <c r="AT12719"/>
    </row>
    <row r="12720" spans="46:46">
      <c r="AT12720"/>
    </row>
    <row r="12721" spans="46:46">
      <c r="AT12721"/>
    </row>
    <row r="12722" spans="46:46">
      <c r="AT12722"/>
    </row>
    <row r="12723" spans="46:46">
      <c r="AT12723"/>
    </row>
    <row r="12724" spans="46:46">
      <c r="AT12724"/>
    </row>
    <row r="12725" spans="46:46">
      <c r="AT12725"/>
    </row>
    <row r="12726" spans="46:46">
      <c r="AT12726"/>
    </row>
    <row r="12727" spans="46:46">
      <c r="AT12727"/>
    </row>
    <row r="12728" spans="46:46">
      <c r="AT12728"/>
    </row>
    <row r="12729" spans="46:46">
      <c r="AT12729"/>
    </row>
    <row r="12730" spans="46:46">
      <c r="AT12730"/>
    </row>
    <row r="12731" spans="46:46">
      <c r="AT12731"/>
    </row>
    <row r="12732" spans="46:46">
      <c r="AT12732"/>
    </row>
    <row r="12733" spans="46:46">
      <c r="AT12733"/>
    </row>
    <row r="12734" spans="46:46">
      <c r="AT12734"/>
    </row>
    <row r="12735" spans="46:46">
      <c r="AT12735"/>
    </row>
    <row r="12736" spans="46:46">
      <c r="AT12736"/>
    </row>
    <row r="12737" spans="46:46">
      <c r="AT12737"/>
    </row>
    <row r="12738" spans="46:46">
      <c r="AT12738"/>
    </row>
    <row r="12739" spans="46:46">
      <c r="AT12739"/>
    </row>
    <row r="12740" spans="46:46">
      <c r="AT12740"/>
    </row>
    <row r="12741" spans="46:46">
      <c r="AT12741"/>
    </row>
    <row r="12742" spans="46:46">
      <c r="AT12742"/>
    </row>
    <row r="12743" spans="46:46">
      <c r="AT12743"/>
    </row>
    <row r="12744" spans="46:46">
      <c r="AT12744"/>
    </row>
    <row r="12745" spans="46:46">
      <c r="AT12745"/>
    </row>
    <row r="12746" spans="46:46">
      <c r="AT12746"/>
    </row>
    <row r="12747" spans="46:46">
      <c r="AT12747"/>
    </row>
    <row r="12748" spans="46:46">
      <c r="AT12748"/>
    </row>
    <row r="12749" spans="46:46">
      <c r="AT12749"/>
    </row>
    <row r="12750" spans="46:46">
      <c r="AT12750"/>
    </row>
    <row r="12751" spans="46:46">
      <c r="AT12751"/>
    </row>
    <row r="12752" spans="46:46">
      <c r="AT12752"/>
    </row>
    <row r="12753" spans="46:46">
      <c r="AT12753"/>
    </row>
    <row r="12754" spans="46:46">
      <c r="AT12754"/>
    </row>
    <row r="12755" spans="46:46">
      <c r="AT12755"/>
    </row>
    <row r="12756" spans="46:46">
      <c r="AT12756"/>
    </row>
    <row r="12757" spans="46:46">
      <c r="AT12757"/>
    </row>
    <row r="12758" spans="46:46">
      <c r="AT12758"/>
    </row>
    <row r="12759" spans="46:46">
      <c r="AT12759"/>
    </row>
    <row r="12760" spans="46:46">
      <c r="AT12760"/>
    </row>
    <row r="12761" spans="46:46">
      <c r="AT12761"/>
    </row>
    <row r="12762" spans="46:46">
      <c r="AT12762"/>
    </row>
    <row r="12763" spans="46:46">
      <c r="AT12763"/>
    </row>
    <row r="12764" spans="46:46">
      <c r="AT12764"/>
    </row>
    <row r="12765" spans="46:46">
      <c r="AT12765"/>
    </row>
    <row r="12766" spans="46:46">
      <c r="AT12766"/>
    </row>
    <row r="12767" spans="46:46">
      <c r="AT12767"/>
    </row>
    <row r="12768" spans="46:46">
      <c r="AT12768"/>
    </row>
    <row r="12769" spans="46:46">
      <c r="AT12769"/>
    </row>
    <row r="12770" spans="46:46">
      <c r="AT12770"/>
    </row>
    <row r="12771" spans="46:46">
      <c r="AT12771"/>
    </row>
    <row r="12772" spans="46:46">
      <c r="AT12772"/>
    </row>
    <row r="12773" spans="46:46">
      <c r="AT12773"/>
    </row>
    <row r="12774" spans="46:46">
      <c r="AT12774"/>
    </row>
    <row r="12775" spans="46:46">
      <c r="AT12775"/>
    </row>
    <row r="12776" spans="46:46">
      <c r="AT12776"/>
    </row>
    <row r="12777" spans="46:46">
      <c r="AT12777"/>
    </row>
    <row r="12778" spans="46:46">
      <c r="AT12778"/>
    </row>
    <row r="12779" spans="46:46">
      <c r="AT12779"/>
    </row>
    <row r="12780" spans="46:46">
      <c r="AT12780"/>
    </row>
    <row r="12781" spans="46:46">
      <c r="AT12781"/>
    </row>
    <row r="12782" spans="46:46">
      <c r="AT12782"/>
    </row>
    <row r="12783" spans="46:46">
      <c r="AT12783"/>
    </row>
    <row r="12784" spans="46:46">
      <c r="AT12784"/>
    </row>
    <row r="12785" spans="46:46">
      <c r="AT12785"/>
    </row>
    <row r="12786" spans="46:46">
      <c r="AT12786"/>
    </row>
    <row r="12787" spans="46:46">
      <c r="AT12787"/>
    </row>
    <row r="12788" spans="46:46">
      <c r="AT12788"/>
    </row>
    <row r="12789" spans="46:46">
      <c r="AT12789"/>
    </row>
    <row r="12790" spans="46:46">
      <c r="AT12790"/>
    </row>
    <row r="12791" spans="46:46">
      <c r="AT12791"/>
    </row>
    <row r="12792" spans="46:46">
      <c r="AT12792"/>
    </row>
    <row r="12793" spans="46:46">
      <c r="AT12793"/>
    </row>
    <row r="12794" spans="46:46">
      <c r="AT12794"/>
    </row>
    <row r="12795" spans="46:46">
      <c r="AT12795"/>
    </row>
    <row r="12796" spans="46:46">
      <c r="AT12796"/>
    </row>
    <row r="12797" spans="46:46">
      <c r="AT12797"/>
    </row>
    <row r="12798" spans="46:46">
      <c r="AT12798"/>
    </row>
    <row r="12799" spans="46:46">
      <c r="AT12799"/>
    </row>
    <row r="12800" spans="46:46">
      <c r="AT12800"/>
    </row>
    <row r="12801" spans="46:46">
      <c r="AT12801"/>
    </row>
    <row r="12802" spans="46:46">
      <c r="AT12802"/>
    </row>
    <row r="12803" spans="46:46">
      <c r="AT12803"/>
    </row>
    <row r="12804" spans="46:46">
      <c r="AT12804"/>
    </row>
    <row r="12805" spans="46:46">
      <c r="AT12805"/>
    </row>
    <row r="12806" spans="46:46">
      <c r="AT12806"/>
    </row>
    <row r="12807" spans="46:46">
      <c r="AT12807"/>
    </row>
    <row r="12808" spans="46:46">
      <c r="AT12808"/>
    </row>
    <row r="12809" spans="46:46">
      <c r="AT12809"/>
    </row>
    <row r="12810" spans="46:46">
      <c r="AT12810"/>
    </row>
    <row r="12811" spans="46:46">
      <c r="AT12811"/>
    </row>
    <row r="12812" spans="46:46">
      <c r="AT12812"/>
    </row>
    <row r="12813" spans="46:46">
      <c r="AT12813"/>
    </row>
    <row r="12814" spans="46:46">
      <c r="AT12814"/>
    </row>
    <row r="12815" spans="46:46">
      <c r="AT12815"/>
    </row>
    <row r="12816" spans="46:46">
      <c r="AT12816"/>
    </row>
    <row r="12817" spans="46:46">
      <c r="AT12817"/>
    </row>
    <row r="12818" spans="46:46">
      <c r="AT12818"/>
    </row>
    <row r="12819" spans="46:46">
      <c r="AT12819"/>
    </row>
    <row r="12820" spans="46:46">
      <c r="AT12820"/>
    </row>
    <row r="12821" spans="46:46">
      <c r="AT12821"/>
    </row>
    <row r="12822" spans="46:46">
      <c r="AT12822"/>
    </row>
    <row r="12823" spans="46:46">
      <c r="AT12823"/>
    </row>
    <row r="12824" spans="46:46">
      <c r="AT12824"/>
    </row>
    <row r="12825" spans="46:46">
      <c r="AT12825"/>
    </row>
    <row r="12826" spans="46:46">
      <c r="AT12826"/>
    </row>
    <row r="12827" spans="46:46">
      <c r="AT12827"/>
    </row>
    <row r="12828" spans="46:46">
      <c r="AT12828"/>
    </row>
    <row r="12829" spans="46:46">
      <c r="AT12829"/>
    </row>
    <row r="12830" spans="46:46">
      <c r="AT12830"/>
    </row>
    <row r="12831" spans="46:46">
      <c r="AT12831"/>
    </row>
    <row r="12832" spans="46:46">
      <c r="AT12832"/>
    </row>
    <row r="12833" spans="46:46">
      <c r="AT12833"/>
    </row>
    <row r="12834" spans="46:46">
      <c r="AT12834"/>
    </row>
    <row r="12835" spans="46:46">
      <c r="AT12835"/>
    </row>
    <row r="12836" spans="46:46">
      <c r="AT12836"/>
    </row>
    <row r="12837" spans="46:46">
      <c r="AT12837"/>
    </row>
    <row r="12838" spans="46:46">
      <c r="AT12838"/>
    </row>
    <row r="12839" spans="46:46">
      <c r="AT12839"/>
    </row>
    <row r="12840" spans="46:46">
      <c r="AT12840"/>
    </row>
    <row r="12841" spans="46:46">
      <c r="AT12841"/>
    </row>
    <row r="12842" spans="46:46">
      <c r="AT12842"/>
    </row>
    <row r="12843" spans="46:46">
      <c r="AT12843"/>
    </row>
    <row r="12844" spans="46:46">
      <c r="AT12844"/>
    </row>
    <row r="12845" spans="46:46">
      <c r="AT12845"/>
    </row>
    <row r="12846" spans="46:46">
      <c r="AT12846"/>
    </row>
    <row r="12847" spans="46:46">
      <c r="AT12847"/>
    </row>
    <row r="12848" spans="46:46">
      <c r="AT12848"/>
    </row>
    <row r="12849" spans="46:46">
      <c r="AT12849"/>
    </row>
    <row r="12850" spans="46:46">
      <c r="AT12850"/>
    </row>
    <row r="12851" spans="46:46">
      <c r="AT12851"/>
    </row>
    <row r="12852" spans="46:46">
      <c r="AT12852"/>
    </row>
    <row r="12853" spans="46:46">
      <c r="AT12853"/>
    </row>
    <row r="12854" spans="46:46">
      <c r="AT12854"/>
    </row>
    <row r="12855" spans="46:46">
      <c r="AT12855"/>
    </row>
    <row r="12856" spans="46:46">
      <c r="AT12856"/>
    </row>
    <row r="12857" spans="46:46">
      <c r="AT12857"/>
    </row>
    <row r="12858" spans="46:46">
      <c r="AT12858"/>
    </row>
    <row r="12859" spans="46:46">
      <c r="AT12859"/>
    </row>
    <row r="12860" spans="46:46">
      <c r="AT12860"/>
    </row>
    <row r="12861" spans="46:46">
      <c r="AT12861"/>
    </row>
    <row r="12862" spans="46:46">
      <c r="AT12862"/>
    </row>
    <row r="12863" spans="46:46">
      <c r="AT12863"/>
    </row>
    <row r="12864" spans="46:46">
      <c r="AT12864"/>
    </row>
    <row r="12865" spans="46:46">
      <c r="AT12865"/>
    </row>
    <row r="12866" spans="46:46">
      <c r="AT12866"/>
    </row>
    <row r="12867" spans="46:46">
      <c r="AT12867"/>
    </row>
    <row r="12868" spans="46:46">
      <c r="AT12868"/>
    </row>
    <row r="12869" spans="46:46">
      <c r="AT12869"/>
    </row>
    <row r="12870" spans="46:46">
      <c r="AT12870"/>
    </row>
    <row r="12871" spans="46:46">
      <c r="AT12871"/>
    </row>
    <row r="12872" spans="46:46">
      <c r="AT12872"/>
    </row>
    <row r="12873" spans="46:46">
      <c r="AT12873"/>
    </row>
    <row r="12874" spans="46:46">
      <c r="AT12874"/>
    </row>
    <row r="12875" spans="46:46">
      <c r="AT12875"/>
    </row>
    <row r="12876" spans="46:46">
      <c r="AT12876"/>
    </row>
    <row r="12877" spans="46:46">
      <c r="AT12877"/>
    </row>
    <row r="12878" spans="46:46">
      <c r="AT12878"/>
    </row>
    <row r="12879" spans="46:46">
      <c r="AT12879"/>
    </row>
    <row r="12880" spans="46:46">
      <c r="AT12880"/>
    </row>
    <row r="12881" spans="46:46">
      <c r="AT12881"/>
    </row>
    <row r="12882" spans="46:46">
      <c r="AT12882"/>
    </row>
    <row r="12883" spans="46:46">
      <c r="AT12883"/>
    </row>
    <row r="12884" spans="46:46">
      <c r="AT12884"/>
    </row>
    <row r="12885" spans="46:46">
      <c r="AT12885"/>
    </row>
    <row r="12886" spans="46:46">
      <c r="AT12886"/>
    </row>
    <row r="12887" spans="46:46">
      <c r="AT12887"/>
    </row>
    <row r="12888" spans="46:46">
      <c r="AT12888"/>
    </row>
    <row r="12889" spans="46:46">
      <c r="AT12889"/>
    </row>
    <row r="12890" spans="46:46">
      <c r="AT12890"/>
    </row>
    <row r="12891" spans="46:46">
      <c r="AT12891"/>
    </row>
    <row r="12892" spans="46:46">
      <c r="AT12892"/>
    </row>
    <row r="12893" spans="46:46">
      <c r="AT12893"/>
    </row>
    <row r="12894" spans="46:46">
      <c r="AT12894"/>
    </row>
    <row r="12895" spans="46:46">
      <c r="AT12895"/>
    </row>
    <row r="12896" spans="46:46">
      <c r="AT12896"/>
    </row>
    <row r="12897" spans="46:46">
      <c r="AT12897"/>
    </row>
    <row r="12898" spans="46:46">
      <c r="AT12898"/>
    </row>
    <row r="12899" spans="46:46">
      <c r="AT12899"/>
    </row>
    <row r="12900" spans="46:46">
      <c r="AT12900"/>
    </row>
    <row r="12901" spans="46:46">
      <c r="AT12901"/>
    </row>
    <row r="12902" spans="46:46">
      <c r="AT12902"/>
    </row>
    <row r="12903" spans="46:46">
      <c r="AT12903"/>
    </row>
    <row r="12904" spans="46:46">
      <c r="AT12904"/>
    </row>
    <row r="12905" spans="46:46">
      <c r="AT12905"/>
    </row>
    <row r="12906" spans="46:46">
      <c r="AT12906"/>
    </row>
    <row r="12907" spans="46:46">
      <c r="AT12907"/>
    </row>
    <row r="12908" spans="46:46">
      <c r="AT12908"/>
    </row>
    <row r="12909" spans="46:46">
      <c r="AT12909"/>
    </row>
    <row r="12910" spans="46:46">
      <c r="AT12910"/>
    </row>
    <row r="12911" spans="46:46">
      <c r="AT12911"/>
    </row>
    <row r="12912" spans="46:46">
      <c r="AT12912"/>
    </row>
    <row r="12913" spans="46:46">
      <c r="AT12913"/>
    </row>
    <row r="12914" spans="46:46">
      <c r="AT12914"/>
    </row>
    <row r="12915" spans="46:46">
      <c r="AT12915"/>
    </row>
    <row r="12916" spans="46:46">
      <c r="AT12916"/>
    </row>
    <row r="12917" spans="46:46">
      <c r="AT12917"/>
    </row>
    <row r="12918" spans="46:46">
      <c r="AT12918"/>
    </row>
    <row r="12919" spans="46:46">
      <c r="AT12919"/>
    </row>
    <row r="12920" spans="46:46">
      <c r="AT12920"/>
    </row>
    <row r="12921" spans="46:46">
      <c r="AT12921"/>
    </row>
    <row r="12922" spans="46:46">
      <c r="AT12922"/>
    </row>
    <row r="12923" spans="46:46">
      <c r="AT12923"/>
    </row>
    <row r="12924" spans="46:46">
      <c r="AT12924"/>
    </row>
    <row r="12925" spans="46:46">
      <c r="AT12925"/>
    </row>
    <row r="12926" spans="46:46">
      <c r="AT12926"/>
    </row>
    <row r="12927" spans="46:46">
      <c r="AT12927"/>
    </row>
    <row r="12928" spans="46:46">
      <c r="AT12928"/>
    </row>
    <row r="12929" spans="46:46">
      <c r="AT12929"/>
    </row>
    <row r="12930" spans="46:46">
      <c r="AT12930"/>
    </row>
    <row r="12931" spans="46:46">
      <c r="AT12931"/>
    </row>
    <row r="12932" spans="46:46">
      <c r="AT12932"/>
    </row>
    <row r="12933" spans="46:46">
      <c r="AT12933"/>
    </row>
    <row r="12934" spans="46:46">
      <c r="AT12934"/>
    </row>
    <row r="12935" spans="46:46">
      <c r="AT12935"/>
    </row>
    <row r="12936" spans="46:46">
      <c r="AT12936"/>
    </row>
    <row r="12937" spans="46:46">
      <c r="AT12937"/>
    </row>
    <row r="12938" spans="46:46">
      <c r="AT12938"/>
    </row>
    <row r="12939" spans="46:46">
      <c r="AT12939"/>
    </row>
    <row r="12940" spans="46:46">
      <c r="AT12940"/>
    </row>
    <row r="12941" spans="46:46">
      <c r="AT12941"/>
    </row>
    <row r="12942" spans="46:46">
      <c r="AT12942"/>
    </row>
    <row r="12943" spans="46:46">
      <c r="AT12943"/>
    </row>
    <row r="12944" spans="46:46">
      <c r="AT12944"/>
    </row>
    <row r="12945" spans="46:46">
      <c r="AT12945"/>
    </row>
    <row r="12946" spans="46:46">
      <c r="AT12946"/>
    </row>
    <row r="12947" spans="46:46">
      <c r="AT12947"/>
    </row>
    <row r="12948" spans="46:46">
      <c r="AT12948"/>
    </row>
    <row r="12949" spans="46:46">
      <c r="AT12949"/>
    </row>
    <row r="12950" spans="46:46">
      <c r="AT12950"/>
    </row>
    <row r="12951" spans="46:46">
      <c r="AT12951"/>
    </row>
    <row r="12952" spans="46:46">
      <c r="AT12952"/>
    </row>
    <row r="12953" spans="46:46">
      <c r="AT12953"/>
    </row>
    <row r="12954" spans="46:46">
      <c r="AT12954"/>
    </row>
    <row r="12955" spans="46:46">
      <c r="AT12955"/>
    </row>
    <row r="12956" spans="46:46">
      <c r="AT12956"/>
    </row>
    <row r="12957" spans="46:46">
      <c r="AT12957"/>
    </row>
    <row r="12958" spans="46:46">
      <c r="AT12958"/>
    </row>
    <row r="12959" spans="46:46">
      <c r="AT12959"/>
    </row>
    <row r="12960" spans="46:46">
      <c r="AT12960"/>
    </row>
    <row r="12961" spans="46:46">
      <c r="AT12961"/>
    </row>
    <row r="12962" spans="46:46">
      <c r="AT12962"/>
    </row>
    <row r="12963" spans="46:46">
      <c r="AT12963"/>
    </row>
    <row r="12964" spans="46:46">
      <c r="AT12964"/>
    </row>
    <row r="12965" spans="46:46">
      <c r="AT12965"/>
    </row>
    <row r="12966" spans="46:46">
      <c r="AT12966"/>
    </row>
    <row r="12967" spans="46:46">
      <c r="AT12967"/>
    </row>
    <row r="12968" spans="46:46">
      <c r="AT12968"/>
    </row>
    <row r="12969" spans="46:46">
      <c r="AT12969"/>
    </row>
    <row r="12970" spans="46:46">
      <c r="AT12970"/>
    </row>
    <row r="12971" spans="46:46">
      <c r="AT12971"/>
    </row>
    <row r="12972" spans="46:46">
      <c r="AT12972"/>
    </row>
    <row r="12973" spans="46:46">
      <c r="AT12973"/>
    </row>
    <row r="12974" spans="46:46">
      <c r="AT12974"/>
    </row>
    <row r="12975" spans="46:46">
      <c r="AT12975"/>
    </row>
    <row r="12976" spans="46:46">
      <c r="AT12976"/>
    </row>
    <row r="12977" spans="46:46">
      <c r="AT12977"/>
    </row>
    <row r="12978" spans="46:46">
      <c r="AT12978"/>
    </row>
    <row r="12979" spans="46:46">
      <c r="AT12979"/>
    </row>
    <row r="12980" spans="46:46">
      <c r="AT12980"/>
    </row>
    <row r="12981" spans="46:46">
      <c r="AT12981"/>
    </row>
    <row r="12982" spans="46:46">
      <c r="AT12982"/>
    </row>
    <row r="12983" spans="46:46">
      <c r="AT12983"/>
    </row>
    <row r="12984" spans="46:46">
      <c r="AT12984"/>
    </row>
    <row r="12985" spans="46:46">
      <c r="AT12985"/>
    </row>
    <row r="12986" spans="46:46">
      <c r="AT12986"/>
    </row>
    <row r="12987" spans="46:46">
      <c r="AT12987"/>
    </row>
    <row r="12988" spans="46:46">
      <c r="AT12988"/>
    </row>
    <row r="12989" spans="46:46">
      <c r="AT12989"/>
    </row>
    <row r="12990" spans="46:46">
      <c r="AT12990"/>
    </row>
    <row r="12991" spans="46:46">
      <c r="AT12991"/>
    </row>
    <row r="12992" spans="46:46">
      <c r="AT12992"/>
    </row>
    <row r="12993" spans="46:46">
      <c r="AT12993"/>
    </row>
    <row r="12994" spans="46:46">
      <c r="AT12994"/>
    </row>
    <row r="12995" spans="46:46">
      <c r="AT12995"/>
    </row>
    <row r="12996" spans="46:46">
      <c r="AT12996"/>
    </row>
    <row r="12997" spans="46:46">
      <c r="AT12997"/>
    </row>
    <row r="12998" spans="46:46">
      <c r="AT12998"/>
    </row>
    <row r="12999" spans="46:46">
      <c r="AT12999"/>
    </row>
    <row r="13000" spans="46:46">
      <c r="AT13000"/>
    </row>
    <row r="13001" spans="46:46">
      <c r="AT13001"/>
    </row>
    <row r="13002" spans="46:46">
      <c r="AT13002"/>
    </row>
    <row r="13003" spans="46:46">
      <c r="AT13003"/>
    </row>
    <row r="13004" spans="46:46">
      <c r="AT13004"/>
    </row>
    <row r="13005" spans="46:46">
      <c r="AT13005"/>
    </row>
    <row r="13006" spans="46:46">
      <c r="AT13006"/>
    </row>
    <row r="13007" spans="46:46">
      <c r="AT13007"/>
    </row>
    <row r="13008" spans="46:46">
      <c r="AT13008"/>
    </row>
    <row r="13009" spans="46:46">
      <c r="AT13009"/>
    </row>
    <row r="13010" spans="46:46">
      <c r="AT13010"/>
    </row>
    <row r="13011" spans="46:46">
      <c r="AT13011"/>
    </row>
    <row r="13012" spans="46:46">
      <c r="AT13012"/>
    </row>
    <row r="13013" spans="46:46">
      <c r="AT13013"/>
    </row>
    <row r="13014" spans="46:46">
      <c r="AT13014"/>
    </row>
    <row r="13015" spans="46:46">
      <c r="AT13015"/>
    </row>
    <row r="13016" spans="46:46">
      <c r="AT13016"/>
    </row>
    <row r="13017" spans="46:46">
      <c r="AT13017"/>
    </row>
    <row r="13018" spans="46:46">
      <c r="AT13018"/>
    </row>
    <row r="13019" spans="46:46">
      <c r="AT13019"/>
    </row>
    <row r="13020" spans="46:46">
      <c r="AT13020"/>
    </row>
    <row r="13021" spans="46:46">
      <c r="AT13021"/>
    </row>
    <row r="13022" spans="46:46">
      <c r="AT13022"/>
    </row>
    <row r="13023" spans="46:46">
      <c r="AT13023"/>
    </row>
    <row r="13024" spans="46:46">
      <c r="AT13024"/>
    </row>
    <row r="13025" spans="46:46">
      <c r="AT13025"/>
    </row>
    <row r="13026" spans="46:46">
      <c r="AT13026"/>
    </row>
    <row r="13027" spans="46:46">
      <c r="AT13027"/>
    </row>
    <row r="13028" spans="46:46">
      <c r="AT13028"/>
    </row>
    <row r="13029" spans="46:46">
      <c r="AT13029"/>
    </row>
    <row r="13030" spans="46:46">
      <c r="AT13030"/>
    </row>
    <row r="13031" spans="46:46">
      <c r="AT13031"/>
    </row>
    <row r="13032" spans="46:46">
      <c r="AT13032"/>
    </row>
    <row r="13033" spans="46:46">
      <c r="AT13033"/>
    </row>
    <row r="13034" spans="46:46">
      <c r="AT13034"/>
    </row>
    <row r="13035" spans="46:46">
      <c r="AT13035"/>
    </row>
    <row r="13036" spans="46:46">
      <c r="AT13036"/>
    </row>
    <row r="13037" spans="46:46">
      <c r="AT13037"/>
    </row>
    <row r="13038" spans="46:46">
      <c r="AT13038"/>
    </row>
    <row r="13039" spans="46:46">
      <c r="AT13039"/>
    </row>
    <row r="13040" spans="46:46">
      <c r="AT13040"/>
    </row>
    <row r="13041" spans="46:46">
      <c r="AT13041"/>
    </row>
    <row r="13042" spans="46:46">
      <c r="AT13042"/>
    </row>
    <row r="13043" spans="46:46">
      <c r="AT13043"/>
    </row>
    <row r="13044" spans="46:46">
      <c r="AT13044"/>
    </row>
    <row r="13045" spans="46:46">
      <c r="AT13045"/>
    </row>
    <row r="13046" spans="46:46">
      <c r="AT13046"/>
    </row>
    <row r="13047" spans="46:46">
      <c r="AT13047"/>
    </row>
    <row r="13048" spans="46:46">
      <c r="AT13048"/>
    </row>
    <row r="13049" spans="46:46">
      <c r="AT13049"/>
    </row>
    <row r="13050" spans="46:46">
      <c r="AT13050"/>
    </row>
    <row r="13051" spans="46:46">
      <c r="AT13051"/>
    </row>
    <row r="13052" spans="46:46">
      <c r="AT13052"/>
    </row>
    <row r="13053" spans="46:46">
      <c r="AT13053"/>
    </row>
    <row r="13054" spans="46:46">
      <c r="AT13054"/>
    </row>
    <row r="13055" spans="46:46">
      <c r="AT13055"/>
    </row>
    <row r="13056" spans="46:46">
      <c r="AT13056"/>
    </row>
    <row r="13057" spans="46:46">
      <c r="AT13057"/>
    </row>
    <row r="13058" spans="46:46">
      <c r="AT13058"/>
    </row>
    <row r="13059" spans="46:46">
      <c r="AT13059"/>
    </row>
    <row r="13060" spans="46:46">
      <c r="AT13060"/>
    </row>
    <row r="13061" spans="46:46">
      <c r="AT13061"/>
    </row>
    <row r="13062" spans="46:46">
      <c r="AT13062"/>
    </row>
    <row r="13063" spans="46:46">
      <c r="AT13063"/>
    </row>
    <row r="13064" spans="46:46">
      <c r="AT13064"/>
    </row>
    <row r="13065" spans="46:46">
      <c r="AT13065"/>
    </row>
    <row r="13066" spans="46:46">
      <c r="AT13066"/>
    </row>
    <row r="13067" spans="46:46">
      <c r="AT13067"/>
    </row>
    <row r="13068" spans="46:46">
      <c r="AT13068"/>
    </row>
    <row r="13069" spans="46:46">
      <c r="AT13069"/>
    </row>
    <row r="13070" spans="46:46">
      <c r="AT13070"/>
    </row>
    <row r="13071" spans="46:46">
      <c r="AT13071"/>
    </row>
    <row r="13072" spans="46:46">
      <c r="AT13072"/>
    </row>
    <row r="13073" spans="46:46">
      <c r="AT13073"/>
    </row>
    <row r="13074" spans="46:46">
      <c r="AT13074"/>
    </row>
    <row r="13075" spans="46:46">
      <c r="AT13075"/>
    </row>
    <row r="13076" spans="46:46">
      <c r="AT13076"/>
    </row>
    <row r="13077" spans="46:46">
      <c r="AT13077"/>
    </row>
    <row r="13078" spans="46:46">
      <c r="AT13078"/>
    </row>
    <row r="13079" spans="46:46">
      <c r="AT13079"/>
    </row>
    <row r="13080" spans="46:46">
      <c r="AT13080"/>
    </row>
    <row r="13081" spans="46:46">
      <c r="AT13081"/>
    </row>
    <row r="13082" spans="46:46">
      <c r="AT13082"/>
    </row>
    <row r="13083" spans="46:46">
      <c r="AT13083"/>
    </row>
    <row r="13084" spans="46:46">
      <c r="AT13084"/>
    </row>
    <row r="13085" spans="46:46">
      <c r="AT13085"/>
    </row>
    <row r="13086" spans="46:46">
      <c r="AT13086"/>
    </row>
    <row r="13087" spans="46:46">
      <c r="AT13087"/>
    </row>
    <row r="13088" spans="46:46">
      <c r="AT13088"/>
    </row>
    <row r="13089" spans="46:46">
      <c r="AT13089"/>
    </row>
    <row r="13090" spans="46:46">
      <c r="AT13090"/>
    </row>
    <row r="13091" spans="46:46">
      <c r="AT13091"/>
    </row>
    <row r="13092" spans="46:46">
      <c r="AT13092"/>
    </row>
    <row r="13093" spans="46:46">
      <c r="AT13093"/>
    </row>
    <row r="13094" spans="46:46">
      <c r="AT13094"/>
    </row>
    <row r="13095" spans="46:46">
      <c r="AT13095"/>
    </row>
    <row r="13096" spans="46:46">
      <c r="AT13096"/>
    </row>
    <row r="13097" spans="46:46">
      <c r="AT13097"/>
    </row>
    <row r="13098" spans="46:46">
      <c r="AT13098"/>
    </row>
    <row r="13099" spans="46:46">
      <c r="AT13099"/>
    </row>
    <row r="13100" spans="46:46">
      <c r="AT13100"/>
    </row>
    <row r="13101" spans="46:46">
      <c r="AT13101"/>
    </row>
    <row r="13102" spans="46:46">
      <c r="AT13102"/>
    </row>
    <row r="13103" spans="46:46">
      <c r="AT13103"/>
    </row>
    <row r="13104" spans="46:46">
      <c r="AT13104"/>
    </row>
    <row r="13105" spans="46:46">
      <c r="AT13105"/>
    </row>
    <row r="13106" spans="46:46">
      <c r="AT13106"/>
    </row>
    <row r="13107" spans="46:46">
      <c r="AT13107"/>
    </row>
    <row r="13108" spans="46:46">
      <c r="AT13108"/>
    </row>
    <row r="13109" spans="46:46">
      <c r="AT13109"/>
    </row>
    <row r="13110" spans="46:46">
      <c r="AT13110"/>
    </row>
    <row r="13111" spans="46:46">
      <c r="AT13111"/>
    </row>
    <row r="13112" spans="46:46">
      <c r="AT13112"/>
    </row>
    <row r="13113" spans="46:46">
      <c r="AT13113"/>
    </row>
    <row r="13114" spans="46:46">
      <c r="AT13114"/>
    </row>
    <row r="13115" spans="46:46">
      <c r="AT13115"/>
    </row>
    <row r="13116" spans="46:46">
      <c r="AT13116"/>
    </row>
    <row r="13117" spans="46:46">
      <c r="AT13117"/>
    </row>
    <row r="13118" spans="46:46">
      <c r="AT13118"/>
    </row>
    <row r="13119" spans="46:46">
      <c r="AT13119"/>
    </row>
    <row r="13120" spans="46:46">
      <c r="AT13120"/>
    </row>
    <row r="13121" spans="46:46">
      <c r="AT13121"/>
    </row>
    <row r="13122" spans="46:46">
      <c r="AT13122"/>
    </row>
    <row r="13123" spans="46:46">
      <c r="AT13123"/>
    </row>
    <row r="13124" spans="46:46">
      <c r="AT13124"/>
    </row>
    <row r="13125" spans="46:46">
      <c r="AT13125"/>
    </row>
    <row r="13126" spans="46:46">
      <c r="AT13126"/>
    </row>
    <row r="13127" spans="46:46">
      <c r="AT13127"/>
    </row>
    <row r="13128" spans="46:46">
      <c r="AT13128"/>
    </row>
    <row r="13129" spans="46:46">
      <c r="AT13129"/>
    </row>
    <row r="13130" spans="46:46">
      <c r="AT13130"/>
    </row>
    <row r="13131" spans="46:46">
      <c r="AT13131"/>
    </row>
    <row r="13132" spans="46:46">
      <c r="AT13132"/>
    </row>
    <row r="13133" spans="46:46">
      <c r="AT13133"/>
    </row>
    <row r="13134" spans="46:46">
      <c r="AT13134"/>
    </row>
    <row r="13135" spans="46:46">
      <c r="AT13135"/>
    </row>
    <row r="13136" spans="46:46">
      <c r="AT13136"/>
    </row>
    <row r="13137" spans="46:46">
      <c r="AT13137"/>
    </row>
    <row r="13138" spans="46:46">
      <c r="AT13138"/>
    </row>
    <row r="13139" spans="46:46">
      <c r="AT13139"/>
    </row>
    <row r="13140" spans="46:46">
      <c r="AT13140"/>
    </row>
    <row r="13141" spans="46:46">
      <c r="AT13141"/>
    </row>
    <row r="13142" spans="46:46">
      <c r="AT13142"/>
    </row>
    <row r="13143" spans="46:46">
      <c r="AT13143"/>
    </row>
    <row r="13144" spans="46:46">
      <c r="AT13144"/>
    </row>
    <row r="13145" spans="46:46">
      <c r="AT13145"/>
    </row>
    <row r="13146" spans="46:46">
      <c r="AT13146"/>
    </row>
    <row r="13147" spans="46:46">
      <c r="AT13147"/>
    </row>
    <row r="13148" spans="46:46">
      <c r="AT13148"/>
    </row>
    <row r="13149" spans="46:46">
      <c r="AT13149"/>
    </row>
    <row r="13150" spans="46:46">
      <c r="AT13150"/>
    </row>
    <row r="13151" spans="46:46">
      <c r="AT13151"/>
    </row>
    <row r="13152" spans="46:46">
      <c r="AT13152"/>
    </row>
    <row r="13153" spans="46:46">
      <c r="AT13153"/>
    </row>
    <row r="13154" spans="46:46">
      <c r="AT13154"/>
    </row>
    <row r="13155" spans="46:46">
      <c r="AT13155"/>
    </row>
    <row r="13156" spans="46:46">
      <c r="AT13156"/>
    </row>
    <row r="13157" spans="46:46">
      <c r="AT13157"/>
    </row>
    <row r="13158" spans="46:46">
      <c r="AT13158"/>
    </row>
    <row r="13159" spans="46:46">
      <c r="AT13159"/>
    </row>
    <row r="13160" spans="46:46">
      <c r="AT13160"/>
    </row>
    <row r="13161" spans="46:46">
      <c r="AT13161"/>
    </row>
    <row r="13162" spans="46:46">
      <c r="AT13162"/>
    </row>
    <row r="13163" spans="46:46">
      <c r="AT13163"/>
    </row>
    <row r="13164" spans="46:46">
      <c r="AT13164"/>
    </row>
    <row r="13165" spans="46:46">
      <c r="AT13165"/>
    </row>
    <row r="13166" spans="46:46">
      <c r="AT13166"/>
    </row>
    <row r="13167" spans="46:46">
      <c r="AT13167"/>
    </row>
    <row r="13168" spans="46:46">
      <c r="AT13168"/>
    </row>
    <row r="13169" spans="46:46">
      <c r="AT13169"/>
    </row>
    <row r="13170" spans="46:46">
      <c r="AT13170"/>
    </row>
    <row r="13171" spans="46:46">
      <c r="AT13171"/>
    </row>
    <row r="13172" spans="46:46">
      <c r="AT13172"/>
    </row>
    <row r="13173" spans="46:46">
      <c r="AT13173"/>
    </row>
    <row r="13174" spans="46:46">
      <c r="AT13174"/>
    </row>
    <row r="13175" spans="46:46">
      <c r="AT13175"/>
    </row>
    <row r="13176" spans="46:46">
      <c r="AT13176"/>
    </row>
    <row r="13177" spans="46:46">
      <c r="AT13177"/>
    </row>
    <row r="13178" spans="46:46">
      <c r="AT13178"/>
    </row>
    <row r="13179" spans="46:46">
      <c r="AT13179"/>
    </row>
    <row r="13180" spans="46:46">
      <c r="AT13180"/>
    </row>
    <row r="13181" spans="46:46">
      <c r="AT13181"/>
    </row>
    <row r="13182" spans="46:46">
      <c r="AT13182"/>
    </row>
    <row r="13183" spans="46:46">
      <c r="AT13183"/>
    </row>
    <row r="13184" spans="46:46">
      <c r="AT13184"/>
    </row>
    <row r="13185" spans="46:46">
      <c r="AT13185"/>
    </row>
    <row r="13186" spans="46:46">
      <c r="AT13186"/>
    </row>
    <row r="13187" spans="46:46">
      <c r="AT13187"/>
    </row>
    <row r="13188" spans="46:46">
      <c r="AT13188"/>
    </row>
    <row r="13189" spans="46:46">
      <c r="AT13189"/>
    </row>
    <row r="13190" spans="46:46">
      <c r="AT13190"/>
    </row>
    <row r="13191" spans="46:46">
      <c r="AT13191"/>
    </row>
    <row r="13192" spans="46:46">
      <c r="AT13192"/>
    </row>
    <row r="13193" spans="46:46">
      <c r="AT13193"/>
    </row>
    <row r="13194" spans="46:46">
      <c r="AT13194"/>
    </row>
    <row r="13195" spans="46:46">
      <c r="AT13195"/>
    </row>
    <row r="13196" spans="46:46">
      <c r="AT13196"/>
    </row>
    <row r="13197" spans="46:46">
      <c r="AT13197"/>
    </row>
    <row r="13198" spans="46:46">
      <c r="AT13198"/>
    </row>
    <row r="13199" spans="46:46">
      <c r="AT13199"/>
    </row>
    <row r="13200" spans="46:46">
      <c r="AT13200"/>
    </row>
    <row r="13201" spans="46:46">
      <c r="AT13201"/>
    </row>
    <row r="13202" spans="46:46">
      <c r="AT13202"/>
    </row>
    <row r="13203" spans="46:46">
      <c r="AT13203"/>
    </row>
    <row r="13204" spans="46:46">
      <c r="AT13204"/>
    </row>
    <row r="13205" spans="46:46">
      <c r="AT13205"/>
    </row>
    <row r="13206" spans="46:46">
      <c r="AT13206"/>
    </row>
    <row r="13207" spans="46:46">
      <c r="AT13207"/>
    </row>
    <row r="13208" spans="46:46">
      <c r="AT13208"/>
    </row>
    <row r="13209" spans="46:46">
      <c r="AT13209"/>
    </row>
    <row r="13210" spans="46:46">
      <c r="AT13210"/>
    </row>
    <row r="13211" spans="46:46">
      <c r="AT13211"/>
    </row>
    <row r="13212" spans="46:46">
      <c r="AT13212"/>
    </row>
    <row r="13213" spans="46:46">
      <c r="AT13213"/>
    </row>
    <row r="13214" spans="46:46">
      <c r="AT13214"/>
    </row>
    <row r="13215" spans="46:46">
      <c r="AT13215"/>
    </row>
    <row r="13216" spans="46:46">
      <c r="AT13216"/>
    </row>
    <row r="13217" spans="46:46">
      <c r="AT13217"/>
    </row>
    <row r="13218" spans="46:46">
      <c r="AT13218"/>
    </row>
    <row r="13219" spans="46:46">
      <c r="AT13219"/>
    </row>
    <row r="13220" spans="46:46">
      <c r="AT13220"/>
    </row>
    <row r="13221" spans="46:46">
      <c r="AT13221"/>
    </row>
    <row r="13222" spans="46:46">
      <c r="AT13222"/>
    </row>
    <row r="13223" spans="46:46">
      <c r="AT13223"/>
    </row>
    <row r="13224" spans="46:46">
      <c r="AT13224"/>
    </row>
    <row r="13225" spans="46:46">
      <c r="AT13225"/>
    </row>
    <row r="13226" spans="46:46">
      <c r="AT13226"/>
    </row>
    <row r="13227" spans="46:46">
      <c r="AT13227"/>
    </row>
    <row r="13228" spans="46:46">
      <c r="AT13228"/>
    </row>
    <row r="13229" spans="46:46">
      <c r="AT13229"/>
    </row>
    <row r="13230" spans="46:46">
      <c r="AT13230"/>
    </row>
    <row r="13231" spans="46:46">
      <c r="AT13231"/>
    </row>
    <row r="13232" spans="46:46">
      <c r="AT13232"/>
    </row>
    <row r="13233" spans="46:46">
      <c r="AT13233"/>
    </row>
    <row r="13234" spans="46:46">
      <c r="AT13234"/>
    </row>
    <row r="13235" spans="46:46">
      <c r="AT13235"/>
    </row>
    <row r="13236" spans="46:46">
      <c r="AT13236"/>
    </row>
    <row r="13237" spans="46:46">
      <c r="AT13237"/>
    </row>
    <row r="13238" spans="46:46">
      <c r="AT13238"/>
    </row>
    <row r="13239" spans="46:46">
      <c r="AT13239"/>
    </row>
    <row r="13240" spans="46:46">
      <c r="AT13240"/>
    </row>
    <row r="13241" spans="46:46">
      <c r="AT13241"/>
    </row>
    <row r="13242" spans="46:46">
      <c r="AT13242"/>
    </row>
    <row r="13243" spans="46:46">
      <c r="AT13243"/>
    </row>
    <row r="13244" spans="46:46">
      <c r="AT13244"/>
    </row>
    <row r="13245" spans="46:46">
      <c r="AT13245"/>
    </row>
    <row r="13246" spans="46:46">
      <c r="AT13246"/>
    </row>
    <row r="13247" spans="46:46">
      <c r="AT13247"/>
    </row>
    <row r="13248" spans="46:46">
      <c r="AT13248"/>
    </row>
    <row r="13249" spans="46:46">
      <c r="AT13249"/>
    </row>
    <row r="13250" spans="46:46">
      <c r="AT13250"/>
    </row>
    <row r="13251" spans="46:46">
      <c r="AT13251"/>
    </row>
    <row r="13252" spans="46:46">
      <c r="AT13252"/>
    </row>
    <row r="13253" spans="46:46">
      <c r="AT13253"/>
    </row>
    <row r="13254" spans="46:46">
      <c r="AT13254"/>
    </row>
    <row r="13255" spans="46:46">
      <c r="AT13255"/>
    </row>
    <row r="13256" spans="46:46">
      <c r="AT13256"/>
    </row>
    <row r="13257" spans="46:46">
      <c r="AT13257"/>
    </row>
    <row r="13258" spans="46:46">
      <c r="AT13258"/>
    </row>
    <row r="13259" spans="46:46">
      <c r="AT13259"/>
    </row>
    <row r="13260" spans="46:46">
      <c r="AT13260"/>
    </row>
    <row r="13261" spans="46:46">
      <c r="AT13261"/>
    </row>
    <row r="13262" spans="46:46">
      <c r="AT13262"/>
    </row>
    <row r="13263" spans="46:46">
      <c r="AT13263"/>
    </row>
    <row r="13264" spans="46:46">
      <c r="AT13264"/>
    </row>
    <row r="13265" spans="46:46">
      <c r="AT13265"/>
    </row>
    <row r="13266" spans="46:46">
      <c r="AT13266"/>
    </row>
    <row r="13267" spans="46:46">
      <c r="AT13267"/>
    </row>
    <row r="13268" spans="46:46">
      <c r="AT13268"/>
    </row>
    <row r="13269" spans="46:46">
      <c r="AT13269"/>
    </row>
    <row r="13270" spans="46:46">
      <c r="AT13270"/>
    </row>
    <row r="13271" spans="46:46">
      <c r="AT13271"/>
    </row>
    <row r="13272" spans="46:46">
      <c r="AT13272"/>
    </row>
    <row r="13273" spans="46:46">
      <c r="AT13273"/>
    </row>
    <row r="13274" spans="46:46">
      <c r="AT13274"/>
    </row>
    <row r="13275" spans="46:46">
      <c r="AT13275"/>
    </row>
    <row r="13276" spans="46:46">
      <c r="AT13276"/>
    </row>
    <row r="13277" spans="46:46">
      <c r="AT13277"/>
    </row>
    <row r="13278" spans="46:46">
      <c r="AT13278"/>
    </row>
    <row r="13279" spans="46:46">
      <c r="AT13279"/>
    </row>
    <row r="13280" spans="46:46">
      <c r="AT13280"/>
    </row>
    <row r="13281" spans="46:46">
      <c r="AT13281"/>
    </row>
    <row r="13282" spans="46:46">
      <c r="AT13282"/>
    </row>
    <row r="13283" spans="46:46">
      <c r="AT13283"/>
    </row>
    <row r="13284" spans="46:46">
      <c r="AT13284"/>
    </row>
    <row r="13285" spans="46:46">
      <c r="AT13285"/>
    </row>
    <row r="13286" spans="46:46">
      <c r="AT13286"/>
    </row>
    <row r="13287" spans="46:46">
      <c r="AT13287"/>
    </row>
    <row r="13288" spans="46:46">
      <c r="AT13288"/>
    </row>
    <row r="13289" spans="46:46">
      <c r="AT13289"/>
    </row>
    <row r="13290" spans="46:46">
      <c r="AT13290"/>
    </row>
    <row r="13291" spans="46:46">
      <c r="AT13291"/>
    </row>
    <row r="13292" spans="46:46">
      <c r="AT13292"/>
    </row>
    <row r="13293" spans="46:46">
      <c r="AT13293"/>
    </row>
    <row r="13294" spans="46:46">
      <c r="AT13294"/>
    </row>
    <row r="13295" spans="46:46">
      <c r="AT13295"/>
    </row>
    <row r="13296" spans="46:46">
      <c r="AT13296"/>
    </row>
    <row r="13297" spans="46:46">
      <c r="AT13297"/>
    </row>
    <row r="13298" spans="46:46">
      <c r="AT13298"/>
    </row>
    <row r="13299" spans="46:46">
      <c r="AT13299"/>
    </row>
    <row r="13300" spans="46:46">
      <c r="AT13300"/>
    </row>
    <row r="13301" spans="46:46">
      <c r="AT13301"/>
    </row>
    <row r="13302" spans="46:46">
      <c r="AT13302"/>
    </row>
    <row r="13303" spans="46:46">
      <c r="AT13303"/>
    </row>
    <row r="13304" spans="46:46">
      <c r="AT13304"/>
    </row>
    <row r="13305" spans="46:46">
      <c r="AT13305"/>
    </row>
    <row r="13306" spans="46:46">
      <c r="AT13306"/>
    </row>
    <row r="13307" spans="46:46">
      <c r="AT13307"/>
    </row>
    <row r="13308" spans="46:46">
      <c r="AT13308"/>
    </row>
    <row r="13309" spans="46:46">
      <c r="AT13309"/>
    </row>
    <row r="13310" spans="46:46">
      <c r="AT13310"/>
    </row>
    <row r="13311" spans="46:46">
      <c r="AT13311"/>
    </row>
    <row r="13312" spans="46:46">
      <c r="AT13312"/>
    </row>
    <row r="13313" spans="46:46">
      <c r="AT13313"/>
    </row>
    <row r="13314" spans="46:46">
      <c r="AT13314"/>
    </row>
    <row r="13315" spans="46:46">
      <c r="AT13315"/>
    </row>
    <row r="13316" spans="46:46">
      <c r="AT13316"/>
    </row>
    <row r="13317" spans="46:46">
      <c r="AT13317"/>
    </row>
    <row r="13318" spans="46:46">
      <c r="AT13318"/>
    </row>
    <row r="13319" spans="46:46">
      <c r="AT13319"/>
    </row>
    <row r="13320" spans="46:46">
      <c r="AT13320"/>
    </row>
    <row r="13321" spans="46:46">
      <c r="AT13321"/>
    </row>
    <row r="13322" spans="46:46">
      <c r="AT13322"/>
    </row>
    <row r="13323" spans="46:46">
      <c r="AT13323"/>
    </row>
    <row r="13324" spans="46:46">
      <c r="AT13324"/>
    </row>
    <row r="13325" spans="46:46">
      <c r="AT13325"/>
    </row>
    <row r="13326" spans="46:46">
      <c r="AT13326"/>
    </row>
    <row r="13327" spans="46:46">
      <c r="AT13327"/>
    </row>
    <row r="13328" spans="46:46">
      <c r="AT13328"/>
    </row>
    <row r="13329" spans="46:46">
      <c r="AT13329"/>
    </row>
    <row r="13330" spans="46:46">
      <c r="AT13330"/>
    </row>
    <row r="13331" spans="46:46">
      <c r="AT13331"/>
    </row>
    <row r="13332" spans="46:46">
      <c r="AT13332"/>
    </row>
    <row r="13333" spans="46:46">
      <c r="AT13333"/>
    </row>
    <row r="13334" spans="46:46">
      <c r="AT13334"/>
    </row>
    <row r="13335" spans="46:46">
      <c r="AT13335"/>
    </row>
    <row r="13336" spans="46:46">
      <c r="AT13336"/>
    </row>
    <row r="13337" spans="46:46">
      <c r="AT13337"/>
    </row>
    <row r="13338" spans="46:46">
      <c r="AT13338"/>
    </row>
    <row r="13339" spans="46:46">
      <c r="AT13339"/>
    </row>
    <row r="13340" spans="46:46">
      <c r="AT13340"/>
    </row>
    <row r="13341" spans="46:46">
      <c r="AT13341"/>
    </row>
    <row r="13342" spans="46:46">
      <c r="AT13342"/>
    </row>
    <row r="13343" spans="46:46">
      <c r="AT13343"/>
    </row>
    <row r="13344" spans="46:46">
      <c r="AT13344"/>
    </row>
    <row r="13345" spans="46:46">
      <c r="AT13345"/>
    </row>
    <row r="13346" spans="46:46">
      <c r="AT13346"/>
    </row>
    <row r="13347" spans="46:46">
      <c r="AT13347"/>
    </row>
    <row r="13348" spans="46:46">
      <c r="AT13348"/>
    </row>
    <row r="13349" spans="46:46">
      <c r="AT13349"/>
    </row>
    <row r="13350" spans="46:46">
      <c r="AT13350"/>
    </row>
    <row r="13351" spans="46:46">
      <c r="AT13351"/>
    </row>
    <row r="13352" spans="46:46">
      <c r="AT13352"/>
    </row>
    <row r="13353" spans="46:46">
      <c r="AT13353"/>
    </row>
    <row r="13354" spans="46:46">
      <c r="AT13354"/>
    </row>
    <row r="13355" spans="46:46">
      <c r="AT13355"/>
    </row>
    <row r="13356" spans="46:46">
      <c r="AT13356"/>
    </row>
    <row r="13357" spans="46:46">
      <c r="AT13357"/>
    </row>
    <row r="13358" spans="46:46">
      <c r="AT13358"/>
    </row>
    <row r="13359" spans="46:46">
      <c r="AT13359"/>
    </row>
    <row r="13360" spans="46:46">
      <c r="AT13360"/>
    </row>
    <row r="13361" spans="46:46">
      <c r="AT13361"/>
    </row>
    <row r="13362" spans="46:46">
      <c r="AT13362"/>
    </row>
    <row r="13363" spans="46:46">
      <c r="AT13363"/>
    </row>
    <row r="13364" spans="46:46">
      <c r="AT13364"/>
    </row>
    <row r="13365" spans="46:46">
      <c r="AT13365"/>
    </row>
    <row r="13366" spans="46:46">
      <c r="AT13366"/>
    </row>
    <row r="13367" spans="46:46">
      <c r="AT13367"/>
    </row>
    <row r="13368" spans="46:46">
      <c r="AT13368"/>
    </row>
    <row r="13369" spans="46:46">
      <c r="AT13369"/>
    </row>
    <row r="13370" spans="46:46">
      <c r="AT13370"/>
    </row>
    <row r="13371" spans="46:46">
      <c r="AT13371"/>
    </row>
    <row r="13372" spans="46:46">
      <c r="AT13372"/>
    </row>
    <row r="13373" spans="46:46">
      <c r="AT13373"/>
    </row>
    <row r="13374" spans="46:46">
      <c r="AT13374"/>
    </row>
    <row r="13375" spans="46:46">
      <c r="AT13375"/>
    </row>
    <row r="13376" spans="46:46">
      <c r="AT13376"/>
    </row>
    <row r="13377" spans="46:46">
      <c r="AT13377"/>
    </row>
    <row r="13378" spans="46:46">
      <c r="AT13378"/>
    </row>
    <row r="13379" spans="46:46">
      <c r="AT13379"/>
    </row>
    <row r="13380" spans="46:46">
      <c r="AT13380"/>
    </row>
    <row r="13381" spans="46:46">
      <c r="AT13381"/>
    </row>
    <row r="13382" spans="46:46">
      <c r="AT13382"/>
    </row>
    <row r="13383" spans="46:46">
      <c r="AT13383"/>
    </row>
    <row r="13384" spans="46:46">
      <c r="AT13384"/>
    </row>
    <row r="13385" spans="46:46">
      <c r="AT13385"/>
    </row>
    <row r="13386" spans="46:46">
      <c r="AT13386"/>
    </row>
    <row r="13387" spans="46:46">
      <c r="AT13387"/>
    </row>
    <row r="13388" spans="46:46">
      <c r="AT13388"/>
    </row>
    <row r="13389" spans="46:46">
      <c r="AT13389"/>
    </row>
    <row r="13390" spans="46:46">
      <c r="AT13390"/>
    </row>
    <row r="13391" spans="46:46">
      <c r="AT13391"/>
    </row>
    <row r="13392" spans="46:46">
      <c r="AT13392"/>
    </row>
    <row r="13393" spans="46:46">
      <c r="AT13393"/>
    </row>
    <row r="13394" spans="46:46">
      <c r="AT13394"/>
    </row>
    <row r="13395" spans="46:46">
      <c r="AT13395"/>
    </row>
    <row r="13396" spans="46:46">
      <c r="AT13396"/>
    </row>
    <row r="13397" spans="46:46">
      <c r="AT13397"/>
    </row>
    <row r="13398" spans="46:46">
      <c r="AT13398"/>
    </row>
    <row r="13399" spans="46:46">
      <c r="AT13399"/>
    </row>
    <row r="13400" spans="46:46">
      <c r="AT13400"/>
    </row>
    <row r="13401" spans="46:46">
      <c r="AT13401"/>
    </row>
    <row r="13402" spans="46:46">
      <c r="AT13402"/>
    </row>
    <row r="13403" spans="46:46">
      <c r="AT13403"/>
    </row>
    <row r="13404" spans="46:46">
      <c r="AT13404"/>
    </row>
    <row r="13405" spans="46:46">
      <c r="AT13405"/>
    </row>
    <row r="13406" spans="46:46">
      <c r="AT13406"/>
    </row>
    <row r="13407" spans="46:46">
      <c r="AT13407"/>
    </row>
    <row r="13408" spans="46:46">
      <c r="AT13408"/>
    </row>
    <row r="13409" spans="46:46">
      <c r="AT13409"/>
    </row>
    <row r="13410" spans="46:46">
      <c r="AT13410"/>
    </row>
    <row r="13411" spans="46:46">
      <c r="AT13411"/>
    </row>
    <row r="13412" spans="46:46">
      <c r="AT13412"/>
    </row>
    <row r="13413" spans="46:46">
      <c r="AT13413"/>
    </row>
    <row r="13414" spans="46:46">
      <c r="AT13414"/>
    </row>
    <row r="13415" spans="46:46">
      <c r="AT13415"/>
    </row>
    <row r="13416" spans="46:46">
      <c r="AT13416"/>
    </row>
    <row r="13417" spans="46:46">
      <c r="AT13417"/>
    </row>
    <row r="13418" spans="46:46">
      <c r="AT13418"/>
    </row>
    <row r="13419" spans="46:46">
      <c r="AT13419"/>
    </row>
    <row r="13420" spans="46:46">
      <c r="AT13420"/>
    </row>
    <row r="13421" spans="46:46">
      <c r="AT13421"/>
    </row>
    <row r="13422" spans="46:46">
      <c r="AT13422"/>
    </row>
    <row r="13423" spans="46:46">
      <c r="AT13423"/>
    </row>
    <row r="13424" spans="46:46">
      <c r="AT13424"/>
    </row>
    <row r="13425" spans="46:46">
      <c r="AT13425"/>
    </row>
    <row r="13426" spans="46:46">
      <c r="AT13426"/>
    </row>
    <row r="13427" spans="46:46">
      <c r="AT13427"/>
    </row>
    <row r="13428" spans="46:46">
      <c r="AT13428"/>
    </row>
    <row r="13429" spans="46:46">
      <c r="AT13429"/>
    </row>
    <row r="13430" spans="46:46">
      <c r="AT13430"/>
    </row>
    <row r="13431" spans="46:46">
      <c r="AT13431"/>
    </row>
    <row r="13432" spans="46:46">
      <c r="AT13432"/>
    </row>
    <row r="13433" spans="46:46">
      <c r="AT13433"/>
    </row>
    <row r="13434" spans="46:46">
      <c r="AT13434"/>
    </row>
    <row r="13435" spans="46:46">
      <c r="AT13435"/>
    </row>
    <row r="13436" spans="46:46">
      <c r="AT13436"/>
    </row>
    <row r="13437" spans="46:46">
      <c r="AT13437"/>
    </row>
    <row r="13438" spans="46:46">
      <c r="AT13438"/>
    </row>
    <row r="13439" spans="46:46">
      <c r="AT13439"/>
    </row>
    <row r="13440" spans="46:46">
      <c r="AT13440"/>
    </row>
    <row r="13441" spans="46:46">
      <c r="AT13441"/>
    </row>
    <row r="13442" spans="46:46">
      <c r="AT13442"/>
    </row>
    <row r="13443" spans="46:46">
      <c r="AT13443"/>
    </row>
    <row r="13444" spans="46:46">
      <c r="AT13444"/>
    </row>
    <row r="13445" spans="46:46">
      <c r="AT13445"/>
    </row>
    <row r="13446" spans="46:46">
      <c r="AT13446"/>
    </row>
    <row r="13447" spans="46:46">
      <c r="AT13447"/>
    </row>
    <row r="13448" spans="46:46">
      <c r="AT13448"/>
    </row>
    <row r="13449" spans="46:46">
      <c r="AT13449"/>
    </row>
    <row r="13450" spans="46:46">
      <c r="AT13450"/>
    </row>
    <row r="13451" spans="46:46">
      <c r="AT13451"/>
    </row>
    <row r="13452" spans="46:46">
      <c r="AT13452"/>
    </row>
    <row r="13453" spans="46:46">
      <c r="AT13453"/>
    </row>
    <row r="13454" spans="46:46">
      <c r="AT13454"/>
    </row>
    <row r="13455" spans="46:46">
      <c r="AT13455"/>
    </row>
    <row r="13456" spans="46:46">
      <c r="AT13456"/>
    </row>
    <row r="13457" spans="46:46">
      <c r="AT13457"/>
    </row>
    <row r="13458" spans="46:46">
      <c r="AT13458"/>
    </row>
    <row r="13459" spans="46:46">
      <c r="AT13459"/>
    </row>
    <row r="13460" spans="46:46">
      <c r="AT13460"/>
    </row>
    <row r="13461" spans="46:46">
      <c r="AT13461"/>
    </row>
    <row r="13462" spans="46:46">
      <c r="AT13462"/>
    </row>
    <row r="13463" spans="46:46">
      <c r="AT13463"/>
    </row>
    <row r="13464" spans="46:46">
      <c r="AT13464"/>
    </row>
    <row r="13465" spans="46:46">
      <c r="AT13465"/>
    </row>
    <row r="13466" spans="46:46">
      <c r="AT13466"/>
    </row>
    <row r="13467" spans="46:46">
      <c r="AT13467"/>
    </row>
    <row r="13468" spans="46:46">
      <c r="AT13468"/>
    </row>
    <row r="13469" spans="46:46">
      <c r="AT13469"/>
    </row>
    <row r="13470" spans="46:46">
      <c r="AT13470"/>
    </row>
    <row r="13471" spans="46:46">
      <c r="AT13471"/>
    </row>
    <row r="13472" spans="46:46">
      <c r="AT13472"/>
    </row>
    <row r="13473" spans="46:46">
      <c r="AT13473"/>
    </row>
    <row r="13474" spans="46:46">
      <c r="AT13474"/>
    </row>
    <row r="13475" spans="46:46">
      <c r="AT13475"/>
    </row>
    <row r="13476" spans="46:46">
      <c r="AT13476"/>
    </row>
    <row r="13477" spans="46:46">
      <c r="AT13477"/>
    </row>
    <row r="13478" spans="46:46">
      <c r="AT13478"/>
    </row>
    <row r="13479" spans="46:46">
      <c r="AT13479"/>
    </row>
    <row r="13480" spans="46:46">
      <c r="AT13480"/>
    </row>
    <row r="13481" spans="46:46">
      <c r="AT13481"/>
    </row>
    <row r="13482" spans="46:46">
      <c r="AT13482"/>
    </row>
    <row r="13483" spans="46:46">
      <c r="AT13483"/>
    </row>
    <row r="13484" spans="46:46">
      <c r="AT13484"/>
    </row>
    <row r="13485" spans="46:46">
      <c r="AT13485"/>
    </row>
    <row r="13486" spans="46:46">
      <c r="AT13486"/>
    </row>
    <row r="13487" spans="46:46">
      <c r="AT13487"/>
    </row>
    <row r="13488" spans="46:46">
      <c r="AT13488"/>
    </row>
    <row r="13489" spans="46:46">
      <c r="AT13489"/>
    </row>
    <row r="13490" spans="46:46">
      <c r="AT13490"/>
    </row>
    <row r="13491" spans="46:46">
      <c r="AT13491"/>
    </row>
    <row r="13492" spans="46:46">
      <c r="AT13492"/>
    </row>
    <row r="13493" spans="46:46">
      <c r="AT13493"/>
    </row>
    <row r="13494" spans="46:46">
      <c r="AT13494"/>
    </row>
    <row r="13495" spans="46:46">
      <c r="AT13495"/>
    </row>
    <row r="13496" spans="46:46">
      <c r="AT13496"/>
    </row>
    <row r="13497" spans="46:46">
      <c r="AT13497"/>
    </row>
    <row r="13498" spans="46:46">
      <c r="AT13498"/>
    </row>
    <row r="13499" spans="46:46">
      <c r="AT13499"/>
    </row>
    <row r="13500" spans="46:46">
      <c r="AT13500"/>
    </row>
    <row r="13501" spans="46:46">
      <c r="AT13501"/>
    </row>
    <row r="13502" spans="46:46">
      <c r="AT13502"/>
    </row>
    <row r="13503" spans="46:46">
      <c r="AT13503"/>
    </row>
    <row r="13504" spans="46:46">
      <c r="AT13504"/>
    </row>
    <row r="13505" spans="46:46">
      <c r="AT13505"/>
    </row>
    <row r="13506" spans="46:46">
      <c r="AT13506"/>
    </row>
    <row r="13507" spans="46:46">
      <c r="AT13507"/>
    </row>
    <row r="13508" spans="46:46">
      <c r="AT13508"/>
    </row>
    <row r="13509" spans="46:46">
      <c r="AT13509"/>
    </row>
    <row r="13510" spans="46:46">
      <c r="AT13510"/>
    </row>
    <row r="13511" spans="46:46">
      <c r="AT13511"/>
    </row>
    <row r="13512" spans="46:46">
      <c r="AT13512"/>
    </row>
    <row r="13513" spans="46:46">
      <c r="AT13513"/>
    </row>
    <row r="13514" spans="46:46">
      <c r="AT13514"/>
    </row>
    <row r="13515" spans="46:46">
      <c r="AT13515"/>
    </row>
    <row r="13516" spans="46:46">
      <c r="AT13516"/>
    </row>
    <row r="13517" spans="46:46">
      <c r="AT13517"/>
    </row>
    <row r="13518" spans="46:46">
      <c r="AT13518"/>
    </row>
    <row r="13519" spans="46:46">
      <c r="AT13519"/>
    </row>
    <row r="13520" spans="46:46">
      <c r="AT13520"/>
    </row>
    <row r="13521" spans="46:46">
      <c r="AT13521"/>
    </row>
    <row r="13522" spans="46:46">
      <c r="AT13522"/>
    </row>
    <row r="13523" spans="46:46">
      <c r="AT13523"/>
    </row>
    <row r="13524" spans="46:46">
      <c r="AT13524"/>
    </row>
    <row r="13525" spans="46:46">
      <c r="AT13525"/>
    </row>
    <row r="13526" spans="46:46">
      <c r="AT13526"/>
    </row>
    <row r="13527" spans="46:46">
      <c r="AT13527"/>
    </row>
    <row r="13528" spans="46:46">
      <c r="AT13528"/>
    </row>
    <row r="13529" spans="46:46">
      <c r="AT13529"/>
    </row>
    <row r="13530" spans="46:46">
      <c r="AT13530"/>
    </row>
    <row r="13531" spans="46:46">
      <c r="AT13531"/>
    </row>
    <row r="13532" spans="46:46">
      <c r="AT13532"/>
    </row>
    <row r="13533" spans="46:46">
      <c r="AT13533"/>
    </row>
    <row r="13534" spans="46:46">
      <c r="AT13534"/>
    </row>
    <row r="13535" spans="46:46">
      <c r="AT13535"/>
    </row>
    <row r="13536" spans="46:46">
      <c r="AT13536"/>
    </row>
    <row r="13537" spans="46:46">
      <c r="AT13537"/>
    </row>
    <row r="13538" spans="46:46">
      <c r="AT13538"/>
    </row>
    <row r="13539" spans="46:46">
      <c r="AT13539"/>
    </row>
    <row r="13540" spans="46:46">
      <c r="AT13540"/>
    </row>
    <row r="13541" spans="46:46">
      <c r="AT13541"/>
    </row>
    <row r="13542" spans="46:46">
      <c r="AT13542"/>
    </row>
    <row r="13543" spans="46:46">
      <c r="AT13543"/>
    </row>
    <row r="13544" spans="46:46">
      <c r="AT13544"/>
    </row>
    <row r="13545" spans="46:46">
      <c r="AT13545"/>
    </row>
    <row r="13546" spans="46:46">
      <c r="AT13546"/>
    </row>
    <row r="13547" spans="46:46">
      <c r="AT13547"/>
    </row>
    <row r="13548" spans="46:46">
      <c r="AT13548"/>
    </row>
    <row r="13549" spans="46:46">
      <c r="AT13549"/>
    </row>
    <row r="13550" spans="46:46">
      <c r="AT13550"/>
    </row>
    <row r="13551" spans="46:46">
      <c r="AT13551"/>
    </row>
    <row r="13552" spans="46:46">
      <c r="AT13552"/>
    </row>
    <row r="13553" spans="46:46">
      <c r="AT13553"/>
    </row>
    <row r="13554" spans="46:46">
      <c r="AT13554"/>
    </row>
    <row r="13555" spans="46:46">
      <c r="AT13555"/>
    </row>
    <row r="13556" spans="46:46">
      <c r="AT13556"/>
    </row>
    <row r="13557" spans="46:46">
      <c r="AT13557"/>
    </row>
    <row r="13558" spans="46:46">
      <c r="AT13558"/>
    </row>
    <row r="13559" spans="46:46">
      <c r="AT13559"/>
    </row>
    <row r="13560" spans="46:46">
      <c r="AT13560"/>
    </row>
    <row r="13561" spans="46:46">
      <c r="AT13561"/>
    </row>
    <row r="13562" spans="46:46">
      <c r="AT13562"/>
    </row>
    <row r="13563" spans="46:46">
      <c r="AT13563"/>
    </row>
    <row r="13564" spans="46:46">
      <c r="AT13564"/>
    </row>
    <row r="13565" spans="46:46">
      <c r="AT13565"/>
    </row>
    <row r="13566" spans="46:46">
      <c r="AT13566"/>
    </row>
    <row r="13567" spans="46:46">
      <c r="AT13567"/>
    </row>
    <row r="13568" spans="46:46">
      <c r="AT13568"/>
    </row>
    <row r="13569" spans="46:46">
      <c r="AT13569"/>
    </row>
    <row r="13570" spans="46:46">
      <c r="AT13570"/>
    </row>
    <row r="13571" spans="46:46">
      <c r="AT13571"/>
    </row>
    <row r="13572" spans="46:46">
      <c r="AT13572"/>
    </row>
    <row r="13573" spans="46:46">
      <c r="AT13573"/>
    </row>
    <row r="13574" spans="46:46">
      <c r="AT13574"/>
    </row>
    <row r="13575" spans="46:46">
      <c r="AT13575"/>
    </row>
    <row r="13576" spans="46:46">
      <c r="AT13576"/>
    </row>
    <row r="13577" spans="46:46">
      <c r="AT13577"/>
    </row>
    <row r="13578" spans="46:46">
      <c r="AT13578"/>
    </row>
    <row r="13579" spans="46:46">
      <c r="AT13579"/>
    </row>
    <row r="13580" spans="46:46">
      <c r="AT13580"/>
    </row>
    <row r="13581" spans="46:46">
      <c r="AT13581"/>
    </row>
    <row r="13582" spans="46:46">
      <c r="AT13582"/>
    </row>
    <row r="13583" spans="46:46">
      <c r="AT13583"/>
    </row>
    <row r="13584" spans="46:46">
      <c r="AT13584"/>
    </row>
    <row r="13585" spans="46:46">
      <c r="AT13585"/>
    </row>
    <row r="13586" spans="46:46">
      <c r="AT13586"/>
    </row>
    <row r="13587" spans="46:46">
      <c r="AT13587"/>
    </row>
    <row r="13588" spans="46:46">
      <c r="AT13588"/>
    </row>
    <row r="13589" spans="46:46">
      <c r="AT13589"/>
    </row>
    <row r="13590" spans="46:46">
      <c r="AT13590"/>
    </row>
    <row r="13591" spans="46:46">
      <c r="AT13591"/>
    </row>
    <row r="13592" spans="46:46">
      <c r="AT13592"/>
    </row>
    <row r="13593" spans="46:46">
      <c r="AT13593"/>
    </row>
    <row r="13594" spans="46:46">
      <c r="AT13594"/>
    </row>
    <row r="13595" spans="46:46">
      <c r="AT13595"/>
    </row>
    <row r="13596" spans="46:46">
      <c r="AT13596"/>
    </row>
    <row r="13597" spans="46:46">
      <c r="AT13597"/>
    </row>
    <row r="13598" spans="46:46">
      <c r="AT13598"/>
    </row>
    <row r="13599" spans="46:46">
      <c r="AT13599"/>
    </row>
    <row r="13600" spans="46:46">
      <c r="AT13600"/>
    </row>
    <row r="13601" spans="46:46">
      <c r="AT13601"/>
    </row>
    <row r="13602" spans="46:46">
      <c r="AT13602"/>
    </row>
    <row r="13603" spans="46:46">
      <c r="AT13603"/>
    </row>
    <row r="13604" spans="46:46">
      <c r="AT13604"/>
    </row>
    <row r="13605" spans="46:46">
      <c r="AT13605"/>
    </row>
    <row r="13606" spans="46:46">
      <c r="AT13606"/>
    </row>
    <row r="13607" spans="46:46">
      <c r="AT13607"/>
    </row>
    <row r="13608" spans="46:46">
      <c r="AT13608"/>
    </row>
    <row r="13609" spans="46:46">
      <c r="AT13609"/>
    </row>
    <row r="13610" spans="46:46">
      <c r="AT13610"/>
    </row>
    <row r="13611" spans="46:46">
      <c r="AT13611"/>
    </row>
    <row r="13612" spans="46:46">
      <c r="AT13612"/>
    </row>
    <row r="13613" spans="46:46">
      <c r="AT13613"/>
    </row>
    <row r="13614" spans="46:46">
      <c r="AT13614"/>
    </row>
    <row r="13615" spans="46:46">
      <c r="AT13615"/>
    </row>
    <row r="13616" spans="46:46">
      <c r="AT13616"/>
    </row>
    <row r="13617" spans="46:46">
      <c r="AT13617"/>
    </row>
    <row r="13618" spans="46:46">
      <c r="AT13618"/>
    </row>
    <row r="13619" spans="46:46">
      <c r="AT13619"/>
    </row>
    <row r="13620" spans="46:46">
      <c r="AT13620"/>
    </row>
    <row r="13621" spans="46:46">
      <c r="AT13621"/>
    </row>
    <row r="13622" spans="46:46">
      <c r="AT13622"/>
    </row>
    <row r="13623" spans="46:46">
      <c r="AT13623"/>
    </row>
    <row r="13624" spans="46:46">
      <c r="AT13624"/>
    </row>
    <row r="13625" spans="46:46">
      <c r="AT13625"/>
    </row>
    <row r="13626" spans="46:46">
      <c r="AT13626"/>
    </row>
    <row r="13627" spans="46:46">
      <c r="AT13627"/>
    </row>
    <row r="13628" spans="46:46">
      <c r="AT13628"/>
    </row>
    <row r="13629" spans="46:46">
      <c r="AT13629"/>
    </row>
    <row r="13630" spans="46:46">
      <c r="AT13630"/>
    </row>
    <row r="13631" spans="46:46">
      <c r="AT13631"/>
    </row>
    <row r="13632" spans="46:46">
      <c r="AT13632"/>
    </row>
    <row r="13633" spans="46:46">
      <c r="AT13633"/>
    </row>
    <row r="13634" spans="46:46">
      <c r="AT13634"/>
    </row>
    <row r="13635" spans="46:46">
      <c r="AT13635"/>
    </row>
    <row r="13636" spans="46:46">
      <c r="AT13636"/>
    </row>
    <row r="13637" spans="46:46">
      <c r="AT13637"/>
    </row>
    <row r="13638" spans="46:46">
      <c r="AT13638"/>
    </row>
    <row r="13639" spans="46:46">
      <c r="AT13639"/>
    </row>
    <row r="13640" spans="46:46">
      <c r="AT13640"/>
    </row>
    <row r="13641" spans="46:46">
      <c r="AT13641"/>
    </row>
    <row r="13642" spans="46:46">
      <c r="AT13642"/>
    </row>
    <row r="13643" spans="46:46">
      <c r="AT13643"/>
    </row>
    <row r="13644" spans="46:46">
      <c r="AT13644"/>
    </row>
    <row r="13645" spans="46:46">
      <c r="AT13645"/>
    </row>
    <row r="13646" spans="46:46">
      <c r="AT13646"/>
    </row>
    <row r="13647" spans="46:46">
      <c r="AT13647"/>
    </row>
    <row r="13648" spans="46:46">
      <c r="AT13648"/>
    </row>
    <row r="13649" spans="46:46">
      <c r="AT13649"/>
    </row>
    <row r="13650" spans="46:46">
      <c r="AT13650"/>
    </row>
    <row r="13651" spans="46:46">
      <c r="AT13651"/>
    </row>
    <row r="13652" spans="46:46">
      <c r="AT13652"/>
    </row>
    <row r="13653" spans="46:46">
      <c r="AT13653"/>
    </row>
    <row r="13654" spans="46:46">
      <c r="AT13654"/>
    </row>
    <row r="13655" spans="46:46">
      <c r="AT13655"/>
    </row>
    <row r="13656" spans="46:46">
      <c r="AT13656"/>
    </row>
    <row r="13657" spans="46:46">
      <c r="AT13657"/>
    </row>
    <row r="13658" spans="46:46">
      <c r="AT13658"/>
    </row>
    <row r="13659" spans="46:46">
      <c r="AT13659"/>
    </row>
    <row r="13660" spans="46:46">
      <c r="AT13660"/>
    </row>
    <row r="13661" spans="46:46">
      <c r="AT13661"/>
    </row>
    <row r="13662" spans="46:46">
      <c r="AT13662"/>
    </row>
    <row r="13663" spans="46:46">
      <c r="AT13663"/>
    </row>
    <row r="13664" spans="46:46">
      <c r="AT13664"/>
    </row>
    <row r="13665" spans="46:46">
      <c r="AT13665"/>
    </row>
    <row r="13666" spans="46:46">
      <c r="AT13666"/>
    </row>
    <row r="13667" spans="46:46">
      <c r="AT13667"/>
    </row>
    <row r="13668" spans="46:46">
      <c r="AT13668"/>
    </row>
    <row r="13669" spans="46:46">
      <c r="AT13669"/>
    </row>
    <row r="13670" spans="46:46">
      <c r="AT13670"/>
    </row>
    <row r="13671" spans="46:46">
      <c r="AT13671"/>
    </row>
    <row r="13672" spans="46:46">
      <c r="AT13672"/>
    </row>
    <row r="13673" spans="46:46">
      <c r="AT13673"/>
    </row>
    <row r="13674" spans="46:46">
      <c r="AT13674"/>
    </row>
    <row r="13675" spans="46:46">
      <c r="AT13675"/>
    </row>
    <row r="13676" spans="46:46">
      <c r="AT13676"/>
    </row>
    <row r="13677" spans="46:46">
      <c r="AT13677"/>
    </row>
    <row r="13678" spans="46:46">
      <c r="AT13678"/>
    </row>
    <row r="13679" spans="46:46">
      <c r="AT13679"/>
    </row>
    <row r="13680" spans="46:46">
      <c r="AT13680"/>
    </row>
    <row r="13681" spans="46:46">
      <c r="AT13681"/>
    </row>
    <row r="13682" spans="46:46">
      <c r="AT13682"/>
    </row>
    <row r="13683" spans="46:46">
      <c r="AT13683"/>
    </row>
    <row r="13684" spans="46:46">
      <c r="AT13684"/>
    </row>
    <row r="13685" spans="46:46">
      <c r="AT13685"/>
    </row>
    <row r="13686" spans="46:46">
      <c r="AT13686"/>
    </row>
    <row r="13687" spans="46:46">
      <c r="AT13687"/>
    </row>
    <row r="13688" spans="46:46">
      <c r="AT13688"/>
    </row>
    <row r="13689" spans="46:46">
      <c r="AT13689"/>
    </row>
    <row r="13690" spans="46:46">
      <c r="AT13690"/>
    </row>
    <row r="13691" spans="46:46">
      <c r="AT13691"/>
    </row>
    <row r="13692" spans="46:46">
      <c r="AT13692"/>
    </row>
    <row r="13693" spans="46:46">
      <c r="AT13693"/>
    </row>
    <row r="13694" spans="46:46">
      <c r="AT13694"/>
    </row>
    <row r="13695" spans="46:46">
      <c r="AT13695"/>
    </row>
    <row r="13696" spans="46:46">
      <c r="AT13696"/>
    </row>
    <row r="13697" spans="46:46">
      <c r="AT13697"/>
    </row>
    <row r="13698" spans="46:46">
      <c r="AT13698"/>
    </row>
    <row r="13699" spans="46:46">
      <c r="AT13699"/>
    </row>
    <row r="13700" spans="46:46">
      <c r="AT13700"/>
    </row>
    <row r="13701" spans="46:46">
      <c r="AT13701"/>
    </row>
    <row r="13702" spans="46:46">
      <c r="AT13702"/>
    </row>
    <row r="13703" spans="46:46">
      <c r="AT13703"/>
    </row>
    <row r="13704" spans="46:46">
      <c r="AT13704"/>
    </row>
    <row r="13705" spans="46:46">
      <c r="AT13705"/>
    </row>
    <row r="13706" spans="46:46">
      <c r="AT13706"/>
    </row>
    <row r="13707" spans="46:46">
      <c r="AT13707"/>
    </row>
    <row r="13708" spans="46:46">
      <c r="AT13708"/>
    </row>
    <row r="13709" spans="46:46">
      <c r="AT13709"/>
    </row>
    <row r="13710" spans="46:46">
      <c r="AT13710"/>
    </row>
    <row r="13711" spans="46:46">
      <c r="AT13711"/>
    </row>
    <row r="13712" spans="46:46">
      <c r="AT13712"/>
    </row>
    <row r="13713" spans="46:46">
      <c r="AT13713"/>
    </row>
    <row r="13714" spans="46:46">
      <c r="AT13714"/>
    </row>
    <row r="13715" spans="46:46">
      <c r="AT13715"/>
    </row>
    <row r="13716" spans="46:46">
      <c r="AT13716"/>
    </row>
    <row r="13717" spans="46:46">
      <c r="AT13717"/>
    </row>
    <row r="13718" spans="46:46">
      <c r="AT13718"/>
    </row>
    <row r="13719" spans="46:46">
      <c r="AT13719"/>
    </row>
    <row r="13720" spans="46:46">
      <c r="AT13720"/>
    </row>
    <row r="13721" spans="46:46">
      <c r="AT13721"/>
    </row>
    <row r="13722" spans="46:46">
      <c r="AT13722"/>
    </row>
    <row r="13723" spans="46:46">
      <c r="AT13723"/>
    </row>
    <row r="13724" spans="46:46">
      <c r="AT13724"/>
    </row>
    <row r="13725" spans="46:46">
      <c r="AT13725"/>
    </row>
    <row r="13726" spans="46:46">
      <c r="AT13726"/>
    </row>
    <row r="13727" spans="46:46">
      <c r="AT13727"/>
    </row>
    <row r="13728" spans="46:46">
      <c r="AT13728"/>
    </row>
    <row r="13729" spans="46:46">
      <c r="AT13729"/>
    </row>
    <row r="13730" spans="46:46">
      <c r="AT13730"/>
    </row>
    <row r="13731" spans="46:46">
      <c r="AT13731"/>
    </row>
    <row r="13732" spans="46:46">
      <c r="AT13732"/>
    </row>
    <row r="13733" spans="46:46">
      <c r="AT13733"/>
    </row>
    <row r="13734" spans="46:46">
      <c r="AT13734"/>
    </row>
    <row r="13735" spans="46:46">
      <c r="AT13735"/>
    </row>
    <row r="13736" spans="46:46">
      <c r="AT13736"/>
    </row>
    <row r="13737" spans="46:46">
      <c r="AT13737"/>
    </row>
    <row r="13738" spans="46:46">
      <c r="AT13738"/>
    </row>
    <row r="13739" spans="46:46">
      <c r="AT13739"/>
    </row>
    <row r="13740" spans="46:46">
      <c r="AT13740"/>
    </row>
    <row r="13741" spans="46:46">
      <c r="AT13741"/>
    </row>
    <row r="13742" spans="46:46">
      <c r="AT13742"/>
    </row>
    <row r="13743" spans="46:46">
      <c r="AT13743"/>
    </row>
    <row r="13744" spans="46:46">
      <c r="AT13744"/>
    </row>
    <row r="13745" spans="46:46">
      <c r="AT13745"/>
    </row>
    <row r="13746" spans="46:46">
      <c r="AT13746"/>
    </row>
    <row r="13747" spans="46:46">
      <c r="AT13747"/>
    </row>
    <row r="13748" spans="46:46">
      <c r="AT13748"/>
    </row>
    <row r="13749" spans="46:46">
      <c r="AT13749"/>
    </row>
    <row r="13750" spans="46:46">
      <c r="AT13750"/>
    </row>
    <row r="13751" spans="46:46">
      <c r="AT13751"/>
    </row>
    <row r="13752" spans="46:46">
      <c r="AT13752"/>
    </row>
    <row r="13753" spans="46:46">
      <c r="AT13753"/>
    </row>
    <row r="13754" spans="46:46">
      <c r="AT13754"/>
    </row>
    <row r="13755" spans="46:46">
      <c r="AT13755"/>
    </row>
    <row r="13756" spans="46:46">
      <c r="AT13756"/>
    </row>
    <row r="13757" spans="46:46">
      <c r="AT13757"/>
    </row>
    <row r="13758" spans="46:46">
      <c r="AT13758"/>
    </row>
    <row r="13759" spans="46:46">
      <c r="AT13759"/>
    </row>
    <row r="13760" spans="46:46">
      <c r="AT13760"/>
    </row>
    <row r="13761" spans="46:46">
      <c r="AT13761"/>
    </row>
    <row r="13762" spans="46:46">
      <c r="AT13762"/>
    </row>
    <row r="13763" spans="46:46">
      <c r="AT13763"/>
    </row>
    <row r="13764" spans="46:46">
      <c r="AT13764"/>
    </row>
    <row r="13765" spans="46:46">
      <c r="AT13765"/>
    </row>
    <row r="13766" spans="46:46">
      <c r="AT13766"/>
    </row>
    <row r="13767" spans="46:46">
      <c r="AT13767"/>
    </row>
    <row r="13768" spans="46:46">
      <c r="AT13768"/>
    </row>
    <row r="13769" spans="46:46">
      <c r="AT13769"/>
    </row>
    <row r="13770" spans="46:46">
      <c r="AT13770"/>
    </row>
    <row r="13771" spans="46:46">
      <c r="AT13771"/>
    </row>
    <row r="13772" spans="46:46">
      <c r="AT13772"/>
    </row>
    <row r="13773" spans="46:46">
      <c r="AT13773"/>
    </row>
    <row r="13774" spans="46:46">
      <c r="AT13774"/>
    </row>
    <row r="13775" spans="46:46">
      <c r="AT13775"/>
    </row>
    <row r="13776" spans="46:46">
      <c r="AT13776"/>
    </row>
    <row r="13777" spans="46:46">
      <c r="AT13777"/>
    </row>
    <row r="13778" spans="46:46">
      <c r="AT13778"/>
    </row>
    <row r="13779" spans="46:46">
      <c r="AT13779"/>
    </row>
    <row r="13780" spans="46:46">
      <c r="AT13780"/>
    </row>
    <row r="13781" spans="46:46">
      <c r="AT13781"/>
    </row>
    <row r="13782" spans="46:46">
      <c r="AT13782"/>
    </row>
    <row r="13783" spans="46:46">
      <c r="AT13783"/>
    </row>
    <row r="13784" spans="46:46">
      <c r="AT13784"/>
    </row>
    <row r="13785" spans="46:46">
      <c r="AT13785"/>
    </row>
    <row r="13786" spans="46:46">
      <c r="AT13786"/>
    </row>
    <row r="13787" spans="46:46">
      <c r="AT13787"/>
    </row>
    <row r="13788" spans="46:46">
      <c r="AT13788"/>
    </row>
    <row r="13789" spans="46:46">
      <c r="AT13789"/>
    </row>
    <row r="13790" spans="46:46">
      <c r="AT13790"/>
    </row>
    <row r="13791" spans="46:46">
      <c r="AT13791"/>
    </row>
    <row r="13792" spans="46:46">
      <c r="AT13792"/>
    </row>
    <row r="13793" spans="46:46">
      <c r="AT13793"/>
    </row>
    <row r="13794" spans="46:46">
      <c r="AT13794"/>
    </row>
    <row r="13795" spans="46:46">
      <c r="AT13795"/>
    </row>
    <row r="13796" spans="46:46">
      <c r="AT13796"/>
    </row>
    <row r="13797" spans="46:46">
      <c r="AT13797"/>
    </row>
    <row r="13798" spans="46:46">
      <c r="AT13798"/>
    </row>
    <row r="13799" spans="46:46">
      <c r="AT13799"/>
    </row>
    <row r="13800" spans="46:46">
      <c r="AT13800"/>
    </row>
    <row r="13801" spans="46:46">
      <c r="AT13801"/>
    </row>
    <row r="13802" spans="46:46">
      <c r="AT13802"/>
    </row>
    <row r="13803" spans="46:46">
      <c r="AT13803"/>
    </row>
    <row r="13804" spans="46:46">
      <c r="AT13804"/>
    </row>
    <row r="13805" spans="46:46">
      <c r="AT13805"/>
    </row>
    <row r="13806" spans="46:46">
      <c r="AT13806"/>
    </row>
    <row r="13807" spans="46:46">
      <c r="AT13807"/>
    </row>
    <row r="13808" spans="46:46">
      <c r="AT13808"/>
    </row>
    <row r="13809" spans="46:46">
      <c r="AT13809"/>
    </row>
    <row r="13810" spans="46:46">
      <c r="AT13810"/>
    </row>
    <row r="13811" spans="46:46">
      <c r="AT13811"/>
    </row>
    <row r="13812" spans="46:46">
      <c r="AT13812"/>
    </row>
    <row r="13813" spans="46:46">
      <c r="AT13813"/>
    </row>
    <row r="13814" spans="46:46">
      <c r="AT13814"/>
    </row>
    <row r="13815" spans="46:46">
      <c r="AT13815"/>
    </row>
    <row r="13816" spans="46:46">
      <c r="AT13816"/>
    </row>
    <row r="13817" spans="46:46">
      <c r="AT13817"/>
    </row>
    <row r="13818" spans="46:46">
      <c r="AT13818"/>
    </row>
    <row r="13819" spans="46:46">
      <c r="AT13819"/>
    </row>
    <row r="13820" spans="46:46">
      <c r="AT13820"/>
    </row>
    <row r="13821" spans="46:46">
      <c r="AT13821"/>
    </row>
    <row r="13822" spans="46:46">
      <c r="AT13822"/>
    </row>
    <row r="13823" spans="46:46">
      <c r="AT13823"/>
    </row>
    <row r="13824" spans="46:46">
      <c r="AT13824"/>
    </row>
    <row r="13825" spans="46:46">
      <c r="AT13825"/>
    </row>
    <row r="13826" spans="46:46">
      <c r="AT13826"/>
    </row>
    <row r="13827" spans="46:46">
      <c r="AT13827"/>
    </row>
    <row r="13828" spans="46:46">
      <c r="AT13828"/>
    </row>
    <row r="13829" spans="46:46">
      <c r="AT13829"/>
    </row>
    <row r="13830" spans="46:46">
      <c r="AT13830"/>
    </row>
    <row r="13831" spans="46:46">
      <c r="AT13831"/>
    </row>
    <row r="13832" spans="46:46">
      <c r="AT13832"/>
    </row>
    <row r="13833" spans="46:46">
      <c r="AT13833"/>
    </row>
    <row r="13834" spans="46:46">
      <c r="AT13834"/>
    </row>
    <row r="13835" spans="46:46">
      <c r="AT13835"/>
    </row>
    <row r="13836" spans="46:46">
      <c r="AT13836"/>
    </row>
    <row r="13837" spans="46:46">
      <c r="AT13837"/>
    </row>
    <row r="13838" spans="46:46">
      <c r="AT13838"/>
    </row>
    <row r="13839" spans="46:46">
      <c r="AT13839"/>
    </row>
    <row r="13840" spans="46:46">
      <c r="AT13840"/>
    </row>
    <row r="13841" spans="46:46">
      <c r="AT13841"/>
    </row>
    <row r="13842" spans="46:46">
      <c r="AT13842"/>
    </row>
    <row r="13843" spans="46:46">
      <c r="AT13843"/>
    </row>
    <row r="13844" spans="46:46">
      <c r="AT13844"/>
    </row>
    <row r="13845" spans="46:46">
      <c r="AT13845"/>
    </row>
    <row r="13846" spans="46:46">
      <c r="AT13846"/>
    </row>
    <row r="13847" spans="46:46">
      <c r="AT13847"/>
    </row>
    <row r="13848" spans="46:46">
      <c r="AT13848"/>
    </row>
    <row r="13849" spans="46:46">
      <c r="AT13849"/>
    </row>
    <row r="13850" spans="46:46">
      <c r="AT13850"/>
    </row>
    <row r="13851" spans="46:46">
      <c r="AT13851"/>
    </row>
    <row r="13852" spans="46:46">
      <c r="AT13852"/>
    </row>
    <row r="13853" spans="46:46">
      <c r="AT13853"/>
    </row>
    <row r="13854" spans="46:46">
      <c r="AT13854"/>
    </row>
    <row r="13855" spans="46:46">
      <c r="AT13855"/>
    </row>
    <row r="13856" spans="46:46">
      <c r="AT13856"/>
    </row>
    <row r="13857" spans="46:46">
      <c r="AT13857"/>
    </row>
    <row r="13858" spans="46:46">
      <c r="AT13858"/>
    </row>
    <row r="13859" spans="46:46">
      <c r="AT13859"/>
    </row>
    <row r="13860" spans="46:46">
      <c r="AT13860"/>
    </row>
    <row r="13861" spans="46:46">
      <c r="AT13861"/>
    </row>
    <row r="13862" spans="46:46">
      <c r="AT13862"/>
    </row>
    <row r="13863" spans="46:46">
      <c r="AT13863"/>
    </row>
    <row r="13864" spans="46:46">
      <c r="AT13864"/>
    </row>
    <row r="13865" spans="46:46">
      <c r="AT13865"/>
    </row>
    <row r="13866" spans="46:46">
      <c r="AT13866"/>
    </row>
    <row r="13867" spans="46:46">
      <c r="AT13867"/>
    </row>
    <row r="13868" spans="46:46">
      <c r="AT13868"/>
    </row>
    <row r="13869" spans="46:46">
      <c r="AT13869"/>
    </row>
    <row r="13870" spans="46:46">
      <c r="AT13870"/>
    </row>
    <row r="13871" spans="46:46">
      <c r="AT13871"/>
    </row>
    <row r="13872" spans="46:46">
      <c r="AT13872"/>
    </row>
    <row r="13873" spans="46:46">
      <c r="AT13873"/>
    </row>
    <row r="13874" spans="46:46">
      <c r="AT13874"/>
    </row>
    <row r="13875" spans="46:46">
      <c r="AT13875"/>
    </row>
    <row r="13876" spans="46:46">
      <c r="AT13876"/>
    </row>
    <row r="13877" spans="46:46">
      <c r="AT13877"/>
    </row>
    <row r="13878" spans="46:46">
      <c r="AT13878"/>
    </row>
    <row r="13879" spans="46:46">
      <c r="AT13879"/>
    </row>
    <row r="13880" spans="46:46">
      <c r="AT13880"/>
    </row>
    <row r="13881" spans="46:46">
      <c r="AT13881"/>
    </row>
    <row r="13882" spans="46:46">
      <c r="AT13882"/>
    </row>
    <row r="13883" spans="46:46">
      <c r="AT13883"/>
    </row>
    <row r="13884" spans="46:46">
      <c r="AT13884"/>
    </row>
    <row r="13885" spans="46:46">
      <c r="AT13885"/>
    </row>
    <row r="13886" spans="46:46">
      <c r="AT13886"/>
    </row>
    <row r="13887" spans="46:46">
      <c r="AT13887"/>
    </row>
    <row r="13888" spans="46:46">
      <c r="AT13888"/>
    </row>
    <row r="13889" spans="46:46">
      <c r="AT13889"/>
    </row>
    <row r="13890" spans="46:46">
      <c r="AT13890"/>
    </row>
    <row r="13891" spans="46:46">
      <c r="AT13891"/>
    </row>
    <row r="13892" spans="46:46">
      <c r="AT13892"/>
    </row>
    <row r="13893" spans="46:46">
      <c r="AT13893"/>
    </row>
    <row r="13894" spans="46:46">
      <c r="AT13894"/>
    </row>
    <row r="13895" spans="46:46">
      <c r="AT13895"/>
    </row>
    <row r="13896" spans="46:46">
      <c r="AT13896"/>
    </row>
    <row r="13897" spans="46:46">
      <c r="AT13897"/>
    </row>
    <row r="13898" spans="46:46">
      <c r="AT13898"/>
    </row>
    <row r="13899" spans="46:46">
      <c r="AT13899"/>
    </row>
    <row r="13900" spans="46:46">
      <c r="AT13900"/>
    </row>
    <row r="13901" spans="46:46">
      <c r="AT13901"/>
    </row>
    <row r="13902" spans="46:46">
      <c r="AT13902"/>
    </row>
    <row r="13903" spans="46:46">
      <c r="AT13903"/>
    </row>
    <row r="13904" spans="46:46">
      <c r="AT13904"/>
    </row>
    <row r="13905" spans="46:46">
      <c r="AT13905"/>
    </row>
    <row r="13906" spans="46:46">
      <c r="AT13906"/>
    </row>
    <row r="13907" spans="46:46">
      <c r="AT13907"/>
    </row>
    <row r="13908" spans="46:46">
      <c r="AT13908"/>
    </row>
    <row r="13909" spans="46:46">
      <c r="AT13909"/>
    </row>
    <row r="13910" spans="46:46">
      <c r="AT13910"/>
    </row>
    <row r="13911" spans="46:46">
      <c r="AT13911"/>
    </row>
    <row r="13912" spans="46:46">
      <c r="AT13912"/>
    </row>
    <row r="13913" spans="46:46">
      <c r="AT13913"/>
    </row>
    <row r="13914" spans="46:46">
      <c r="AT13914"/>
    </row>
    <row r="13915" spans="46:46">
      <c r="AT13915"/>
    </row>
    <row r="13916" spans="46:46">
      <c r="AT13916"/>
    </row>
    <row r="13917" spans="46:46">
      <c r="AT13917"/>
    </row>
    <row r="13918" spans="46:46">
      <c r="AT13918"/>
    </row>
    <row r="13919" spans="46:46">
      <c r="AT13919"/>
    </row>
    <row r="13920" spans="46:46">
      <c r="AT13920"/>
    </row>
    <row r="13921" spans="46:46">
      <c r="AT13921"/>
    </row>
    <row r="13922" spans="46:46">
      <c r="AT13922"/>
    </row>
    <row r="13923" spans="46:46">
      <c r="AT13923"/>
    </row>
    <row r="13924" spans="46:46">
      <c r="AT13924"/>
    </row>
    <row r="13925" spans="46:46">
      <c r="AT13925"/>
    </row>
    <row r="13926" spans="46:46">
      <c r="AT13926"/>
    </row>
    <row r="13927" spans="46:46">
      <c r="AT13927"/>
    </row>
    <row r="13928" spans="46:46">
      <c r="AT13928"/>
    </row>
    <row r="13929" spans="46:46">
      <c r="AT13929"/>
    </row>
    <row r="13930" spans="46:46">
      <c r="AT13930"/>
    </row>
    <row r="13931" spans="46:46">
      <c r="AT13931"/>
    </row>
    <row r="13932" spans="46:46">
      <c r="AT13932"/>
    </row>
    <row r="13933" spans="46:46">
      <c r="AT13933"/>
    </row>
    <row r="13934" spans="46:46">
      <c r="AT13934"/>
    </row>
    <row r="13935" spans="46:46">
      <c r="AT13935"/>
    </row>
    <row r="13936" spans="46:46">
      <c r="AT13936"/>
    </row>
    <row r="13937" spans="46:46">
      <c r="AT13937"/>
    </row>
    <row r="13938" spans="46:46">
      <c r="AT13938"/>
    </row>
    <row r="13939" spans="46:46">
      <c r="AT13939"/>
    </row>
    <row r="13940" spans="46:46">
      <c r="AT13940"/>
    </row>
    <row r="13941" spans="46:46">
      <c r="AT13941"/>
    </row>
    <row r="13942" spans="46:46">
      <c r="AT13942"/>
    </row>
    <row r="13943" spans="46:46">
      <c r="AT13943"/>
    </row>
    <row r="13944" spans="46:46">
      <c r="AT13944"/>
    </row>
    <row r="13945" spans="46:46">
      <c r="AT13945"/>
    </row>
    <row r="13946" spans="46:46">
      <c r="AT13946"/>
    </row>
    <row r="13947" spans="46:46">
      <c r="AT13947"/>
    </row>
    <row r="13948" spans="46:46">
      <c r="AT13948"/>
    </row>
    <row r="13949" spans="46:46">
      <c r="AT13949"/>
    </row>
    <row r="13950" spans="46:46">
      <c r="AT13950"/>
    </row>
    <row r="13951" spans="46:46">
      <c r="AT13951"/>
    </row>
    <row r="13952" spans="46:46">
      <c r="AT13952"/>
    </row>
    <row r="13953" spans="46:46">
      <c r="AT13953"/>
    </row>
    <row r="13954" spans="46:46">
      <c r="AT13954"/>
    </row>
    <row r="13955" spans="46:46">
      <c r="AT13955"/>
    </row>
    <row r="13956" spans="46:46">
      <c r="AT13956"/>
    </row>
    <row r="13957" spans="46:46">
      <c r="AT13957"/>
    </row>
    <row r="13958" spans="46:46">
      <c r="AT13958"/>
    </row>
    <row r="13959" spans="46:46">
      <c r="AT13959"/>
    </row>
    <row r="13960" spans="46:46">
      <c r="AT13960"/>
    </row>
    <row r="13961" spans="46:46">
      <c r="AT13961"/>
    </row>
    <row r="13962" spans="46:46">
      <c r="AT13962"/>
    </row>
    <row r="13963" spans="46:46">
      <c r="AT13963"/>
    </row>
    <row r="13964" spans="46:46">
      <c r="AT13964"/>
    </row>
    <row r="13965" spans="46:46">
      <c r="AT13965"/>
    </row>
    <row r="13966" spans="46:46">
      <c r="AT13966"/>
    </row>
    <row r="13967" spans="46:46">
      <c r="AT13967"/>
    </row>
    <row r="13968" spans="46:46">
      <c r="AT13968"/>
    </row>
    <row r="13969" spans="46:46">
      <c r="AT13969"/>
    </row>
    <row r="13970" spans="46:46">
      <c r="AT13970"/>
    </row>
    <row r="13971" spans="46:46">
      <c r="AT13971"/>
    </row>
    <row r="13972" spans="46:46">
      <c r="AT13972"/>
    </row>
    <row r="13973" spans="46:46">
      <c r="AT13973"/>
    </row>
    <row r="13974" spans="46:46">
      <c r="AT13974"/>
    </row>
    <row r="13975" spans="46:46">
      <c r="AT13975"/>
    </row>
    <row r="13976" spans="46:46">
      <c r="AT13976"/>
    </row>
    <row r="13977" spans="46:46">
      <c r="AT13977"/>
    </row>
    <row r="13978" spans="46:46">
      <c r="AT13978"/>
    </row>
    <row r="13979" spans="46:46">
      <c r="AT13979"/>
    </row>
    <row r="13980" spans="46:46">
      <c r="AT13980"/>
    </row>
    <row r="13981" spans="46:46">
      <c r="AT13981"/>
    </row>
    <row r="13982" spans="46:46">
      <c r="AT13982"/>
    </row>
    <row r="13983" spans="46:46">
      <c r="AT13983"/>
    </row>
    <row r="13984" spans="46:46">
      <c r="AT13984"/>
    </row>
    <row r="13985" spans="46:46">
      <c r="AT13985"/>
    </row>
    <row r="13986" spans="46:46">
      <c r="AT13986"/>
    </row>
    <row r="13987" spans="46:46">
      <c r="AT13987"/>
    </row>
    <row r="13988" spans="46:46">
      <c r="AT13988"/>
    </row>
    <row r="13989" spans="46:46">
      <c r="AT13989"/>
    </row>
    <row r="13990" spans="46:46">
      <c r="AT13990"/>
    </row>
    <row r="13991" spans="46:46">
      <c r="AT13991"/>
    </row>
    <row r="13992" spans="46:46">
      <c r="AT13992"/>
    </row>
    <row r="13993" spans="46:46">
      <c r="AT13993"/>
    </row>
    <row r="13994" spans="46:46">
      <c r="AT13994"/>
    </row>
    <row r="13995" spans="46:46">
      <c r="AT13995"/>
    </row>
    <row r="13996" spans="46:46">
      <c r="AT13996"/>
    </row>
    <row r="13997" spans="46:46">
      <c r="AT13997"/>
    </row>
    <row r="13998" spans="46:46">
      <c r="AT13998"/>
    </row>
    <row r="13999" spans="46:46">
      <c r="AT13999"/>
    </row>
    <row r="14000" spans="46:46">
      <c r="AT14000"/>
    </row>
    <row r="14001" spans="46:46">
      <c r="AT14001"/>
    </row>
    <row r="14002" spans="46:46">
      <c r="AT14002"/>
    </row>
    <row r="14003" spans="46:46">
      <c r="AT14003"/>
    </row>
    <row r="14004" spans="46:46">
      <c r="AT14004"/>
    </row>
    <row r="14005" spans="46:46">
      <c r="AT14005"/>
    </row>
    <row r="14006" spans="46:46">
      <c r="AT14006"/>
    </row>
    <row r="14007" spans="46:46">
      <c r="AT14007"/>
    </row>
    <row r="14008" spans="46:46">
      <c r="AT14008"/>
    </row>
    <row r="14009" spans="46:46">
      <c r="AT14009"/>
    </row>
    <row r="14010" spans="46:46">
      <c r="AT14010"/>
    </row>
    <row r="14011" spans="46:46">
      <c r="AT14011"/>
    </row>
    <row r="14012" spans="46:46">
      <c r="AT14012"/>
    </row>
    <row r="14013" spans="46:46">
      <c r="AT14013"/>
    </row>
    <row r="14014" spans="46:46">
      <c r="AT14014"/>
    </row>
    <row r="14015" spans="46:46">
      <c r="AT14015"/>
    </row>
    <row r="14016" spans="46:46">
      <c r="AT14016"/>
    </row>
    <row r="14017" spans="46:46">
      <c r="AT14017"/>
    </row>
    <row r="14018" spans="46:46">
      <c r="AT14018"/>
    </row>
    <row r="14019" spans="46:46">
      <c r="AT14019"/>
    </row>
    <row r="14020" spans="46:46">
      <c r="AT14020"/>
    </row>
    <row r="14021" spans="46:46">
      <c r="AT14021"/>
    </row>
    <row r="14022" spans="46:46">
      <c r="AT14022"/>
    </row>
    <row r="14023" spans="46:46">
      <c r="AT14023"/>
    </row>
    <row r="14024" spans="46:46">
      <c r="AT14024"/>
    </row>
    <row r="14025" spans="46:46">
      <c r="AT14025"/>
    </row>
    <row r="14026" spans="46:46">
      <c r="AT14026"/>
    </row>
    <row r="14027" spans="46:46">
      <c r="AT14027"/>
    </row>
    <row r="14028" spans="46:46">
      <c r="AT14028"/>
    </row>
    <row r="14029" spans="46:46">
      <c r="AT14029"/>
    </row>
    <row r="14030" spans="46:46">
      <c r="AT14030"/>
    </row>
    <row r="14031" spans="46:46">
      <c r="AT14031"/>
    </row>
    <row r="14032" spans="46:46">
      <c r="AT14032"/>
    </row>
    <row r="14033" spans="46:46">
      <c r="AT14033"/>
    </row>
    <row r="14034" spans="46:46">
      <c r="AT14034"/>
    </row>
    <row r="14035" spans="46:46">
      <c r="AT14035"/>
    </row>
    <row r="14036" spans="46:46">
      <c r="AT14036"/>
    </row>
    <row r="14037" spans="46:46">
      <c r="AT14037"/>
    </row>
    <row r="14038" spans="46:46">
      <c r="AT14038"/>
    </row>
    <row r="14039" spans="46:46">
      <c r="AT14039"/>
    </row>
    <row r="14040" spans="46:46">
      <c r="AT14040"/>
    </row>
    <row r="14041" spans="46:46">
      <c r="AT14041"/>
    </row>
    <row r="14042" spans="46:46">
      <c r="AT14042"/>
    </row>
    <row r="14043" spans="46:46">
      <c r="AT14043"/>
    </row>
    <row r="14044" spans="46:46">
      <c r="AT14044"/>
    </row>
    <row r="14045" spans="46:46">
      <c r="AT14045"/>
    </row>
    <row r="14046" spans="46:46">
      <c r="AT14046"/>
    </row>
    <row r="14047" spans="46:46">
      <c r="AT14047"/>
    </row>
    <row r="14048" spans="46:46">
      <c r="AT14048"/>
    </row>
    <row r="14049" spans="46:46">
      <c r="AT14049"/>
    </row>
    <row r="14050" spans="46:46">
      <c r="AT14050"/>
    </row>
    <row r="14051" spans="46:46">
      <c r="AT14051"/>
    </row>
    <row r="14052" spans="46:46">
      <c r="AT14052"/>
    </row>
    <row r="14053" spans="46:46">
      <c r="AT14053"/>
    </row>
    <row r="14054" spans="46:46">
      <c r="AT14054"/>
    </row>
    <row r="14055" spans="46:46">
      <c r="AT14055"/>
    </row>
    <row r="14056" spans="46:46">
      <c r="AT14056"/>
    </row>
    <row r="14057" spans="46:46">
      <c r="AT14057"/>
    </row>
    <row r="14058" spans="46:46">
      <c r="AT14058"/>
    </row>
    <row r="14059" spans="46:46">
      <c r="AT14059"/>
    </row>
    <row r="14060" spans="46:46">
      <c r="AT14060"/>
    </row>
    <row r="14061" spans="46:46">
      <c r="AT14061"/>
    </row>
    <row r="14062" spans="46:46">
      <c r="AT14062"/>
    </row>
    <row r="14063" spans="46:46">
      <c r="AT14063"/>
    </row>
    <row r="14064" spans="46:46">
      <c r="AT14064"/>
    </row>
    <row r="14065" spans="46:46">
      <c r="AT14065"/>
    </row>
    <row r="14066" spans="46:46">
      <c r="AT14066"/>
    </row>
    <row r="14067" spans="46:46">
      <c r="AT14067"/>
    </row>
    <row r="14068" spans="46:46">
      <c r="AT14068"/>
    </row>
    <row r="14069" spans="46:46">
      <c r="AT14069"/>
    </row>
    <row r="14070" spans="46:46">
      <c r="AT14070"/>
    </row>
    <row r="14071" spans="46:46">
      <c r="AT14071"/>
    </row>
    <row r="14072" spans="46:46">
      <c r="AT14072"/>
    </row>
    <row r="14073" spans="46:46">
      <c r="AT14073"/>
    </row>
    <row r="14074" spans="46:46">
      <c r="AT14074"/>
    </row>
    <row r="14075" spans="46:46">
      <c r="AT14075"/>
    </row>
    <row r="14076" spans="46:46">
      <c r="AT14076"/>
    </row>
    <row r="14077" spans="46:46">
      <c r="AT14077"/>
    </row>
    <row r="14078" spans="46:46">
      <c r="AT14078"/>
    </row>
    <row r="14079" spans="46:46">
      <c r="AT14079"/>
    </row>
    <row r="14080" spans="46:46">
      <c r="AT14080"/>
    </row>
    <row r="14081" spans="46:46">
      <c r="AT14081"/>
    </row>
    <row r="14082" spans="46:46">
      <c r="AT14082"/>
    </row>
    <row r="14083" spans="46:46">
      <c r="AT14083"/>
    </row>
    <row r="14084" spans="46:46">
      <c r="AT14084"/>
    </row>
    <row r="14085" spans="46:46">
      <c r="AT14085"/>
    </row>
    <row r="14086" spans="46:46">
      <c r="AT14086"/>
    </row>
    <row r="14087" spans="46:46">
      <c r="AT14087"/>
    </row>
    <row r="14088" spans="46:46">
      <c r="AT14088"/>
    </row>
    <row r="14089" spans="46:46">
      <c r="AT14089"/>
    </row>
    <row r="14090" spans="46:46">
      <c r="AT14090"/>
    </row>
    <row r="14091" spans="46:46">
      <c r="AT14091"/>
    </row>
    <row r="14092" spans="46:46">
      <c r="AT14092"/>
    </row>
    <row r="14093" spans="46:46">
      <c r="AT14093"/>
    </row>
    <row r="14094" spans="46:46">
      <c r="AT14094"/>
    </row>
    <row r="14095" spans="46:46">
      <c r="AT14095"/>
    </row>
    <row r="14096" spans="46:46">
      <c r="AT14096"/>
    </row>
    <row r="14097" spans="46:46">
      <c r="AT14097"/>
    </row>
    <row r="14098" spans="46:46">
      <c r="AT14098"/>
    </row>
    <row r="14099" spans="46:46">
      <c r="AT14099"/>
    </row>
    <row r="14100" spans="46:46">
      <c r="AT14100"/>
    </row>
    <row r="14101" spans="46:46">
      <c r="AT14101"/>
    </row>
    <row r="14102" spans="46:46">
      <c r="AT14102"/>
    </row>
    <row r="14103" spans="46:46">
      <c r="AT14103"/>
    </row>
    <row r="14104" spans="46:46">
      <c r="AT14104"/>
    </row>
    <row r="14105" spans="46:46">
      <c r="AT14105"/>
    </row>
    <row r="14106" spans="46:46">
      <c r="AT14106"/>
    </row>
    <row r="14107" spans="46:46">
      <c r="AT14107"/>
    </row>
    <row r="14108" spans="46:46">
      <c r="AT14108"/>
    </row>
    <row r="14109" spans="46:46">
      <c r="AT14109"/>
    </row>
    <row r="14110" spans="46:46">
      <c r="AT14110"/>
    </row>
    <row r="14111" spans="46:46">
      <c r="AT14111"/>
    </row>
    <row r="14112" spans="46:46">
      <c r="AT14112"/>
    </row>
    <row r="14113" spans="46:46">
      <c r="AT14113"/>
    </row>
    <row r="14114" spans="46:46">
      <c r="AT14114"/>
    </row>
    <row r="14115" spans="46:46">
      <c r="AT14115"/>
    </row>
    <row r="14116" spans="46:46">
      <c r="AT14116"/>
    </row>
    <row r="14117" spans="46:46">
      <c r="AT14117"/>
    </row>
    <row r="14118" spans="46:46">
      <c r="AT14118"/>
    </row>
    <row r="14119" spans="46:46">
      <c r="AT14119"/>
    </row>
    <row r="14120" spans="46:46">
      <c r="AT14120"/>
    </row>
    <row r="14121" spans="46:46">
      <c r="AT14121"/>
    </row>
    <row r="14122" spans="46:46">
      <c r="AT14122"/>
    </row>
    <row r="14123" spans="46:46">
      <c r="AT14123"/>
    </row>
    <row r="14124" spans="46:46">
      <c r="AT14124"/>
    </row>
    <row r="14125" spans="46:46">
      <c r="AT14125"/>
    </row>
    <row r="14126" spans="46:46">
      <c r="AT14126"/>
    </row>
    <row r="14127" spans="46:46">
      <c r="AT14127"/>
    </row>
    <row r="14128" spans="46:46">
      <c r="AT14128"/>
    </row>
    <row r="14129" spans="46:46">
      <c r="AT14129"/>
    </row>
    <row r="14130" spans="46:46">
      <c r="AT14130"/>
    </row>
    <row r="14131" spans="46:46">
      <c r="AT14131"/>
    </row>
    <row r="14132" spans="46:46">
      <c r="AT14132"/>
    </row>
    <row r="14133" spans="46:46">
      <c r="AT14133"/>
    </row>
    <row r="14134" spans="46:46">
      <c r="AT14134"/>
    </row>
    <row r="14135" spans="46:46">
      <c r="AT14135"/>
    </row>
    <row r="14136" spans="46:46">
      <c r="AT14136"/>
    </row>
    <row r="14137" spans="46:46">
      <c r="AT14137"/>
    </row>
    <row r="14138" spans="46:46">
      <c r="AT14138"/>
    </row>
    <row r="14139" spans="46:46">
      <c r="AT14139"/>
    </row>
    <row r="14140" spans="46:46">
      <c r="AT14140"/>
    </row>
    <row r="14141" spans="46:46">
      <c r="AT14141"/>
    </row>
    <row r="14142" spans="46:46">
      <c r="AT14142"/>
    </row>
    <row r="14143" spans="46:46">
      <c r="AT14143"/>
    </row>
    <row r="14144" spans="46:46">
      <c r="AT14144"/>
    </row>
    <row r="14145" spans="46:46">
      <c r="AT14145"/>
    </row>
    <row r="14146" spans="46:46">
      <c r="AT14146"/>
    </row>
    <row r="14147" spans="46:46">
      <c r="AT14147"/>
    </row>
    <row r="14148" spans="46:46">
      <c r="AT14148"/>
    </row>
    <row r="14149" spans="46:46">
      <c r="AT14149"/>
    </row>
    <row r="14150" spans="46:46">
      <c r="AT14150"/>
    </row>
    <row r="14151" spans="46:46">
      <c r="AT14151"/>
    </row>
    <row r="14152" spans="46:46">
      <c r="AT14152"/>
    </row>
    <row r="14153" spans="46:46">
      <c r="AT14153"/>
    </row>
    <row r="14154" spans="46:46">
      <c r="AT14154"/>
    </row>
    <row r="14155" spans="46:46">
      <c r="AT14155"/>
    </row>
    <row r="14156" spans="46:46">
      <c r="AT14156"/>
    </row>
    <row r="14157" spans="46:46">
      <c r="AT14157"/>
    </row>
    <row r="14158" spans="46:46">
      <c r="AT14158"/>
    </row>
    <row r="14159" spans="46:46">
      <c r="AT14159"/>
    </row>
    <row r="14160" spans="46:46">
      <c r="AT14160"/>
    </row>
    <row r="14161" spans="46:46">
      <c r="AT14161"/>
    </row>
    <row r="14162" spans="46:46">
      <c r="AT14162"/>
    </row>
    <row r="14163" spans="46:46">
      <c r="AT14163"/>
    </row>
    <row r="14164" spans="46:46">
      <c r="AT14164"/>
    </row>
    <row r="14165" spans="46:46">
      <c r="AT14165"/>
    </row>
    <row r="14166" spans="46:46">
      <c r="AT14166"/>
    </row>
    <row r="14167" spans="46:46">
      <c r="AT14167"/>
    </row>
    <row r="14168" spans="46:46">
      <c r="AT14168"/>
    </row>
    <row r="14169" spans="46:46">
      <c r="AT14169"/>
    </row>
    <row r="14170" spans="46:46">
      <c r="AT14170"/>
    </row>
    <row r="14171" spans="46:46">
      <c r="AT14171"/>
    </row>
    <row r="14172" spans="46:46">
      <c r="AT14172"/>
    </row>
    <row r="14173" spans="46:46">
      <c r="AT14173"/>
    </row>
    <row r="14174" spans="46:46">
      <c r="AT14174"/>
    </row>
    <row r="14175" spans="46:46">
      <c r="AT14175"/>
    </row>
    <row r="14176" spans="46:46">
      <c r="AT14176"/>
    </row>
    <row r="14177" spans="46:46">
      <c r="AT14177"/>
    </row>
    <row r="14178" spans="46:46">
      <c r="AT14178"/>
    </row>
    <row r="14179" spans="46:46">
      <c r="AT14179"/>
    </row>
    <row r="14180" spans="46:46">
      <c r="AT14180"/>
    </row>
    <row r="14181" spans="46:46">
      <c r="AT14181"/>
    </row>
    <row r="14182" spans="46:46">
      <c r="AT14182"/>
    </row>
    <row r="14183" spans="46:46">
      <c r="AT14183"/>
    </row>
    <row r="14184" spans="46:46">
      <c r="AT14184"/>
    </row>
    <row r="14185" spans="46:46">
      <c r="AT14185"/>
    </row>
    <row r="14186" spans="46:46">
      <c r="AT14186"/>
    </row>
    <row r="14187" spans="46:46">
      <c r="AT14187"/>
    </row>
    <row r="14188" spans="46:46">
      <c r="AT14188"/>
    </row>
    <row r="14189" spans="46:46">
      <c r="AT14189"/>
    </row>
    <row r="14190" spans="46:46">
      <c r="AT14190"/>
    </row>
    <row r="14191" spans="46:46">
      <c r="AT14191"/>
    </row>
    <row r="14192" spans="46:46">
      <c r="AT14192"/>
    </row>
    <row r="14193" spans="46:46">
      <c r="AT14193"/>
    </row>
    <row r="14194" spans="46:46">
      <c r="AT14194"/>
    </row>
    <row r="14195" spans="46:46">
      <c r="AT14195"/>
    </row>
    <row r="14196" spans="46:46">
      <c r="AT14196"/>
    </row>
    <row r="14197" spans="46:46">
      <c r="AT14197"/>
    </row>
    <row r="14198" spans="46:46">
      <c r="AT14198"/>
    </row>
    <row r="14199" spans="46:46">
      <c r="AT14199"/>
    </row>
    <row r="14200" spans="46:46">
      <c r="AT14200"/>
    </row>
    <row r="14201" spans="46:46">
      <c r="AT14201"/>
    </row>
    <row r="14202" spans="46:46">
      <c r="AT14202"/>
    </row>
    <row r="14203" spans="46:46">
      <c r="AT14203"/>
    </row>
    <row r="14204" spans="46:46">
      <c r="AT14204"/>
    </row>
    <row r="14205" spans="46:46">
      <c r="AT14205"/>
    </row>
    <row r="14206" spans="46:46">
      <c r="AT14206"/>
    </row>
    <row r="14207" spans="46:46">
      <c r="AT14207"/>
    </row>
    <row r="14208" spans="46:46">
      <c r="AT14208"/>
    </row>
    <row r="14209" spans="46:46">
      <c r="AT14209"/>
    </row>
    <row r="14210" spans="46:46">
      <c r="AT14210"/>
    </row>
    <row r="14211" spans="46:46">
      <c r="AT14211"/>
    </row>
    <row r="14212" spans="46:46">
      <c r="AT14212"/>
    </row>
    <row r="14213" spans="46:46">
      <c r="AT14213"/>
    </row>
    <row r="14214" spans="46:46">
      <c r="AT14214"/>
    </row>
    <row r="14215" spans="46:46">
      <c r="AT14215"/>
    </row>
    <row r="14216" spans="46:46">
      <c r="AT14216"/>
    </row>
    <row r="14217" spans="46:46">
      <c r="AT14217"/>
    </row>
    <row r="14218" spans="46:46">
      <c r="AT14218"/>
    </row>
    <row r="14219" spans="46:46">
      <c r="AT14219"/>
    </row>
    <row r="14220" spans="46:46">
      <c r="AT14220"/>
    </row>
    <row r="14221" spans="46:46">
      <c r="AT14221"/>
    </row>
    <row r="14222" spans="46:46">
      <c r="AT14222"/>
    </row>
    <row r="14223" spans="46:46">
      <c r="AT14223"/>
    </row>
    <row r="14224" spans="46:46">
      <c r="AT14224"/>
    </row>
    <row r="14225" spans="46:46">
      <c r="AT14225"/>
    </row>
    <row r="14226" spans="46:46">
      <c r="AT14226"/>
    </row>
    <row r="14227" spans="46:46">
      <c r="AT14227"/>
    </row>
    <row r="14228" spans="46:46">
      <c r="AT14228"/>
    </row>
    <row r="14229" spans="46:46">
      <c r="AT14229"/>
    </row>
    <row r="14230" spans="46:46">
      <c r="AT14230"/>
    </row>
    <row r="14231" spans="46:46">
      <c r="AT14231"/>
    </row>
    <row r="14232" spans="46:46">
      <c r="AT14232"/>
    </row>
    <row r="14233" spans="46:46">
      <c r="AT14233"/>
    </row>
    <row r="14234" spans="46:46">
      <c r="AT14234"/>
    </row>
    <row r="14235" spans="46:46">
      <c r="AT14235"/>
    </row>
    <row r="14236" spans="46:46">
      <c r="AT14236"/>
    </row>
    <row r="14237" spans="46:46">
      <c r="AT14237"/>
    </row>
    <row r="14238" spans="46:46">
      <c r="AT14238"/>
    </row>
    <row r="14239" spans="46:46">
      <c r="AT14239"/>
    </row>
    <row r="14240" spans="46:46">
      <c r="AT14240"/>
    </row>
    <row r="14241" spans="46:46">
      <c r="AT14241"/>
    </row>
    <row r="14242" spans="46:46">
      <c r="AT14242"/>
    </row>
    <row r="14243" spans="46:46">
      <c r="AT14243"/>
    </row>
    <row r="14244" spans="46:46">
      <c r="AT14244"/>
    </row>
    <row r="14245" spans="46:46">
      <c r="AT14245"/>
    </row>
    <row r="14246" spans="46:46">
      <c r="AT14246"/>
    </row>
    <row r="14247" spans="46:46">
      <c r="AT14247"/>
    </row>
    <row r="14248" spans="46:46">
      <c r="AT14248"/>
    </row>
    <row r="14249" spans="46:46">
      <c r="AT14249"/>
    </row>
    <row r="14250" spans="46:46">
      <c r="AT14250"/>
    </row>
    <row r="14251" spans="46:46">
      <c r="AT14251"/>
    </row>
    <row r="14252" spans="46:46">
      <c r="AT14252"/>
    </row>
    <row r="14253" spans="46:46">
      <c r="AT14253"/>
    </row>
    <row r="14254" spans="46:46">
      <c r="AT14254"/>
    </row>
    <row r="14255" spans="46:46">
      <c r="AT14255"/>
    </row>
    <row r="14256" spans="46:46">
      <c r="AT14256"/>
    </row>
    <row r="14257" spans="46:46">
      <c r="AT14257"/>
    </row>
    <row r="14258" spans="46:46">
      <c r="AT14258"/>
    </row>
    <row r="14259" spans="46:46">
      <c r="AT14259"/>
    </row>
    <row r="14260" spans="46:46">
      <c r="AT14260"/>
    </row>
    <row r="14261" spans="46:46">
      <c r="AT14261"/>
    </row>
    <row r="14262" spans="46:46">
      <c r="AT14262"/>
    </row>
    <row r="14263" spans="46:46">
      <c r="AT14263"/>
    </row>
    <row r="14264" spans="46:46">
      <c r="AT14264"/>
    </row>
    <row r="14265" spans="46:46">
      <c r="AT14265"/>
    </row>
    <row r="14266" spans="46:46">
      <c r="AT14266"/>
    </row>
    <row r="14267" spans="46:46">
      <c r="AT14267"/>
    </row>
    <row r="14268" spans="46:46">
      <c r="AT14268"/>
    </row>
    <row r="14269" spans="46:46">
      <c r="AT14269"/>
    </row>
    <row r="14270" spans="46:46">
      <c r="AT14270"/>
    </row>
    <row r="14271" spans="46:46">
      <c r="AT14271"/>
    </row>
    <row r="14272" spans="46:46">
      <c r="AT14272"/>
    </row>
    <row r="14273" spans="46:46">
      <c r="AT14273"/>
    </row>
    <row r="14274" spans="46:46">
      <c r="AT14274"/>
    </row>
    <row r="14275" spans="46:46">
      <c r="AT14275"/>
    </row>
    <row r="14276" spans="46:46">
      <c r="AT14276"/>
    </row>
    <row r="14277" spans="46:46">
      <c r="AT14277"/>
    </row>
    <row r="14278" spans="46:46">
      <c r="AT14278"/>
    </row>
    <row r="14279" spans="46:46">
      <c r="AT14279"/>
    </row>
    <row r="14280" spans="46:46">
      <c r="AT14280"/>
    </row>
    <row r="14281" spans="46:46">
      <c r="AT14281"/>
    </row>
    <row r="14282" spans="46:46">
      <c r="AT14282"/>
    </row>
    <row r="14283" spans="46:46">
      <c r="AT14283"/>
    </row>
    <row r="14284" spans="46:46">
      <c r="AT14284"/>
    </row>
    <row r="14285" spans="46:46">
      <c r="AT14285"/>
    </row>
    <row r="14286" spans="46:46">
      <c r="AT14286"/>
    </row>
    <row r="14287" spans="46:46">
      <c r="AT14287"/>
    </row>
    <row r="14288" spans="46:46">
      <c r="AT14288"/>
    </row>
    <row r="14289" spans="46:46">
      <c r="AT14289"/>
    </row>
    <row r="14290" spans="46:46">
      <c r="AT14290"/>
    </row>
    <row r="14291" spans="46:46">
      <c r="AT14291"/>
    </row>
    <row r="14292" spans="46:46">
      <c r="AT14292"/>
    </row>
    <row r="14293" spans="46:46">
      <c r="AT14293"/>
    </row>
    <row r="14294" spans="46:46">
      <c r="AT14294"/>
    </row>
    <row r="14295" spans="46:46">
      <c r="AT14295"/>
    </row>
    <row r="14296" spans="46:46">
      <c r="AT14296"/>
    </row>
    <row r="14297" spans="46:46">
      <c r="AT14297"/>
    </row>
    <row r="14298" spans="46:46">
      <c r="AT14298"/>
    </row>
    <row r="14299" spans="46:46">
      <c r="AT14299"/>
    </row>
    <row r="14300" spans="46:46">
      <c r="AT14300"/>
    </row>
    <row r="14301" spans="46:46">
      <c r="AT14301"/>
    </row>
    <row r="14302" spans="46:46">
      <c r="AT14302"/>
    </row>
    <row r="14303" spans="46:46">
      <c r="AT14303"/>
    </row>
    <row r="14304" spans="46:46">
      <c r="AT14304"/>
    </row>
    <row r="14305" spans="46:46">
      <c r="AT14305"/>
    </row>
    <row r="14306" spans="46:46">
      <c r="AT14306"/>
    </row>
    <row r="14307" spans="46:46">
      <c r="AT14307"/>
    </row>
    <row r="14308" spans="46:46">
      <c r="AT14308"/>
    </row>
    <row r="14309" spans="46:46">
      <c r="AT14309"/>
    </row>
    <row r="14310" spans="46:46">
      <c r="AT14310"/>
    </row>
    <row r="14311" spans="46:46">
      <c r="AT14311"/>
    </row>
    <row r="14312" spans="46:46">
      <c r="AT14312"/>
    </row>
    <row r="14313" spans="46:46">
      <c r="AT14313"/>
    </row>
    <row r="14314" spans="46:46">
      <c r="AT14314"/>
    </row>
    <row r="14315" spans="46:46">
      <c r="AT14315"/>
    </row>
    <row r="14316" spans="46:46">
      <c r="AT14316"/>
    </row>
    <row r="14317" spans="46:46">
      <c r="AT14317"/>
    </row>
    <row r="14318" spans="46:46">
      <c r="AT14318"/>
    </row>
    <row r="14319" spans="46:46">
      <c r="AT14319"/>
    </row>
    <row r="14320" spans="46:46">
      <c r="AT14320"/>
    </row>
    <row r="14321" spans="46:46">
      <c r="AT14321"/>
    </row>
    <row r="14322" spans="46:46">
      <c r="AT14322"/>
    </row>
    <row r="14323" spans="46:46">
      <c r="AT14323"/>
    </row>
    <row r="14324" spans="46:46">
      <c r="AT14324"/>
    </row>
    <row r="14325" spans="46:46">
      <c r="AT14325"/>
    </row>
    <row r="14326" spans="46:46">
      <c r="AT14326"/>
    </row>
    <row r="14327" spans="46:46">
      <c r="AT14327"/>
    </row>
    <row r="14328" spans="46:46">
      <c r="AT14328"/>
    </row>
    <row r="14329" spans="46:46">
      <c r="AT14329"/>
    </row>
    <row r="14330" spans="46:46">
      <c r="AT14330"/>
    </row>
    <row r="14331" spans="46:46">
      <c r="AT14331"/>
    </row>
    <row r="14332" spans="46:46">
      <c r="AT14332"/>
    </row>
    <row r="14333" spans="46:46">
      <c r="AT14333"/>
    </row>
    <row r="14334" spans="46:46">
      <c r="AT14334"/>
    </row>
    <row r="14335" spans="46:46">
      <c r="AT14335"/>
    </row>
    <row r="14336" spans="46:46">
      <c r="AT14336"/>
    </row>
    <row r="14337" spans="46:46">
      <c r="AT14337"/>
    </row>
    <row r="14338" spans="46:46">
      <c r="AT14338"/>
    </row>
    <row r="14339" spans="46:46">
      <c r="AT14339"/>
    </row>
    <row r="14340" spans="46:46">
      <c r="AT14340"/>
    </row>
    <row r="14341" spans="46:46">
      <c r="AT14341"/>
    </row>
    <row r="14342" spans="46:46">
      <c r="AT14342"/>
    </row>
    <row r="14343" spans="46:46">
      <c r="AT14343"/>
    </row>
    <row r="14344" spans="46:46">
      <c r="AT14344"/>
    </row>
    <row r="14345" spans="46:46">
      <c r="AT14345"/>
    </row>
    <row r="14346" spans="46:46">
      <c r="AT14346"/>
    </row>
    <row r="14347" spans="46:46">
      <c r="AT14347"/>
    </row>
    <row r="14348" spans="46:46">
      <c r="AT14348"/>
    </row>
    <row r="14349" spans="46:46">
      <c r="AT14349"/>
    </row>
    <row r="14350" spans="46:46">
      <c r="AT14350"/>
    </row>
    <row r="14351" spans="46:46">
      <c r="AT14351"/>
    </row>
    <row r="14352" spans="46:46">
      <c r="AT14352"/>
    </row>
    <row r="14353" spans="46:46">
      <c r="AT14353"/>
    </row>
    <row r="14354" spans="46:46">
      <c r="AT14354"/>
    </row>
    <row r="14355" spans="46:46">
      <c r="AT14355"/>
    </row>
    <row r="14356" spans="46:46">
      <c r="AT14356"/>
    </row>
    <row r="14357" spans="46:46">
      <c r="AT14357"/>
    </row>
    <row r="14358" spans="46:46">
      <c r="AT14358"/>
    </row>
    <row r="14359" spans="46:46">
      <c r="AT14359"/>
    </row>
    <row r="14360" spans="46:46">
      <c r="AT14360"/>
    </row>
    <row r="14361" spans="46:46">
      <c r="AT14361"/>
    </row>
    <row r="14362" spans="46:46">
      <c r="AT14362"/>
    </row>
    <row r="14363" spans="46:46">
      <c r="AT14363"/>
    </row>
    <row r="14364" spans="46:46">
      <c r="AT14364"/>
    </row>
    <row r="14365" spans="46:46">
      <c r="AT14365"/>
    </row>
    <row r="14366" spans="46:46">
      <c r="AT14366"/>
    </row>
    <row r="14367" spans="46:46">
      <c r="AT14367"/>
    </row>
    <row r="14368" spans="46:46">
      <c r="AT14368"/>
    </row>
    <row r="14369" spans="46:46">
      <c r="AT14369"/>
    </row>
    <row r="14370" spans="46:46">
      <c r="AT14370"/>
    </row>
    <row r="14371" spans="46:46">
      <c r="AT14371"/>
    </row>
    <row r="14372" spans="46:46">
      <c r="AT14372"/>
    </row>
    <row r="14373" spans="46:46">
      <c r="AT14373"/>
    </row>
    <row r="14374" spans="46:46">
      <c r="AT14374"/>
    </row>
    <row r="14375" spans="46:46">
      <c r="AT14375"/>
    </row>
    <row r="14376" spans="46:46">
      <c r="AT14376"/>
    </row>
    <row r="14377" spans="46:46">
      <c r="AT14377"/>
    </row>
    <row r="14378" spans="46:46">
      <c r="AT14378"/>
    </row>
    <row r="14379" spans="46:46">
      <c r="AT14379"/>
    </row>
    <row r="14380" spans="46:46">
      <c r="AT14380"/>
    </row>
    <row r="14381" spans="46:46">
      <c r="AT14381"/>
    </row>
    <row r="14382" spans="46:46">
      <c r="AT14382"/>
    </row>
    <row r="14383" spans="46:46">
      <c r="AT14383"/>
    </row>
    <row r="14384" spans="46:46">
      <c r="AT14384"/>
    </row>
    <row r="14385" spans="46:46">
      <c r="AT14385"/>
    </row>
    <row r="14386" spans="46:46">
      <c r="AT14386"/>
    </row>
    <row r="14387" spans="46:46">
      <c r="AT14387"/>
    </row>
    <row r="14388" spans="46:46">
      <c r="AT14388"/>
    </row>
    <row r="14389" spans="46:46">
      <c r="AT14389"/>
    </row>
    <row r="14390" spans="46:46">
      <c r="AT14390"/>
    </row>
    <row r="14391" spans="46:46">
      <c r="AT14391"/>
    </row>
    <row r="14392" spans="46:46">
      <c r="AT14392"/>
    </row>
    <row r="14393" spans="46:46">
      <c r="AT14393"/>
    </row>
    <row r="14394" spans="46:46">
      <c r="AT14394"/>
    </row>
    <row r="14395" spans="46:46">
      <c r="AT14395"/>
    </row>
    <row r="14396" spans="46:46">
      <c r="AT14396"/>
    </row>
    <row r="14397" spans="46:46">
      <c r="AT14397"/>
    </row>
    <row r="14398" spans="46:46">
      <c r="AT14398"/>
    </row>
    <row r="14399" spans="46:46">
      <c r="AT14399"/>
    </row>
    <row r="14400" spans="46:46">
      <c r="AT14400"/>
    </row>
    <row r="14401" spans="46:46">
      <c r="AT14401"/>
    </row>
    <row r="14402" spans="46:46">
      <c r="AT14402"/>
    </row>
    <row r="14403" spans="46:46">
      <c r="AT14403"/>
    </row>
    <row r="14404" spans="46:46">
      <c r="AT14404"/>
    </row>
    <row r="14405" spans="46:46">
      <c r="AT14405"/>
    </row>
    <row r="14406" spans="46:46">
      <c r="AT14406"/>
    </row>
    <row r="14407" spans="46:46">
      <c r="AT14407"/>
    </row>
    <row r="14408" spans="46:46">
      <c r="AT14408"/>
    </row>
    <row r="14409" spans="46:46">
      <c r="AT14409"/>
    </row>
    <row r="14410" spans="46:46">
      <c r="AT14410"/>
    </row>
    <row r="14411" spans="46:46">
      <c r="AT14411"/>
    </row>
    <row r="14412" spans="46:46">
      <c r="AT14412"/>
    </row>
    <row r="14413" spans="46:46">
      <c r="AT14413"/>
    </row>
    <row r="14414" spans="46:46">
      <c r="AT14414"/>
    </row>
    <row r="14415" spans="46:46">
      <c r="AT14415"/>
    </row>
    <row r="14416" spans="46:46">
      <c r="AT14416"/>
    </row>
    <row r="14417" spans="46:46">
      <c r="AT14417"/>
    </row>
    <row r="14418" spans="46:46">
      <c r="AT14418"/>
    </row>
    <row r="14419" spans="46:46">
      <c r="AT14419"/>
    </row>
    <row r="14420" spans="46:46">
      <c r="AT14420"/>
    </row>
    <row r="14421" spans="46:46">
      <c r="AT14421"/>
    </row>
    <row r="14422" spans="46:46">
      <c r="AT14422"/>
    </row>
    <row r="14423" spans="46:46">
      <c r="AT14423"/>
    </row>
    <row r="14424" spans="46:46">
      <c r="AT14424"/>
    </row>
    <row r="14425" spans="46:46">
      <c r="AT14425"/>
    </row>
    <row r="14426" spans="46:46">
      <c r="AT14426"/>
    </row>
    <row r="14427" spans="46:46">
      <c r="AT14427"/>
    </row>
    <row r="14428" spans="46:46">
      <c r="AT14428"/>
    </row>
    <row r="14429" spans="46:46">
      <c r="AT14429"/>
    </row>
    <row r="14430" spans="46:46">
      <c r="AT14430"/>
    </row>
    <row r="14431" spans="46:46">
      <c r="AT14431"/>
    </row>
    <row r="14432" spans="46:46">
      <c r="AT14432"/>
    </row>
    <row r="14433" spans="46:46">
      <c r="AT14433"/>
    </row>
    <row r="14434" spans="46:46">
      <c r="AT14434"/>
    </row>
    <row r="14435" spans="46:46">
      <c r="AT14435"/>
    </row>
    <row r="14436" spans="46:46">
      <c r="AT14436"/>
    </row>
    <row r="14437" spans="46:46">
      <c r="AT14437"/>
    </row>
    <row r="14438" spans="46:46">
      <c r="AT14438"/>
    </row>
    <row r="14439" spans="46:46">
      <c r="AT14439"/>
    </row>
    <row r="14440" spans="46:46">
      <c r="AT14440"/>
    </row>
    <row r="14441" spans="46:46">
      <c r="AT14441"/>
    </row>
    <row r="14442" spans="46:46">
      <c r="AT14442"/>
    </row>
    <row r="14443" spans="46:46">
      <c r="AT14443"/>
    </row>
    <row r="14444" spans="46:46">
      <c r="AT14444"/>
    </row>
    <row r="14445" spans="46:46">
      <c r="AT14445"/>
    </row>
    <row r="14446" spans="46:46">
      <c r="AT14446"/>
    </row>
    <row r="14447" spans="46:46">
      <c r="AT14447"/>
    </row>
    <row r="14448" spans="46:46">
      <c r="AT14448"/>
    </row>
    <row r="14449" spans="46:46">
      <c r="AT14449"/>
    </row>
    <row r="14450" spans="46:46">
      <c r="AT14450"/>
    </row>
    <row r="14451" spans="46:46">
      <c r="AT14451"/>
    </row>
    <row r="14452" spans="46:46">
      <c r="AT14452"/>
    </row>
    <row r="14453" spans="46:46">
      <c r="AT14453"/>
    </row>
    <row r="14454" spans="46:46">
      <c r="AT14454"/>
    </row>
    <row r="14455" spans="46:46">
      <c r="AT14455"/>
    </row>
    <row r="14456" spans="46:46">
      <c r="AT14456"/>
    </row>
    <row r="14457" spans="46:46">
      <c r="AT14457"/>
    </row>
    <row r="14458" spans="46:46">
      <c r="AT14458"/>
    </row>
    <row r="14459" spans="46:46">
      <c r="AT14459"/>
    </row>
    <row r="14460" spans="46:46">
      <c r="AT14460"/>
    </row>
    <row r="14461" spans="46:46">
      <c r="AT14461"/>
    </row>
    <row r="14462" spans="46:46">
      <c r="AT14462"/>
    </row>
    <row r="14463" spans="46:46">
      <c r="AT14463"/>
    </row>
    <row r="14464" spans="46:46">
      <c r="AT14464"/>
    </row>
    <row r="14465" spans="46:46">
      <c r="AT14465"/>
    </row>
    <row r="14466" spans="46:46">
      <c r="AT14466"/>
    </row>
    <row r="14467" spans="46:46">
      <c r="AT14467"/>
    </row>
    <row r="14468" spans="46:46">
      <c r="AT14468"/>
    </row>
    <row r="14469" spans="46:46">
      <c r="AT14469"/>
    </row>
    <row r="14470" spans="46:46">
      <c r="AT14470"/>
    </row>
    <row r="14471" spans="46:46">
      <c r="AT14471"/>
    </row>
    <row r="14472" spans="46:46">
      <c r="AT14472"/>
    </row>
    <row r="14473" spans="46:46">
      <c r="AT14473"/>
    </row>
    <row r="14474" spans="46:46">
      <c r="AT14474"/>
    </row>
    <row r="14475" spans="46:46">
      <c r="AT14475"/>
    </row>
    <row r="14476" spans="46:46">
      <c r="AT14476"/>
    </row>
    <row r="14477" spans="46:46">
      <c r="AT14477"/>
    </row>
    <row r="14478" spans="46:46">
      <c r="AT14478"/>
    </row>
    <row r="14479" spans="46:46">
      <c r="AT14479"/>
    </row>
    <row r="14480" spans="46:46">
      <c r="AT14480"/>
    </row>
    <row r="14481" spans="46:46">
      <c r="AT14481"/>
    </row>
    <row r="14482" spans="46:46">
      <c r="AT14482"/>
    </row>
    <row r="14483" spans="46:46">
      <c r="AT14483"/>
    </row>
    <row r="14484" spans="46:46">
      <c r="AT14484"/>
    </row>
    <row r="14485" spans="46:46">
      <c r="AT14485"/>
    </row>
    <row r="14486" spans="46:46">
      <c r="AT14486"/>
    </row>
    <row r="14487" spans="46:46">
      <c r="AT14487"/>
    </row>
    <row r="14488" spans="46:46">
      <c r="AT14488"/>
    </row>
    <row r="14489" spans="46:46">
      <c r="AT14489"/>
    </row>
    <row r="14490" spans="46:46">
      <c r="AT14490"/>
    </row>
    <row r="14491" spans="46:46">
      <c r="AT14491"/>
    </row>
    <row r="14492" spans="46:46">
      <c r="AT14492"/>
    </row>
    <row r="14493" spans="46:46">
      <c r="AT14493"/>
    </row>
    <row r="14494" spans="46:46">
      <c r="AT14494"/>
    </row>
    <row r="14495" spans="46:46">
      <c r="AT14495"/>
    </row>
    <row r="14496" spans="46:46">
      <c r="AT14496"/>
    </row>
    <row r="14497" spans="46:46">
      <c r="AT14497"/>
    </row>
    <row r="14498" spans="46:46">
      <c r="AT14498"/>
    </row>
    <row r="14499" spans="46:46">
      <c r="AT14499"/>
    </row>
    <row r="14500" spans="46:46">
      <c r="AT14500"/>
    </row>
    <row r="14501" spans="46:46">
      <c r="AT14501"/>
    </row>
    <row r="14502" spans="46:46">
      <c r="AT14502"/>
    </row>
    <row r="14503" spans="46:46">
      <c r="AT14503"/>
    </row>
    <row r="14504" spans="46:46">
      <c r="AT14504"/>
    </row>
    <row r="14505" spans="46:46">
      <c r="AT14505"/>
    </row>
    <row r="14506" spans="46:46">
      <c r="AT14506"/>
    </row>
    <row r="14507" spans="46:46">
      <c r="AT14507"/>
    </row>
    <row r="14508" spans="46:46">
      <c r="AT14508"/>
    </row>
    <row r="14509" spans="46:46">
      <c r="AT14509"/>
    </row>
    <row r="14510" spans="46:46">
      <c r="AT14510"/>
    </row>
    <row r="14511" spans="46:46">
      <c r="AT14511"/>
    </row>
    <row r="14512" spans="46:46">
      <c r="AT14512"/>
    </row>
    <row r="14513" spans="46:46">
      <c r="AT14513"/>
    </row>
    <row r="14514" spans="46:46">
      <c r="AT14514"/>
    </row>
    <row r="14515" spans="46:46">
      <c r="AT14515"/>
    </row>
    <row r="14516" spans="46:46">
      <c r="AT14516"/>
    </row>
    <row r="14517" spans="46:46">
      <c r="AT14517"/>
    </row>
    <row r="14518" spans="46:46">
      <c r="AT14518"/>
    </row>
    <row r="14519" spans="46:46">
      <c r="AT14519"/>
    </row>
    <row r="14520" spans="46:46">
      <c r="AT14520"/>
    </row>
    <row r="14521" spans="46:46">
      <c r="AT14521"/>
    </row>
    <row r="14522" spans="46:46">
      <c r="AT14522"/>
    </row>
    <row r="14523" spans="46:46">
      <c r="AT14523"/>
    </row>
    <row r="14524" spans="46:46">
      <c r="AT14524"/>
    </row>
    <row r="14525" spans="46:46">
      <c r="AT14525"/>
    </row>
    <row r="14526" spans="46:46">
      <c r="AT14526"/>
    </row>
    <row r="14527" spans="46:46">
      <c r="AT14527"/>
    </row>
    <row r="14528" spans="46:46">
      <c r="AT14528"/>
    </row>
    <row r="14529" spans="46:46">
      <c r="AT14529"/>
    </row>
    <row r="14530" spans="46:46">
      <c r="AT14530"/>
    </row>
    <row r="14531" spans="46:46">
      <c r="AT14531"/>
    </row>
    <row r="14532" spans="46:46">
      <c r="AT14532"/>
    </row>
    <row r="14533" spans="46:46">
      <c r="AT14533"/>
    </row>
    <row r="14534" spans="46:46">
      <c r="AT14534"/>
    </row>
    <row r="14535" spans="46:46">
      <c r="AT14535"/>
    </row>
    <row r="14536" spans="46:46">
      <c r="AT14536"/>
    </row>
    <row r="14537" spans="46:46">
      <c r="AT14537"/>
    </row>
    <row r="14538" spans="46:46">
      <c r="AT14538"/>
    </row>
    <row r="14539" spans="46:46">
      <c r="AT14539"/>
    </row>
    <row r="14540" spans="46:46">
      <c r="AT14540"/>
    </row>
    <row r="14541" spans="46:46">
      <c r="AT14541"/>
    </row>
    <row r="14542" spans="46:46">
      <c r="AT14542"/>
    </row>
    <row r="14543" spans="46:46">
      <c r="AT14543"/>
    </row>
    <row r="14544" spans="46:46">
      <c r="AT14544"/>
    </row>
    <row r="14545" spans="46:46">
      <c r="AT14545"/>
    </row>
    <row r="14546" spans="46:46">
      <c r="AT14546"/>
    </row>
    <row r="14547" spans="46:46">
      <c r="AT14547"/>
    </row>
    <row r="14548" spans="46:46">
      <c r="AT14548"/>
    </row>
    <row r="14549" spans="46:46">
      <c r="AT14549"/>
    </row>
    <row r="14550" spans="46:46">
      <c r="AT14550"/>
    </row>
    <row r="14551" spans="46:46">
      <c r="AT14551"/>
    </row>
    <row r="14552" spans="46:46">
      <c r="AT14552"/>
    </row>
    <row r="14553" spans="46:46">
      <c r="AT14553"/>
    </row>
    <row r="14554" spans="46:46">
      <c r="AT14554"/>
    </row>
    <row r="14555" spans="46:46">
      <c r="AT14555"/>
    </row>
    <row r="14556" spans="46:46">
      <c r="AT14556"/>
    </row>
    <row r="14557" spans="46:46">
      <c r="AT14557"/>
    </row>
    <row r="14558" spans="46:46">
      <c r="AT14558"/>
    </row>
    <row r="14559" spans="46:46">
      <c r="AT14559"/>
    </row>
    <row r="14560" spans="46:46">
      <c r="AT14560"/>
    </row>
    <row r="14561" spans="46:46">
      <c r="AT14561"/>
    </row>
    <row r="14562" spans="46:46">
      <c r="AT14562"/>
    </row>
    <row r="14563" spans="46:46">
      <c r="AT14563"/>
    </row>
    <row r="14564" spans="46:46">
      <c r="AT14564"/>
    </row>
    <row r="14565" spans="46:46">
      <c r="AT14565"/>
    </row>
    <row r="14566" spans="46:46">
      <c r="AT14566"/>
    </row>
    <row r="14567" spans="46:46">
      <c r="AT14567"/>
    </row>
    <row r="14568" spans="46:46">
      <c r="AT14568"/>
    </row>
    <row r="14569" spans="46:46">
      <c r="AT14569"/>
    </row>
    <row r="14570" spans="46:46">
      <c r="AT14570"/>
    </row>
    <row r="14571" spans="46:46">
      <c r="AT14571"/>
    </row>
    <row r="14572" spans="46:46">
      <c r="AT14572"/>
    </row>
    <row r="14573" spans="46:46">
      <c r="AT14573"/>
    </row>
    <row r="14574" spans="46:46">
      <c r="AT14574"/>
    </row>
    <row r="14575" spans="46:46">
      <c r="AT14575"/>
    </row>
    <row r="14576" spans="46:46">
      <c r="AT14576"/>
    </row>
    <row r="14577" spans="46:46">
      <c r="AT14577"/>
    </row>
    <row r="14578" spans="46:46">
      <c r="AT14578"/>
    </row>
    <row r="14579" spans="46:46">
      <c r="AT14579"/>
    </row>
    <row r="14580" spans="46:46">
      <c r="AT14580"/>
    </row>
    <row r="14581" spans="46:46">
      <c r="AT14581"/>
    </row>
    <row r="14582" spans="46:46">
      <c r="AT14582"/>
    </row>
    <row r="14583" spans="46:46">
      <c r="AT14583"/>
    </row>
    <row r="14584" spans="46:46">
      <c r="AT14584"/>
    </row>
    <row r="14585" spans="46:46">
      <c r="AT14585"/>
    </row>
    <row r="14586" spans="46:46">
      <c r="AT14586"/>
    </row>
    <row r="14587" spans="46:46">
      <c r="AT14587"/>
    </row>
    <row r="14588" spans="46:46">
      <c r="AT14588"/>
    </row>
    <row r="14589" spans="46:46">
      <c r="AT14589"/>
    </row>
    <row r="14590" spans="46:46">
      <c r="AT14590"/>
    </row>
    <row r="14591" spans="46:46">
      <c r="AT14591"/>
    </row>
    <row r="14592" spans="46:46">
      <c r="AT14592"/>
    </row>
    <row r="14593" spans="46:46">
      <c r="AT14593"/>
    </row>
    <row r="14594" spans="46:46">
      <c r="AT14594"/>
    </row>
    <row r="14595" spans="46:46">
      <c r="AT14595"/>
    </row>
    <row r="14596" spans="46:46">
      <c r="AT14596"/>
    </row>
    <row r="14597" spans="46:46">
      <c r="AT14597"/>
    </row>
    <row r="14598" spans="46:46">
      <c r="AT14598"/>
    </row>
    <row r="14599" spans="46:46">
      <c r="AT14599"/>
    </row>
    <row r="14600" spans="46:46">
      <c r="AT14600"/>
    </row>
    <row r="14601" spans="46:46">
      <c r="AT14601"/>
    </row>
    <row r="14602" spans="46:46">
      <c r="AT14602"/>
    </row>
    <row r="14603" spans="46:46">
      <c r="AT14603"/>
    </row>
    <row r="14604" spans="46:46">
      <c r="AT14604"/>
    </row>
    <row r="14605" spans="46:46">
      <c r="AT14605"/>
    </row>
    <row r="14606" spans="46:46">
      <c r="AT14606"/>
    </row>
    <row r="14607" spans="46:46">
      <c r="AT14607"/>
    </row>
    <row r="14608" spans="46:46">
      <c r="AT14608"/>
    </row>
    <row r="14609" spans="46:46">
      <c r="AT14609"/>
    </row>
    <row r="14610" spans="46:46">
      <c r="AT14610"/>
    </row>
    <row r="14611" spans="46:46">
      <c r="AT14611"/>
    </row>
    <row r="14612" spans="46:46">
      <c r="AT14612"/>
    </row>
    <row r="14613" spans="46:46">
      <c r="AT14613"/>
    </row>
    <row r="14614" spans="46:46">
      <c r="AT14614"/>
    </row>
    <row r="14615" spans="46:46">
      <c r="AT14615"/>
    </row>
    <row r="14616" spans="46:46">
      <c r="AT14616"/>
    </row>
    <row r="14617" spans="46:46">
      <c r="AT14617"/>
    </row>
    <row r="14618" spans="46:46">
      <c r="AT14618"/>
    </row>
    <row r="14619" spans="46:46">
      <c r="AT14619"/>
    </row>
    <row r="14620" spans="46:46">
      <c r="AT14620"/>
    </row>
    <row r="14621" spans="46:46">
      <c r="AT14621"/>
    </row>
    <row r="14622" spans="46:46">
      <c r="AT14622"/>
    </row>
    <row r="14623" spans="46:46">
      <c r="AT14623"/>
    </row>
    <row r="14624" spans="46:46">
      <c r="AT14624"/>
    </row>
    <row r="14625" spans="46:46">
      <c r="AT14625"/>
    </row>
    <row r="14626" spans="46:46">
      <c r="AT14626"/>
    </row>
    <row r="14627" spans="46:46">
      <c r="AT14627"/>
    </row>
    <row r="14628" spans="46:46">
      <c r="AT14628"/>
    </row>
    <row r="14629" spans="46:46">
      <c r="AT14629"/>
    </row>
    <row r="14630" spans="46:46">
      <c r="AT14630"/>
    </row>
    <row r="14631" spans="46:46">
      <c r="AT14631"/>
    </row>
    <row r="14632" spans="46:46">
      <c r="AT14632"/>
    </row>
    <row r="14633" spans="46:46">
      <c r="AT14633"/>
    </row>
    <row r="14634" spans="46:46">
      <c r="AT14634"/>
    </row>
    <row r="14635" spans="46:46">
      <c r="AT14635"/>
    </row>
    <row r="14636" spans="46:46">
      <c r="AT14636"/>
    </row>
    <row r="14637" spans="46:46">
      <c r="AT14637"/>
    </row>
    <row r="14638" spans="46:46">
      <c r="AT14638"/>
    </row>
    <row r="14639" spans="46:46">
      <c r="AT14639"/>
    </row>
    <row r="14640" spans="46:46">
      <c r="AT14640"/>
    </row>
    <row r="14641" spans="46:46">
      <c r="AT14641"/>
    </row>
    <row r="14642" spans="46:46">
      <c r="AT14642"/>
    </row>
    <row r="14643" spans="46:46">
      <c r="AT14643"/>
    </row>
    <row r="14644" spans="46:46">
      <c r="AT14644"/>
    </row>
    <row r="14645" spans="46:46">
      <c r="AT14645"/>
    </row>
    <row r="14646" spans="46:46">
      <c r="AT14646"/>
    </row>
    <row r="14647" spans="46:46">
      <c r="AT14647"/>
    </row>
    <row r="14648" spans="46:46">
      <c r="AT14648"/>
    </row>
    <row r="14649" spans="46:46">
      <c r="AT14649"/>
    </row>
    <row r="14650" spans="46:46">
      <c r="AT14650"/>
    </row>
    <row r="14651" spans="46:46">
      <c r="AT14651"/>
    </row>
    <row r="14652" spans="46:46">
      <c r="AT14652"/>
    </row>
    <row r="14653" spans="46:46">
      <c r="AT14653"/>
    </row>
    <row r="14654" spans="46:46">
      <c r="AT14654"/>
    </row>
    <row r="14655" spans="46:46">
      <c r="AT14655"/>
    </row>
    <row r="14656" spans="46:46">
      <c r="AT14656"/>
    </row>
    <row r="14657" spans="46:46">
      <c r="AT14657"/>
    </row>
    <row r="14658" spans="46:46">
      <c r="AT14658"/>
    </row>
    <row r="14659" spans="46:46">
      <c r="AT14659"/>
    </row>
    <row r="14660" spans="46:46">
      <c r="AT14660"/>
    </row>
    <row r="14661" spans="46:46">
      <c r="AT14661"/>
    </row>
    <row r="14662" spans="46:46">
      <c r="AT14662"/>
    </row>
    <row r="14663" spans="46:46">
      <c r="AT14663"/>
    </row>
    <row r="14664" spans="46:46">
      <c r="AT14664"/>
    </row>
    <row r="14665" spans="46:46">
      <c r="AT14665"/>
    </row>
    <row r="14666" spans="46:46">
      <c r="AT14666"/>
    </row>
    <row r="14667" spans="46:46">
      <c r="AT14667"/>
    </row>
    <row r="14668" spans="46:46">
      <c r="AT14668"/>
    </row>
    <row r="14669" spans="46:46">
      <c r="AT14669"/>
    </row>
    <row r="14670" spans="46:46">
      <c r="AT14670"/>
    </row>
    <row r="14671" spans="46:46">
      <c r="AT14671"/>
    </row>
    <row r="14672" spans="46:46">
      <c r="AT14672"/>
    </row>
    <row r="14673" spans="46:46">
      <c r="AT14673"/>
    </row>
    <row r="14674" spans="46:46">
      <c r="AT14674"/>
    </row>
    <row r="14675" spans="46:46">
      <c r="AT14675"/>
    </row>
    <row r="14676" spans="46:46">
      <c r="AT14676"/>
    </row>
    <row r="14677" spans="46:46">
      <c r="AT14677"/>
    </row>
    <row r="14678" spans="46:46">
      <c r="AT14678"/>
    </row>
    <row r="14679" spans="46:46">
      <c r="AT14679"/>
    </row>
    <row r="14680" spans="46:46">
      <c r="AT14680"/>
    </row>
    <row r="14681" spans="46:46">
      <c r="AT14681"/>
    </row>
    <row r="14682" spans="46:46">
      <c r="AT14682"/>
    </row>
    <row r="14683" spans="46:46">
      <c r="AT14683"/>
    </row>
    <row r="14684" spans="46:46">
      <c r="AT14684"/>
    </row>
    <row r="14685" spans="46:46">
      <c r="AT14685"/>
    </row>
    <row r="14686" spans="46:46">
      <c r="AT14686"/>
    </row>
    <row r="14687" spans="46:46">
      <c r="AT14687"/>
    </row>
    <row r="14688" spans="46:46">
      <c r="AT14688"/>
    </row>
    <row r="14689" spans="46:46">
      <c r="AT14689"/>
    </row>
    <row r="14690" spans="46:46">
      <c r="AT14690"/>
    </row>
    <row r="14691" spans="46:46">
      <c r="AT14691"/>
    </row>
    <row r="14692" spans="46:46">
      <c r="AT14692"/>
    </row>
    <row r="14693" spans="46:46">
      <c r="AT14693"/>
    </row>
    <row r="14694" spans="46:46">
      <c r="AT14694"/>
    </row>
    <row r="14695" spans="46:46">
      <c r="AT14695"/>
    </row>
    <row r="14696" spans="46:46">
      <c r="AT14696"/>
    </row>
    <row r="14697" spans="46:46">
      <c r="AT14697"/>
    </row>
    <row r="14698" spans="46:46">
      <c r="AT14698"/>
    </row>
    <row r="14699" spans="46:46">
      <c r="AT14699"/>
    </row>
    <row r="14700" spans="46:46">
      <c r="AT14700"/>
    </row>
    <row r="14701" spans="46:46">
      <c r="AT14701"/>
    </row>
    <row r="14702" spans="46:46">
      <c r="AT14702"/>
    </row>
    <row r="14703" spans="46:46">
      <c r="AT14703"/>
    </row>
    <row r="14704" spans="46:46">
      <c r="AT14704"/>
    </row>
    <row r="14705" spans="46:46">
      <c r="AT14705"/>
    </row>
    <row r="14706" spans="46:46">
      <c r="AT14706"/>
    </row>
    <row r="14707" spans="46:46">
      <c r="AT14707"/>
    </row>
    <row r="14708" spans="46:46">
      <c r="AT14708"/>
    </row>
    <row r="14709" spans="46:46">
      <c r="AT14709"/>
    </row>
    <row r="14710" spans="46:46">
      <c r="AT14710"/>
    </row>
    <row r="14711" spans="46:46">
      <c r="AT14711"/>
    </row>
    <row r="14712" spans="46:46">
      <c r="AT14712"/>
    </row>
    <row r="14713" spans="46:46">
      <c r="AT14713"/>
    </row>
    <row r="14714" spans="46:46">
      <c r="AT14714"/>
    </row>
    <row r="14715" spans="46:46">
      <c r="AT14715"/>
    </row>
    <row r="14716" spans="46:46">
      <c r="AT14716"/>
    </row>
    <row r="14717" spans="46:46">
      <c r="AT14717"/>
    </row>
    <row r="14718" spans="46:46">
      <c r="AT14718"/>
    </row>
    <row r="14719" spans="46:46">
      <c r="AT14719"/>
    </row>
    <row r="14720" spans="46:46">
      <c r="AT14720"/>
    </row>
    <row r="14721" spans="46:46">
      <c r="AT14721"/>
    </row>
    <row r="14722" spans="46:46">
      <c r="AT14722"/>
    </row>
    <row r="14723" spans="46:46">
      <c r="AT14723"/>
    </row>
    <row r="14724" spans="46:46">
      <c r="AT14724"/>
    </row>
    <row r="14725" spans="46:46">
      <c r="AT14725"/>
    </row>
    <row r="14726" spans="46:46">
      <c r="AT14726"/>
    </row>
    <row r="14727" spans="46:46">
      <c r="AT14727"/>
    </row>
    <row r="14728" spans="46:46">
      <c r="AT14728"/>
    </row>
    <row r="14729" spans="46:46">
      <c r="AT14729"/>
    </row>
    <row r="14730" spans="46:46">
      <c r="AT14730"/>
    </row>
    <row r="14731" spans="46:46">
      <c r="AT14731"/>
    </row>
    <row r="14732" spans="46:46">
      <c r="AT14732"/>
    </row>
    <row r="14733" spans="46:46">
      <c r="AT14733"/>
    </row>
    <row r="14734" spans="46:46">
      <c r="AT14734"/>
    </row>
    <row r="14735" spans="46:46">
      <c r="AT14735"/>
    </row>
    <row r="14736" spans="46:46">
      <c r="AT14736"/>
    </row>
    <row r="14737" spans="46:46">
      <c r="AT14737"/>
    </row>
    <row r="14738" spans="46:46">
      <c r="AT14738"/>
    </row>
    <row r="14739" spans="46:46">
      <c r="AT14739"/>
    </row>
    <row r="14740" spans="46:46">
      <c r="AT14740"/>
    </row>
    <row r="14741" spans="46:46">
      <c r="AT14741"/>
    </row>
    <row r="14742" spans="46:46">
      <c r="AT14742"/>
    </row>
    <row r="14743" spans="46:46">
      <c r="AT14743"/>
    </row>
    <row r="14744" spans="46:46">
      <c r="AT14744"/>
    </row>
    <row r="14745" spans="46:46">
      <c r="AT14745"/>
    </row>
    <row r="14746" spans="46:46">
      <c r="AT14746"/>
    </row>
    <row r="14747" spans="46:46">
      <c r="AT14747"/>
    </row>
    <row r="14748" spans="46:46">
      <c r="AT14748"/>
    </row>
    <row r="14749" spans="46:46">
      <c r="AT14749"/>
    </row>
    <row r="14750" spans="46:46">
      <c r="AT14750"/>
    </row>
    <row r="14751" spans="46:46">
      <c r="AT14751"/>
    </row>
    <row r="14752" spans="46:46">
      <c r="AT14752"/>
    </row>
    <row r="14753" spans="46:46">
      <c r="AT14753"/>
    </row>
    <row r="14754" spans="46:46">
      <c r="AT14754"/>
    </row>
    <row r="14755" spans="46:46">
      <c r="AT14755"/>
    </row>
    <row r="14756" spans="46:46">
      <c r="AT14756"/>
    </row>
    <row r="14757" spans="46:46">
      <c r="AT14757"/>
    </row>
    <row r="14758" spans="46:46">
      <c r="AT14758"/>
    </row>
    <row r="14759" spans="46:46">
      <c r="AT14759"/>
    </row>
    <row r="14760" spans="46:46">
      <c r="AT14760"/>
    </row>
    <row r="14761" spans="46:46">
      <c r="AT14761"/>
    </row>
    <row r="14762" spans="46:46">
      <c r="AT14762"/>
    </row>
    <row r="14763" spans="46:46">
      <c r="AT14763"/>
    </row>
    <row r="14764" spans="46:46">
      <c r="AT14764"/>
    </row>
    <row r="14765" spans="46:46">
      <c r="AT14765"/>
    </row>
    <row r="14766" spans="46:46">
      <c r="AT14766"/>
    </row>
    <row r="14767" spans="46:46">
      <c r="AT14767"/>
    </row>
    <row r="14768" spans="46:46">
      <c r="AT14768"/>
    </row>
    <row r="14769" spans="46:46">
      <c r="AT14769"/>
    </row>
    <row r="14770" spans="46:46">
      <c r="AT14770"/>
    </row>
    <row r="14771" spans="46:46">
      <c r="AT14771"/>
    </row>
    <row r="14772" spans="46:46">
      <c r="AT14772"/>
    </row>
    <row r="14773" spans="46:46">
      <c r="AT14773"/>
    </row>
    <row r="14774" spans="46:46">
      <c r="AT14774"/>
    </row>
    <row r="14775" spans="46:46">
      <c r="AT14775"/>
    </row>
    <row r="14776" spans="46:46">
      <c r="AT14776"/>
    </row>
    <row r="14777" spans="46:46">
      <c r="AT14777"/>
    </row>
    <row r="14778" spans="46:46">
      <c r="AT14778"/>
    </row>
    <row r="14779" spans="46:46">
      <c r="AT14779"/>
    </row>
    <row r="14780" spans="46:46">
      <c r="AT14780"/>
    </row>
    <row r="14781" spans="46:46">
      <c r="AT14781"/>
    </row>
    <row r="14782" spans="46:46">
      <c r="AT14782"/>
    </row>
    <row r="14783" spans="46:46">
      <c r="AT14783"/>
    </row>
    <row r="14784" spans="46:46">
      <c r="AT14784"/>
    </row>
    <row r="14785" spans="46:46">
      <c r="AT14785"/>
    </row>
    <row r="14786" spans="46:46">
      <c r="AT14786"/>
    </row>
    <row r="14787" spans="46:46">
      <c r="AT14787"/>
    </row>
    <row r="14788" spans="46:46">
      <c r="AT14788"/>
    </row>
    <row r="14789" spans="46:46">
      <c r="AT14789"/>
    </row>
    <row r="14790" spans="46:46">
      <c r="AT14790"/>
    </row>
    <row r="14791" spans="46:46">
      <c r="AT14791"/>
    </row>
    <row r="14792" spans="46:46">
      <c r="AT14792"/>
    </row>
    <row r="14793" spans="46:46">
      <c r="AT14793"/>
    </row>
    <row r="14794" spans="46:46">
      <c r="AT14794"/>
    </row>
    <row r="14795" spans="46:46">
      <c r="AT14795"/>
    </row>
    <row r="14796" spans="46:46">
      <c r="AT14796"/>
    </row>
    <row r="14797" spans="46:46">
      <c r="AT14797"/>
    </row>
    <row r="14798" spans="46:46">
      <c r="AT14798"/>
    </row>
    <row r="14799" spans="46:46">
      <c r="AT14799"/>
    </row>
    <row r="14800" spans="46:46">
      <c r="AT14800"/>
    </row>
    <row r="14801" spans="46:46">
      <c r="AT14801"/>
    </row>
    <row r="14802" spans="46:46">
      <c r="AT14802"/>
    </row>
    <row r="14803" spans="46:46">
      <c r="AT14803"/>
    </row>
    <row r="14804" spans="46:46">
      <c r="AT14804"/>
    </row>
    <row r="14805" spans="46:46">
      <c r="AT14805"/>
    </row>
    <row r="14806" spans="46:46">
      <c r="AT14806"/>
    </row>
    <row r="14807" spans="46:46">
      <c r="AT14807"/>
    </row>
    <row r="14808" spans="46:46">
      <c r="AT14808"/>
    </row>
    <row r="14809" spans="46:46">
      <c r="AT14809"/>
    </row>
    <row r="14810" spans="46:46">
      <c r="AT14810"/>
    </row>
    <row r="14811" spans="46:46">
      <c r="AT14811"/>
    </row>
    <row r="14812" spans="46:46">
      <c r="AT14812"/>
    </row>
    <row r="14813" spans="46:46">
      <c r="AT14813"/>
    </row>
    <row r="14814" spans="46:46">
      <c r="AT14814"/>
    </row>
    <row r="14815" spans="46:46">
      <c r="AT14815"/>
    </row>
    <row r="14816" spans="46:46">
      <c r="AT14816"/>
    </row>
    <row r="14817" spans="46:46">
      <c r="AT14817"/>
    </row>
    <row r="14818" spans="46:46">
      <c r="AT14818"/>
    </row>
    <row r="14819" spans="46:46">
      <c r="AT14819"/>
    </row>
    <row r="14820" spans="46:46">
      <c r="AT14820"/>
    </row>
    <row r="14821" spans="46:46">
      <c r="AT14821"/>
    </row>
    <row r="14822" spans="46:46">
      <c r="AT14822"/>
    </row>
    <row r="14823" spans="46:46">
      <c r="AT14823"/>
    </row>
    <row r="14824" spans="46:46">
      <c r="AT14824"/>
    </row>
    <row r="14825" spans="46:46">
      <c r="AT14825"/>
    </row>
    <row r="14826" spans="46:46">
      <c r="AT14826"/>
    </row>
    <row r="14827" spans="46:46">
      <c r="AT14827"/>
    </row>
    <row r="14828" spans="46:46">
      <c r="AT14828"/>
    </row>
    <row r="14829" spans="46:46">
      <c r="AT14829"/>
    </row>
    <row r="14830" spans="46:46">
      <c r="AT14830"/>
    </row>
    <row r="14831" spans="46:46">
      <c r="AT14831"/>
    </row>
    <row r="14832" spans="46:46">
      <c r="AT14832"/>
    </row>
    <row r="14833" spans="46:46">
      <c r="AT14833"/>
    </row>
    <row r="14834" spans="46:46">
      <c r="AT14834"/>
    </row>
    <row r="14835" spans="46:46">
      <c r="AT14835"/>
    </row>
    <row r="14836" spans="46:46">
      <c r="AT14836"/>
    </row>
    <row r="14837" spans="46:46">
      <c r="AT14837"/>
    </row>
    <row r="14838" spans="46:46">
      <c r="AT14838"/>
    </row>
    <row r="14839" spans="46:46">
      <c r="AT14839"/>
    </row>
    <row r="14840" spans="46:46">
      <c r="AT14840"/>
    </row>
    <row r="14841" spans="46:46">
      <c r="AT14841"/>
    </row>
    <row r="14842" spans="46:46">
      <c r="AT14842"/>
    </row>
    <row r="14843" spans="46:46">
      <c r="AT14843"/>
    </row>
    <row r="14844" spans="46:46">
      <c r="AT14844"/>
    </row>
    <row r="14845" spans="46:46">
      <c r="AT14845"/>
    </row>
    <row r="14846" spans="46:46">
      <c r="AT14846"/>
    </row>
    <row r="14847" spans="46:46">
      <c r="AT14847"/>
    </row>
    <row r="14848" spans="46:46">
      <c r="AT14848"/>
    </row>
    <row r="14849" spans="46:46">
      <c r="AT14849"/>
    </row>
    <row r="14850" spans="46:46">
      <c r="AT14850"/>
    </row>
    <row r="14851" spans="46:46">
      <c r="AT14851"/>
    </row>
    <row r="14852" spans="46:46">
      <c r="AT14852"/>
    </row>
    <row r="14853" spans="46:46">
      <c r="AT14853"/>
    </row>
    <row r="14854" spans="46:46">
      <c r="AT14854"/>
    </row>
    <row r="14855" spans="46:46">
      <c r="AT14855"/>
    </row>
    <row r="14856" spans="46:46">
      <c r="AT14856"/>
    </row>
    <row r="14857" spans="46:46">
      <c r="AT14857"/>
    </row>
    <row r="14858" spans="46:46">
      <c r="AT14858"/>
    </row>
    <row r="14859" spans="46:46">
      <c r="AT14859"/>
    </row>
    <row r="14860" spans="46:46">
      <c r="AT14860"/>
    </row>
    <row r="14861" spans="46:46">
      <c r="AT14861"/>
    </row>
    <row r="14862" spans="46:46">
      <c r="AT14862"/>
    </row>
    <row r="14863" spans="46:46">
      <c r="AT14863"/>
    </row>
    <row r="14864" spans="46:46">
      <c r="AT14864"/>
    </row>
    <row r="14865" spans="46:46">
      <c r="AT14865"/>
    </row>
    <row r="14866" spans="46:46">
      <c r="AT14866"/>
    </row>
    <row r="14867" spans="46:46">
      <c r="AT14867"/>
    </row>
    <row r="14868" spans="46:46">
      <c r="AT14868"/>
    </row>
    <row r="14869" spans="46:46">
      <c r="AT14869"/>
    </row>
    <row r="14870" spans="46:46">
      <c r="AT14870"/>
    </row>
    <row r="14871" spans="46:46">
      <c r="AT14871"/>
    </row>
    <row r="14872" spans="46:46">
      <c r="AT14872"/>
    </row>
    <row r="14873" spans="46:46">
      <c r="AT14873"/>
    </row>
    <row r="14874" spans="46:46">
      <c r="AT14874"/>
    </row>
    <row r="14875" spans="46:46">
      <c r="AT14875"/>
    </row>
    <row r="14876" spans="46:46">
      <c r="AT14876"/>
    </row>
    <row r="14877" spans="46:46">
      <c r="AT14877"/>
    </row>
    <row r="14878" spans="46:46">
      <c r="AT14878"/>
    </row>
    <row r="14879" spans="46:46">
      <c r="AT14879"/>
    </row>
    <row r="14880" spans="46:46">
      <c r="AT14880"/>
    </row>
    <row r="14881" spans="46:46">
      <c r="AT14881"/>
    </row>
    <row r="14882" spans="46:46">
      <c r="AT14882"/>
    </row>
    <row r="14883" spans="46:46">
      <c r="AT14883"/>
    </row>
    <row r="14884" spans="46:46">
      <c r="AT14884"/>
    </row>
    <row r="14885" spans="46:46">
      <c r="AT14885"/>
    </row>
    <row r="14886" spans="46:46">
      <c r="AT14886"/>
    </row>
    <row r="14887" spans="46:46">
      <c r="AT14887"/>
    </row>
    <row r="14888" spans="46:46">
      <c r="AT14888"/>
    </row>
    <row r="14889" spans="46:46">
      <c r="AT14889"/>
    </row>
    <row r="14890" spans="46:46">
      <c r="AT14890"/>
    </row>
    <row r="14891" spans="46:46">
      <c r="AT14891"/>
    </row>
    <row r="14892" spans="46:46">
      <c r="AT14892"/>
    </row>
    <row r="14893" spans="46:46">
      <c r="AT14893"/>
    </row>
    <row r="14894" spans="46:46">
      <c r="AT14894"/>
    </row>
    <row r="14895" spans="46:46">
      <c r="AT14895"/>
    </row>
    <row r="14896" spans="46:46">
      <c r="AT14896"/>
    </row>
    <row r="14897" spans="46:46">
      <c r="AT14897"/>
    </row>
    <row r="14898" spans="46:46">
      <c r="AT14898"/>
    </row>
    <row r="14899" spans="46:46">
      <c r="AT14899"/>
    </row>
    <row r="14900" spans="46:46">
      <c r="AT14900"/>
    </row>
    <row r="14901" spans="46:46">
      <c r="AT14901"/>
    </row>
    <row r="14902" spans="46:46">
      <c r="AT14902"/>
    </row>
    <row r="14903" spans="46:46">
      <c r="AT14903"/>
    </row>
    <row r="14904" spans="46:46">
      <c r="AT14904"/>
    </row>
    <row r="14905" spans="46:46">
      <c r="AT14905"/>
    </row>
    <row r="14906" spans="46:46">
      <c r="AT14906"/>
    </row>
    <row r="14907" spans="46:46">
      <c r="AT14907"/>
    </row>
    <row r="14908" spans="46:46">
      <c r="AT14908"/>
    </row>
    <row r="14909" spans="46:46">
      <c r="AT14909"/>
    </row>
    <row r="14910" spans="46:46">
      <c r="AT14910"/>
    </row>
    <row r="14911" spans="46:46">
      <c r="AT14911"/>
    </row>
    <row r="14912" spans="46:46">
      <c r="AT14912"/>
    </row>
    <row r="14913" spans="46:46">
      <c r="AT14913"/>
    </row>
    <row r="14914" spans="46:46">
      <c r="AT14914"/>
    </row>
    <row r="14915" spans="46:46">
      <c r="AT14915"/>
    </row>
    <row r="14916" spans="46:46">
      <c r="AT14916"/>
    </row>
    <row r="14917" spans="46:46">
      <c r="AT14917"/>
    </row>
    <row r="14918" spans="46:46">
      <c r="AT14918"/>
    </row>
    <row r="14919" spans="46:46">
      <c r="AT14919"/>
    </row>
    <row r="14920" spans="46:46">
      <c r="AT14920"/>
    </row>
    <row r="14921" spans="46:46">
      <c r="AT14921"/>
    </row>
    <row r="14922" spans="46:46">
      <c r="AT14922"/>
    </row>
    <row r="14923" spans="46:46">
      <c r="AT14923"/>
    </row>
    <row r="14924" spans="46:46">
      <c r="AT14924"/>
    </row>
    <row r="14925" spans="46:46">
      <c r="AT14925"/>
    </row>
    <row r="14926" spans="46:46">
      <c r="AT14926"/>
    </row>
    <row r="14927" spans="46:46">
      <c r="AT14927"/>
    </row>
    <row r="14928" spans="46:46">
      <c r="AT14928"/>
    </row>
    <row r="14929" spans="46:46">
      <c r="AT14929"/>
    </row>
    <row r="14930" spans="46:46">
      <c r="AT14930"/>
    </row>
    <row r="14931" spans="46:46">
      <c r="AT14931"/>
    </row>
    <row r="14932" spans="46:46">
      <c r="AT14932"/>
    </row>
    <row r="14933" spans="46:46">
      <c r="AT14933"/>
    </row>
    <row r="14934" spans="46:46">
      <c r="AT14934"/>
    </row>
    <row r="14935" spans="46:46">
      <c r="AT14935"/>
    </row>
    <row r="14936" spans="46:46">
      <c r="AT14936"/>
    </row>
    <row r="14937" spans="46:46">
      <c r="AT14937"/>
    </row>
    <row r="14938" spans="46:46">
      <c r="AT14938"/>
    </row>
    <row r="14939" spans="46:46">
      <c r="AT14939"/>
    </row>
    <row r="14940" spans="46:46">
      <c r="AT14940"/>
    </row>
    <row r="14941" spans="46:46">
      <c r="AT14941"/>
    </row>
    <row r="14942" spans="46:46">
      <c r="AT14942"/>
    </row>
    <row r="14943" spans="46:46">
      <c r="AT14943"/>
    </row>
    <row r="14944" spans="46:46">
      <c r="AT14944"/>
    </row>
    <row r="14945" spans="46:46">
      <c r="AT14945"/>
    </row>
    <row r="14946" spans="46:46">
      <c r="AT14946"/>
    </row>
    <row r="14947" spans="46:46">
      <c r="AT14947"/>
    </row>
    <row r="14948" spans="46:46">
      <c r="AT14948"/>
    </row>
    <row r="14949" spans="46:46">
      <c r="AT14949"/>
    </row>
    <row r="14950" spans="46:46">
      <c r="AT14950"/>
    </row>
    <row r="14951" spans="46:46">
      <c r="AT14951"/>
    </row>
    <row r="14952" spans="46:46">
      <c r="AT14952"/>
    </row>
    <row r="14953" spans="46:46">
      <c r="AT14953"/>
    </row>
    <row r="14954" spans="46:46">
      <c r="AT14954"/>
    </row>
    <row r="14955" spans="46:46">
      <c r="AT14955"/>
    </row>
    <row r="14956" spans="46:46">
      <c r="AT14956"/>
    </row>
    <row r="14957" spans="46:46">
      <c r="AT14957"/>
    </row>
    <row r="14958" spans="46:46">
      <c r="AT14958"/>
    </row>
    <row r="14959" spans="46:46">
      <c r="AT14959"/>
    </row>
    <row r="14960" spans="46:46">
      <c r="AT14960"/>
    </row>
    <row r="14961" spans="46:46">
      <c r="AT14961"/>
    </row>
    <row r="14962" spans="46:46">
      <c r="AT14962"/>
    </row>
    <row r="14963" spans="46:46">
      <c r="AT14963"/>
    </row>
    <row r="14964" spans="46:46">
      <c r="AT14964"/>
    </row>
    <row r="14965" spans="46:46">
      <c r="AT14965"/>
    </row>
    <row r="14966" spans="46:46">
      <c r="AT14966"/>
    </row>
    <row r="14967" spans="46:46">
      <c r="AT14967"/>
    </row>
    <row r="14968" spans="46:46">
      <c r="AT14968"/>
    </row>
    <row r="14969" spans="46:46">
      <c r="AT14969"/>
    </row>
    <row r="14970" spans="46:46">
      <c r="AT14970"/>
    </row>
    <row r="14971" spans="46:46">
      <c r="AT14971"/>
    </row>
    <row r="14972" spans="46:46">
      <c r="AT14972"/>
    </row>
    <row r="14973" spans="46:46">
      <c r="AT14973"/>
    </row>
    <row r="14974" spans="46:46">
      <c r="AT14974"/>
    </row>
    <row r="14975" spans="46:46">
      <c r="AT14975"/>
    </row>
    <row r="14976" spans="46:46">
      <c r="AT14976"/>
    </row>
    <row r="14977" spans="46:46">
      <c r="AT14977"/>
    </row>
    <row r="14978" spans="46:46">
      <c r="AT14978"/>
    </row>
    <row r="14979" spans="46:46">
      <c r="AT14979"/>
    </row>
    <row r="14980" spans="46:46">
      <c r="AT14980"/>
    </row>
    <row r="14981" spans="46:46">
      <c r="AT14981"/>
    </row>
    <row r="14982" spans="46:46">
      <c r="AT14982"/>
    </row>
    <row r="14983" spans="46:46">
      <c r="AT14983"/>
    </row>
    <row r="14984" spans="46:46">
      <c r="AT14984"/>
    </row>
    <row r="14985" spans="46:46">
      <c r="AT14985"/>
    </row>
    <row r="14986" spans="46:46">
      <c r="AT14986"/>
    </row>
    <row r="14987" spans="46:46">
      <c r="AT14987"/>
    </row>
    <row r="14988" spans="46:46">
      <c r="AT14988"/>
    </row>
    <row r="14989" spans="46:46">
      <c r="AT14989"/>
    </row>
    <row r="14990" spans="46:46">
      <c r="AT14990"/>
    </row>
    <row r="14991" spans="46:46">
      <c r="AT14991"/>
    </row>
    <row r="14992" spans="46:46">
      <c r="AT14992"/>
    </row>
    <row r="14993" spans="46:46">
      <c r="AT14993"/>
    </row>
    <row r="14994" spans="46:46">
      <c r="AT14994"/>
    </row>
    <row r="14995" spans="46:46">
      <c r="AT14995"/>
    </row>
    <row r="14996" spans="46:46">
      <c r="AT14996"/>
    </row>
    <row r="14997" spans="46:46">
      <c r="AT14997"/>
    </row>
    <row r="14998" spans="46:46">
      <c r="AT14998"/>
    </row>
    <row r="14999" spans="46:46">
      <c r="AT14999"/>
    </row>
    <row r="15000" spans="46:46">
      <c r="AT15000"/>
    </row>
  </sheetData>
  <sheetProtection algorithmName="SHA-512" hashValue="rxfKIumL8LvzVoFSndBYHHPT6z865+E0JiA8hzB3yWHicqvX9BJuYcthKA8iyrFdNUtb6mEWCLIJ4LTosd+Ovw==" saltValue="qSda6/z0EporsMZpRzr4GQ==" spinCount="100000" sheet="1" objects="1" scenarios="1" formatCells="0" insertHyperlinks="0"/>
  <protectedRanges>
    <protectedRange sqref="H4:H5 L4:L5 J4:J6" name="filter"/>
    <protectedRange sqref="X11:AC733" name="review"/>
    <protectedRange sqref="C11:P9733" name="log"/>
    <protectedRange sqref="C2:F2 AR5:AR6 AL1:AL4 AM7:AM9" name="triger"/>
    <protectedRange sqref="DP2:DP12" name="Range1"/>
    <protectedRange sqref="DR3:DR12" name="editable_2"/>
    <protectedRange sqref="DP1" name="Range1_1"/>
    <protectedRange sqref="DR1" name="editable_2_1"/>
    <protectedRange sqref="A1:A1048576" name="helperType"/>
  </protectedRanges>
  <autoFilter ref="B14:AO833" xr:uid="{953E1CF2-6C95-4903-A067-D9193E0836A4}"/>
  <mergeCells count="8">
    <mergeCell ref="I2:J2"/>
    <mergeCell ref="K2:L2"/>
    <mergeCell ref="G2:H2"/>
    <mergeCell ref="I8:J8"/>
    <mergeCell ref="D4:E4"/>
    <mergeCell ref="D5:E5"/>
    <mergeCell ref="D6:E6"/>
    <mergeCell ref="D7:E7"/>
  </mergeCells>
  <phoneticPr fontId="111" type="noConversion"/>
  <conditionalFormatting sqref="D4:D7 W12 S12:U12 W14:W74 S14:U74">
    <cfRule type="cellIs" dxfId="287" priority="61" operator="lessThan">
      <formula>0</formula>
    </cfRule>
  </conditionalFormatting>
  <conditionalFormatting sqref="D12 D14:D74">
    <cfRule type="expression" dxfId="286" priority="62">
      <formula>OR(D12="SELL",D12="out")</formula>
    </cfRule>
  </conditionalFormatting>
  <dataValidations count="6">
    <dataValidation allowBlank="1" showInputMessage="1" showErrorMessage="1" prompt="Risk-Multiple Formula: _x000a__x000a_Profit / (Equity*Risk%)_x000a_" sqref="W13" xr:uid="{96E05E9F-BDA9-41CE-8D8E-C31527AD14E1}"/>
    <dataValidation type="list" errorStyle="information" allowBlank="1" showInputMessage="1" showErrorMessage="1" error="Input either BUY or SELL, or use the Drop down arrow" sqref="D12 D16:D74" xr:uid="{54773CD0-53CC-46ED-84DC-1A8740F1B91A}">
      <formula1>"BUY,SELL,IN,OUT"</formula1>
    </dataValidation>
    <dataValidation type="list" errorStyle="information" allowBlank="1" showInputMessage="1" showErrorMessage="1" error="Input either BUY or SELL, or use the Drop down arrow" prompt="First log entry should be a deposit or &quot;IN&quot;" sqref="D15" xr:uid="{572389E3-CAA6-41C8-B095-7FACF0F4E012}">
      <formula1>"IN"</formula1>
    </dataValidation>
    <dataValidation type="list" allowBlank="1" showInputMessage="1" showErrorMessage="1" sqref="L5" xr:uid="{A2171512-AEFB-4C7B-8319-5023D1858453}">
      <formula1>$BW$2:$BW$7</formula1>
    </dataValidation>
    <dataValidation type="list" allowBlank="1" showInputMessage="1" showErrorMessage="1" sqref="H5" xr:uid="{3B829121-DD1D-4F49-A531-F2D3F5B06E8A}">
      <formula1>"ALL,BUY,SELL,IN,OUT"</formula1>
    </dataValidation>
    <dataValidation type="list" allowBlank="1" showInputMessage="1" showErrorMessage="1" sqref="L4" xr:uid="{DB2921D3-F010-4CBF-AACA-C640DBCBCB10}">
      <formula1>$BU$1:$BU$12</formula1>
    </dataValidation>
  </dataValidations>
  <printOptions horizontalCentered="1"/>
  <pageMargins left="0.25" right="0.25" top="0.75" bottom="0.75" header="0.3" footer="0.3"/>
  <pageSetup paperSize="9" scale="66" orientation="landscape" horizontalDpi="1200" verticalDpi="1200" r:id="rId1"/>
  <colBreaks count="1" manualBreakCount="1">
    <brk id="562"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5000000}">
          <x14:formula1>
            <xm:f>OFFSET(SETTINGS!$O$12,0,0,COUNT($CH$2:$CH$16))</xm:f>
          </x14:formula1>
          <xm:sqref>Z12 J6 Z15:Z74</xm:sqref>
        </x14:dataValidation>
        <x14:dataValidation type="list" allowBlank="1" showInputMessage="1" showErrorMessage="1" xr:uid="{00000000-0002-0000-0300-000004000000}">
          <x14:formula1>
            <xm:f>OFFSET(SETTINGS!$M$12,0,0,COUNT($CG$3:$CG$12))</xm:f>
          </x14:formula1>
          <xm:sqref>Y12 J5 Y15:Y74</xm:sqref>
        </x14:dataValidation>
        <x14:dataValidation type="list" allowBlank="1" showInputMessage="1" showErrorMessage="1" xr:uid="{B50537AB-7946-4E81-947A-7D2BAB392124}">
          <x14:formula1>
            <xm:f>OFFSET(SETTINGS!$R$12,0,0,COUNT($CF$2:$CF$16))</xm:f>
          </x14:formula1>
          <xm:sqref>X12 J4 X15:X74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tatistics">
    <tabColor theme="6"/>
  </sheetPr>
  <dimension ref="A1:BZ68"/>
  <sheetViews>
    <sheetView showGridLines="0" showRowColHeaders="0" topLeftCell="B1" zoomScaleNormal="100" workbookViewId="0">
      <pane ySplit="15" topLeftCell="A16" activePane="bottomLeft" state="frozen"/>
      <selection activeCell="B1" sqref="B1"/>
      <selection pane="bottomLeft" activeCell="E28" sqref="E28"/>
    </sheetView>
  </sheetViews>
  <sheetFormatPr defaultColWidth="0" defaultRowHeight="15"/>
  <cols>
    <col min="1" max="1" width="12.5703125" hidden="1" customWidth="1"/>
    <col min="2" max="2" width="2" customWidth="1"/>
    <col min="3" max="3" width="14" customWidth="1"/>
    <col min="4" max="5" width="14.28515625" customWidth="1"/>
    <col min="6" max="7" width="7.28515625" customWidth="1"/>
    <col min="8" max="8" width="14.28515625" customWidth="1"/>
    <col min="9" max="9" width="1.140625" customWidth="1"/>
    <col min="10" max="11" width="14.28515625" customWidth="1"/>
    <col min="12" max="13" width="7.28515625" customWidth="1"/>
    <col min="14" max="14" width="14.28515625" customWidth="1"/>
    <col min="15" max="15" width="1.140625" customWidth="1"/>
    <col min="16" max="17" width="14.28515625" customWidth="1"/>
    <col min="18" max="19" width="7.28515625" customWidth="1"/>
    <col min="20" max="20" width="14.28515625" customWidth="1"/>
    <col min="21" max="21" width="1.140625" customWidth="1"/>
    <col min="22" max="22" width="96.42578125" customWidth="1"/>
    <col min="23" max="23" width="21.28515625" hidden="1" customWidth="1"/>
    <col min="24" max="24" width="12.5703125" hidden="1" customWidth="1"/>
    <col min="25" max="25" width="9.42578125" hidden="1" customWidth="1"/>
    <col min="26" max="26" width="13.28515625" hidden="1" customWidth="1"/>
    <col min="27" max="27" width="10.7109375" hidden="1" customWidth="1"/>
    <col min="28" max="29" width="11" hidden="1" customWidth="1"/>
    <col min="30" max="30" width="9" hidden="1" customWidth="1"/>
    <col min="31" max="31" width="11.28515625" hidden="1" customWidth="1"/>
    <col min="32" max="36" width="9" hidden="1" customWidth="1"/>
    <col min="37" max="37" width="15.140625" hidden="1" customWidth="1"/>
    <col min="38" max="40" width="9" hidden="1" customWidth="1"/>
    <col min="41" max="41" width="19" hidden="1" customWidth="1"/>
    <col min="42" max="42" width="9" hidden="1" customWidth="1"/>
    <col min="43" max="43" width="11.5703125" hidden="1" customWidth="1"/>
    <col min="44" max="45" width="9.5703125" hidden="1" customWidth="1"/>
    <col min="46" max="46" width="9.85546875" hidden="1" customWidth="1"/>
    <col min="47" max="48" width="9.5703125" hidden="1" customWidth="1"/>
    <col min="49" max="50" width="8" hidden="1" customWidth="1"/>
    <col min="51" max="52" width="11.85546875" hidden="1" customWidth="1"/>
    <col min="53" max="53" width="10.42578125" hidden="1" customWidth="1"/>
    <col min="54" max="54" width="8" hidden="1" customWidth="1"/>
    <col min="55" max="58" width="10.28515625" hidden="1" customWidth="1"/>
    <col min="59" max="70" width="8" hidden="1" customWidth="1"/>
    <col min="71" max="71" width="9.85546875" hidden="1" customWidth="1"/>
    <col min="72" max="72" width="12" hidden="1" customWidth="1"/>
    <col min="73" max="78" width="0" hidden="1" customWidth="1"/>
    <col min="79" max="16384" width="8" hidden="1"/>
  </cols>
  <sheetData>
    <row r="1" spans="1:78" ht="30" customHeight="1">
      <c r="B1" s="188"/>
      <c r="C1" s="195" t="s">
        <v>408</v>
      </c>
      <c r="D1" s="325"/>
      <c r="E1" s="326"/>
      <c r="F1" s="325"/>
      <c r="G1" s="325"/>
      <c r="H1" s="327"/>
      <c r="I1" s="328"/>
      <c r="J1" s="329"/>
      <c r="K1" s="326"/>
      <c r="L1" s="327"/>
      <c r="M1" s="327"/>
      <c r="N1" s="327"/>
      <c r="O1" s="330"/>
      <c r="P1" s="327"/>
      <c r="Q1" s="331"/>
      <c r="R1" s="325"/>
      <c r="S1" s="325"/>
      <c r="T1" s="327"/>
      <c r="U1" s="328"/>
      <c r="V1" s="189"/>
    </row>
    <row r="2" spans="1:78" ht="19.5" hidden="1" customHeight="1">
      <c r="B2" s="290"/>
      <c r="C2" s="332"/>
      <c r="D2" s="332"/>
      <c r="E2" s="333"/>
      <c r="F2" s="332"/>
      <c r="G2" s="332"/>
      <c r="H2" s="334"/>
      <c r="I2" s="335"/>
      <c r="J2" s="332"/>
      <c r="K2" s="333"/>
      <c r="L2" s="336"/>
      <c r="M2" s="336"/>
      <c r="N2" s="334"/>
      <c r="O2" s="330"/>
      <c r="P2" s="113"/>
      <c r="Q2" s="337"/>
      <c r="R2" s="332"/>
      <c r="S2" s="332"/>
      <c r="T2" s="334"/>
      <c r="U2" s="335"/>
      <c r="V2" s="282"/>
    </row>
    <row r="3" spans="1:78" ht="19.5" customHeight="1">
      <c r="B3" s="290"/>
      <c r="C3" s="648" t="s">
        <v>481</v>
      </c>
      <c r="D3" s="113"/>
      <c r="E3" s="113"/>
      <c r="F3" s="113"/>
      <c r="G3" s="113"/>
      <c r="H3" s="113"/>
      <c r="I3" s="113"/>
      <c r="J3" s="113"/>
      <c r="K3" s="129"/>
      <c r="L3" s="338"/>
      <c r="M3" s="338"/>
      <c r="N3" s="649" t="s">
        <v>741</v>
      </c>
      <c r="O3" s="338"/>
      <c r="P3" s="338"/>
      <c r="Q3" s="338"/>
      <c r="R3" s="113"/>
      <c r="S3" s="113"/>
      <c r="T3" s="113"/>
      <c r="U3" s="338"/>
      <c r="V3" s="283"/>
      <c r="X3" s="23"/>
      <c r="Z3" s="85" t="str">
        <f>SETTINGS!AA13</f>
        <v>REWARD-RISK RATIO</v>
      </c>
      <c r="AA3" t="s">
        <v>389</v>
      </c>
      <c r="AB3" t="s">
        <v>248</v>
      </c>
      <c r="AC3" t="s">
        <v>249</v>
      </c>
      <c r="AD3" s="19" t="s">
        <v>388</v>
      </c>
      <c r="AE3" t="s">
        <v>247</v>
      </c>
      <c r="AF3" t="s">
        <v>459</v>
      </c>
      <c r="AG3" t="s">
        <v>404</v>
      </c>
      <c r="AH3" t="s">
        <v>387</v>
      </c>
      <c r="AJ3" t="s">
        <v>460</v>
      </c>
      <c r="AO3" s="32" t="s">
        <v>222</v>
      </c>
      <c r="AP3" s="32"/>
      <c r="AQ3" s="32"/>
      <c r="AR3" t="s">
        <v>470</v>
      </c>
      <c r="AS3" s="32">
        <f>SUMIFS(PNLwFees,ActionLog,"buy",PNLwFees,"&gt;0")</f>
        <v>13680.410000000003</v>
      </c>
      <c r="AY3" s="32" t="s">
        <v>208</v>
      </c>
      <c r="AZ3" s="32"/>
      <c r="BA3" s="32" t="s">
        <v>244</v>
      </c>
      <c r="BB3" s="32" t="s">
        <v>245</v>
      </c>
      <c r="BC3" s="32"/>
      <c r="BD3" s="32" t="s">
        <v>209</v>
      </c>
      <c r="BE3" s="32"/>
      <c r="BF3" s="32" t="s">
        <v>244</v>
      </c>
      <c r="BG3" s="32" t="s">
        <v>245</v>
      </c>
      <c r="BH3" s="32"/>
      <c r="BI3" s="32" t="s">
        <v>207</v>
      </c>
      <c r="BJ3" s="32"/>
      <c r="BK3" s="32" t="s">
        <v>244</v>
      </c>
      <c r="BL3" s="32" t="s">
        <v>245</v>
      </c>
    </row>
    <row r="4" spans="1:78" ht="15" customHeight="1">
      <c r="B4" s="290"/>
      <c r="C4" s="339"/>
      <c r="D4" s="669" t="s">
        <v>258</v>
      </c>
      <c r="E4" s="670" t="s">
        <v>819</v>
      </c>
      <c r="F4" s="670" t="s">
        <v>314</v>
      </c>
      <c r="G4" s="670" t="s">
        <v>726</v>
      </c>
      <c r="H4" s="670" t="s">
        <v>210</v>
      </c>
      <c r="I4" s="113"/>
      <c r="J4" s="113"/>
      <c r="K4" s="129"/>
      <c r="L4" s="338"/>
      <c r="M4" s="338"/>
      <c r="N4" s="135"/>
      <c r="O4" s="340"/>
      <c r="P4" s="670" t="s">
        <v>820</v>
      </c>
      <c r="Q4" s="670" t="s">
        <v>264</v>
      </c>
      <c r="R4" s="811" t="s">
        <v>265</v>
      </c>
      <c r="S4" s="811"/>
      <c r="T4" s="113"/>
      <c r="U4" s="338"/>
      <c r="V4" s="161"/>
      <c r="X4" s="17"/>
      <c r="Z4" s="83" t="s">
        <v>121</v>
      </c>
      <c r="AA4" s="16">
        <f>BB8</f>
        <v>1.85156059964273</v>
      </c>
      <c r="AB4" s="84">
        <f>SUMIFS(PNLPercent,ActionLog,"buy",WL,"w")/AY4</f>
        <v>7.2743237061507246E-2</v>
      </c>
      <c r="AC4" s="84">
        <f>-SUMIFS(PNLPercent,ActionLog,"buy",WL,"L")/AZ4</f>
        <v>4.378545512319397E-2</v>
      </c>
      <c r="AD4" s="37">
        <f>IF($Z$3=$AJ$4,AH4,AF4)</f>
        <v>0.37574827540150202</v>
      </c>
      <c r="AE4" s="39">
        <f>AY6</f>
        <v>0.44230769230769229</v>
      </c>
      <c r="AF4" s="21">
        <f>AC4/(AB4+AC4)</f>
        <v>0.37574827540150202</v>
      </c>
      <c r="AG4" s="21">
        <f>1/(1+((AE4*AB4)/((1-AE4)*AC4)/1))</f>
        <v>0.43147575487054551</v>
      </c>
      <c r="AH4" s="21">
        <f>1/(1+(AA4/1))</f>
        <v>0.3506851652127923</v>
      </c>
      <c r="AJ4" t="s">
        <v>461</v>
      </c>
      <c r="AO4" s="32"/>
      <c r="AP4" s="32"/>
      <c r="AQ4" s="32"/>
      <c r="AR4" t="s">
        <v>470</v>
      </c>
      <c r="AS4" s="32">
        <f>SUMIFS(PNLwFees,ActionLog,"buy",PNLwFees,"&lt;=0")</f>
        <v>-9316.0399999999972</v>
      </c>
      <c r="AU4" s="32">
        <f>'MONTHLY REPORT'!AD6</f>
        <v>13805.110000000002</v>
      </c>
      <c r="AV4" s="32"/>
      <c r="AW4" s="32">
        <f ca="1">IFERROR(AU4/'Bank Transfers'!H5,0)</f>
        <v>0.27610220000000008</v>
      </c>
      <c r="AY4" s="32">
        <f>COUNTIFS(PNLPercent,"&gt;0",ActionLog,"buy")</f>
        <v>23</v>
      </c>
      <c r="AZ4" s="32">
        <f>COUNTIFS(PNLPercent,"&lt;=0",ActionLog,"buy")</f>
        <v>29</v>
      </c>
      <c r="BA4" s="477">
        <f>IFERROR(AS3/AY4,0)</f>
        <v>594.80043478260882</v>
      </c>
      <c r="BB4" s="477">
        <f>IFERROR(-AS4/AZ4,0)</f>
        <v>321.24275862068959</v>
      </c>
      <c r="BC4" s="32"/>
      <c r="BD4" s="32">
        <f>COUNTIFS(PNLPercent,"&gt;0",ActionLog,"sell")</f>
        <v>2</v>
      </c>
      <c r="BE4" s="32">
        <f>COUNTIFS(PNLPercent,"&lt;=0",ActionLog,"sell")</f>
        <v>1</v>
      </c>
      <c r="BF4" s="32">
        <f>IFERROR(AS5/BD4,0)</f>
        <v>62.349999999999994</v>
      </c>
      <c r="BG4" s="32">
        <f>IFERROR(-AS6/BE4,0)</f>
        <v>217.65</v>
      </c>
      <c r="BH4" s="32"/>
      <c r="BI4" s="32">
        <f>BD4+AY4</f>
        <v>25</v>
      </c>
      <c r="BJ4" s="32">
        <f>BE4+AZ4</f>
        <v>30</v>
      </c>
      <c r="BK4" s="32">
        <f>IFERROR(AU4/BI4,0)</f>
        <v>552.20440000000008</v>
      </c>
      <c r="BL4" s="32">
        <f>IFERROR(-AU6/BJ4,0)</f>
        <v>317.78966666666656</v>
      </c>
    </row>
    <row r="5" spans="1:78" ht="15" customHeight="1">
      <c r="B5" s="290"/>
      <c r="C5" s="534" t="str">
        <f>IFERROR("              "&amp;'TRADE LOG'!EL2,"")</f>
        <v xml:space="preserve">              Momentum</v>
      </c>
      <c r="D5" s="341"/>
      <c r="E5" s="591">
        <f>IFERROR('TRADE LOG'!EJ2,"")</f>
        <v>3057.6000199999994</v>
      </c>
      <c r="F5" s="559">
        <f>IFERROR('TRADE LOG'!EO2,"")</f>
        <v>6</v>
      </c>
      <c r="G5" s="560">
        <f>IFERROR('TRADE LOG'!EN2,"")</f>
        <v>0.66666666666666663</v>
      </c>
      <c r="H5" s="591">
        <f>IFERROR('TRADE LOG'!EM2,"")</f>
        <v>509.59999999999991</v>
      </c>
      <c r="I5" s="113"/>
      <c r="J5" s="113"/>
      <c r="K5" s="129"/>
      <c r="L5" s="338"/>
      <c r="M5" s="338"/>
      <c r="N5" s="535" t="s">
        <v>790</v>
      </c>
      <c r="O5" s="807">
        <f>BK4</f>
        <v>552.20440000000008</v>
      </c>
      <c r="P5" s="807"/>
      <c r="Q5" s="592">
        <f>BA4</f>
        <v>594.80043478260882</v>
      </c>
      <c r="R5" s="807">
        <f>BF4</f>
        <v>62.349999999999994</v>
      </c>
      <c r="S5" s="807"/>
      <c r="T5" s="113"/>
      <c r="U5" s="338"/>
      <c r="V5" s="161"/>
      <c r="Y5" t="str">
        <f>SETTINGS!O3</f>
        <v>USD</v>
      </c>
      <c r="Z5" s="83" t="s">
        <v>69</v>
      </c>
      <c r="AA5" s="16">
        <f>BG8</f>
        <v>0.28646910176889501</v>
      </c>
      <c r="AB5" s="84">
        <f>SUMIFS(PNLPercent,ActionLog,"sell",WL,"w")/BD4</f>
        <v>1.5990833167493747E-2</v>
      </c>
      <c r="AC5" s="84">
        <f>-SUMIFS(PNLPercent,ActionLog,"sell",WL,"L")/BE4</f>
        <v>6.5792059005773354E-2</v>
      </c>
      <c r="AD5" s="37">
        <f t="shared" ref="AD5:AD6" si="0">IF($Z$3=$AJ$4,AH5,AF5)</f>
        <v>0.80447214884972262</v>
      </c>
      <c r="AE5" s="39">
        <f>BD6</f>
        <v>0.66666666666666663</v>
      </c>
      <c r="AF5" s="21">
        <f>AC5/(AB5+AC5)</f>
        <v>0.80447214884972262</v>
      </c>
      <c r="AG5" s="21">
        <f t="shared" ref="AG5:AG6" si="1">1/(1+((AE5*AB5)/((1-AE5)*AC5)/1))</f>
        <v>0.67290121938664982</v>
      </c>
      <c r="AH5" s="21">
        <f>1/(1+(AA5/1))</f>
        <v>0.77732142857142861</v>
      </c>
      <c r="AJ5" t="s">
        <v>457</v>
      </c>
      <c r="AO5" s="32">
        <f>AS4+AS3</f>
        <v>4364.3700000000063</v>
      </c>
      <c r="AP5" s="32"/>
      <c r="AQ5" s="32">
        <f ca="1">IFERROR(AO5/'Bank Transfers'!H5,0)</f>
        <v>8.7287400000000126E-2</v>
      </c>
      <c r="AR5" t="s">
        <v>384</v>
      </c>
      <c r="AS5" s="32">
        <f>SUMIFS(PNLwFees,ActionLog,"sell",PNLwFees,"&gt;0")</f>
        <v>124.69999999999999</v>
      </c>
      <c r="AU5" s="32" t="s">
        <v>206</v>
      </c>
      <c r="AV5" s="32"/>
      <c r="AW5" s="32" t="s">
        <v>214</v>
      </c>
      <c r="AY5" s="32" t="s">
        <v>96</v>
      </c>
      <c r="AZ5" s="32" t="s">
        <v>97</v>
      </c>
      <c r="BA5" s="32" t="s">
        <v>119</v>
      </c>
      <c r="BB5" s="32" t="s">
        <v>98</v>
      </c>
      <c r="BC5" s="32"/>
      <c r="BD5" s="32" t="s">
        <v>96</v>
      </c>
      <c r="BE5" s="32" t="s">
        <v>97</v>
      </c>
      <c r="BF5" s="32" t="s">
        <v>119</v>
      </c>
      <c r="BG5" s="32" t="s">
        <v>98</v>
      </c>
      <c r="BH5" s="32"/>
      <c r="BI5" s="32" t="s">
        <v>96</v>
      </c>
      <c r="BJ5" s="32" t="s">
        <v>97</v>
      </c>
      <c r="BK5" s="32" t="s">
        <v>119</v>
      </c>
      <c r="BL5" s="32" t="s">
        <v>98</v>
      </c>
    </row>
    <row r="6" spans="1:78" ht="15" customHeight="1">
      <c r="B6" s="290"/>
      <c r="C6" s="534" t="str">
        <f>IFERROR("              "&amp;'TRADE LOG'!EL3,"")</f>
        <v xml:space="preserve">              NO SETUP</v>
      </c>
      <c r="D6" s="341"/>
      <c r="E6" s="591">
        <f>IFERROR('TRADE LOG'!EJ3,"")</f>
        <v>1737.2600100000056</v>
      </c>
      <c r="F6" s="559">
        <f>IFERROR('TRADE LOG'!EO3,"")</f>
        <v>30</v>
      </c>
      <c r="G6" s="560">
        <f>IFERROR('TRADE LOG'!EN3,"")</f>
        <v>0.43333333333333335</v>
      </c>
      <c r="H6" s="591">
        <f>IFERROR('TRADE LOG'!EM3,"")</f>
        <v>57.908666666666875</v>
      </c>
      <c r="I6" s="113"/>
      <c r="J6" s="113"/>
      <c r="K6" s="129"/>
      <c r="L6" s="338"/>
      <c r="M6" s="338"/>
      <c r="N6" s="535" t="s">
        <v>791</v>
      </c>
      <c r="O6" s="808">
        <f>-BL4</f>
        <v>-317.78966666666656</v>
      </c>
      <c r="P6" s="808"/>
      <c r="Q6" s="593">
        <f>-BB4</f>
        <v>-321.24275862068959</v>
      </c>
      <c r="R6" s="808">
        <f>-BG4</f>
        <v>-217.65</v>
      </c>
      <c r="S6" s="808"/>
      <c r="T6" s="113"/>
      <c r="U6" s="338"/>
      <c r="V6" s="161"/>
      <c r="X6" s="18" t="s">
        <v>115</v>
      </c>
      <c r="Y6" s="16" t="str">
        <f>CONCATENATE("L",COUNT(D16:D66)+16)</f>
        <v>L22</v>
      </c>
      <c r="Z6" s="83" t="s">
        <v>143</v>
      </c>
      <c r="AA6" s="16">
        <f>BL8</f>
        <v>1.7376411441949557</v>
      </c>
      <c r="AB6" s="84">
        <f>DASHBOARD!$I$37</f>
        <v>6.8203044749986161E-2</v>
      </c>
      <c r="AC6" s="84">
        <f>-DASHBOARD!$I$38</f>
        <v>4.4519008585946623E-2</v>
      </c>
      <c r="AD6" s="37">
        <f t="shared" si="0"/>
        <v>0.39494497543680879</v>
      </c>
      <c r="AE6" s="39">
        <f>BI6</f>
        <v>0.45454545454545453</v>
      </c>
      <c r="AF6" s="21">
        <f>AC6/(AB6+AC6)</f>
        <v>0.39494497543680879</v>
      </c>
      <c r="AG6" s="21">
        <f t="shared" si="1"/>
        <v>0.43923892892512578</v>
      </c>
      <c r="AH6" s="21">
        <f>1/(1+(AA6/1))</f>
        <v>0.36527797009496837</v>
      </c>
      <c r="AJ6" t="s">
        <v>458</v>
      </c>
      <c r="AO6" s="32" t="s">
        <v>216</v>
      </c>
      <c r="AP6" s="32"/>
      <c r="AQ6" s="32"/>
      <c r="AR6" t="s">
        <v>384</v>
      </c>
      <c r="AS6" s="32">
        <f>SUMIFS(PNLwFees,ActionLog,"sell",PNLwFees,"&lt;=0")</f>
        <v>-217.65</v>
      </c>
      <c r="AU6" s="32">
        <f>'MONTHLY REPORT'!AE6</f>
        <v>-9533.6899999999969</v>
      </c>
      <c r="AV6" s="32"/>
      <c r="AW6" s="32">
        <f ca="1">IFERROR(AU6/'Bank Transfers'!H5,0)</f>
        <v>-0.19067379999999995</v>
      </c>
      <c r="AY6" s="36">
        <f>IFERROR(AY4/(AY4+AZ4),0)</f>
        <v>0.44230769230769229</v>
      </c>
      <c r="AZ6" s="36">
        <f>IFERROR(AZ4/(AY4+AZ4),0)</f>
        <v>0.55769230769230771</v>
      </c>
      <c r="BA6" s="36">
        <f>IFERROR(BA4/(BA4+BB4),0)</f>
        <v>0.64931483478720775</v>
      </c>
      <c r="BB6" s="36">
        <f>IFERROR(BB4/(BA4+BB4),0)</f>
        <v>0.35068516521279236</v>
      </c>
      <c r="BC6" s="36"/>
      <c r="BD6" s="36">
        <f>IFERROR(BD4/(BD4+BE4),0)</f>
        <v>0.66666666666666663</v>
      </c>
      <c r="BE6" s="36">
        <f>IFERROR(BE4/(BD4+BE4),0)</f>
        <v>0.33333333333333331</v>
      </c>
      <c r="BF6" s="36">
        <f>IFERROR(BF4/(BF4+BG4),0)</f>
        <v>0.22267857142857142</v>
      </c>
      <c r="BG6" s="36">
        <f>IFERROR(BG4/(BF4+BG4),0)</f>
        <v>0.77732142857142861</v>
      </c>
      <c r="BH6" s="36"/>
      <c r="BI6" s="36">
        <f>IFERROR(BI4/(BI4+BJ4),0)</f>
        <v>0.45454545454545453</v>
      </c>
      <c r="BJ6" s="36">
        <f>IFERROR(BJ4/(BI4+BJ4),0)</f>
        <v>0.54545454545454541</v>
      </c>
      <c r="BK6" s="36">
        <f>IFERROR(BK4/(BK4+BL4),0)</f>
        <v>0.63472202990503168</v>
      </c>
      <c r="BL6" s="36">
        <f>IFERROR(BL4/(BK4+BL4),0)</f>
        <v>0.36527797009496837</v>
      </c>
    </row>
    <row r="7" spans="1:78" ht="15" customHeight="1">
      <c r="B7" s="290"/>
      <c r="C7" s="534" t="str">
        <f>IFERROR("              "&amp;'TRADE LOG'!EL4,"")</f>
        <v xml:space="preserve">              Swing Trade</v>
      </c>
      <c r="D7" s="341"/>
      <c r="E7" s="591">
        <f>IFERROR('TRADE LOG'!EJ4,"")</f>
        <v>419.34005000000002</v>
      </c>
      <c r="F7" s="559">
        <f>IFERROR('TRADE LOG'!EO4,"")</f>
        <v>7</v>
      </c>
      <c r="G7" s="560">
        <f>IFERROR('TRADE LOG'!EN4,"")</f>
        <v>0.42857142857142855</v>
      </c>
      <c r="H7" s="591">
        <f>IFERROR('TRADE LOG'!EM4,"")</f>
        <v>59.905714285714282</v>
      </c>
      <c r="I7" s="113"/>
      <c r="J7" s="113"/>
      <c r="K7" s="129"/>
      <c r="L7" s="338"/>
      <c r="M7" s="338"/>
      <c r="N7" s="535" t="s">
        <v>792</v>
      </c>
      <c r="O7" s="809">
        <f>BL8</f>
        <v>1.7376411441949557</v>
      </c>
      <c r="P7" s="809"/>
      <c r="Q7" s="561">
        <f>BB8</f>
        <v>1.85156059964273</v>
      </c>
      <c r="R7" s="809">
        <f>BG8</f>
        <v>0.28646910176889501</v>
      </c>
      <c r="S7" s="809"/>
      <c r="T7" s="113"/>
      <c r="U7" s="338"/>
      <c r="V7" s="161"/>
      <c r="X7" s="16">
        <f>BB9</f>
        <v>83.93019230769238</v>
      </c>
      <c r="Y7" s="40" t="s">
        <v>121</v>
      </c>
      <c r="Z7" s="34"/>
      <c r="AA7" s="83" t="s">
        <v>121</v>
      </c>
      <c r="AO7" s="32">
        <f>AS6+AS5</f>
        <v>-92.950000000000017</v>
      </c>
      <c r="AP7" s="32"/>
      <c r="AQ7" s="32">
        <f ca="1">IFERROR(AO7/'Bank Transfers'!H5,0)</f>
        <v>-1.8590000000000004E-3</v>
      </c>
      <c r="AU7" s="32" t="s">
        <v>204</v>
      </c>
      <c r="AV7" s="32"/>
      <c r="AW7" s="32" t="s">
        <v>215</v>
      </c>
      <c r="AY7" s="32" t="s">
        <v>22</v>
      </c>
      <c r="AZ7" s="32" t="s">
        <v>99</v>
      </c>
      <c r="BA7" s="32" t="s">
        <v>43</v>
      </c>
      <c r="BB7" s="32" t="s">
        <v>99</v>
      </c>
      <c r="BC7" s="32"/>
      <c r="BD7" s="32" t="s">
        <v>22</v>
      </c>
      <c r="BE7" s="32" t="s">
        <v>99</v>
      </c>
      <c r="BF7" s="32" t="s">
        <v>43</v>
      </c>
      <c r="BG7" s="32" t="s">
        <v>99</v>
      </c>
      <c r="BH7" s="32"/>
      <c r="BI7" s="32" t="s">
        <v>22</v>
      </c>
      <c r="BJ7" s="32" t="s">
        <v>99</v>
      </c>
      <c r="BK7" s="32" t="s">
        <v>43</v>
      </c>
      <c r="BL7" s="32" t="s">
        <v>99</v>
      </c>
    </row>
    <row r="8" spans="1:78" ht="15" customHeight="1">
      <c r="B8" s="290"/>
      <c r="C8" s="534" t="str">
        <f>IFERROR("              "&amp;'TRADE LOG'!EL5,"")</f>
        <v xml:space="preserve">              Bounce</v>
      </c>
      <c r="D8" s="341"/>
      <c r="E8" s="591">
        <f>IFERROR('TRADE LOG'!EJ5,"")</f>
        <v>-942.77996999999971</v>
      </c>
      <c r="F8" s="559">
        <f>IFERROR('TRADE LOG'!EO5,"")</f>
        <v>12</v>
      </c>
      <c r="G8" s="560">
        <f>IFERROR('TRADE LOG'!EN5,"")</f>
        <v>0.41666666666666669</v>
      </c>
      <c r="H8" s="591">
        <f>IFERROR('TRADE LOG'!EM5,"")</f>
        <v>-78.564999999999941</v>
      </c>
      <c r="I8" s="113"/>
      <c r="J8" s="113"/>
      <c r="K8" s="129"/>
      <c r="L8" s="338"/>
      <c r="M8" s="338"/>
      <c r="N8" s="535" t="s">
        <v>793</v>
      </c>
      <c r="O8" s="810">
        <f>IFERROR(BJ9,0)</f>
        <v>1.4480342868291298</v>
      </c>
      <c r="P8" s="810"/>
      <c r="Q8" s="562">
        <f>IFERROR(AZ9,0)</f>
        <v>1.468479096268372</v>
      </c>
      <c r="R8" s="810">
        <f>IFERROR(BE9,0)</f>
        <v>0.57293820353779001</v>
      </c>
      <c r="S8" s="810"/>
      <c r="T8" s="113"/>
      <c r="U8" s="338"/>
      <c r="V8" s="161"/>
      <c r="X8" s="16">
        <f>BG9</f>
        <v>-30.983333333333334</v>
      </c>
      <c r="Y8" s="40" t="s">
        <v>69</v>
      </c>
      <c r="AA8" s="83" t="s">
        <v>69</v>
      </c>
      <c r="AF8" s="16"/>
      <c r="AO8" s="32" t="s">
        <v>217</v>
      </c>
      <c r="AP8" s="32"/>
      <c r="AQ8" s="32"/>
      <c r="AY8" s="32" t="s">
        <v>211</v>
      </c>
      <c r="AZ8" s="477">
        <f>IFERROR(AY4/AZ4,AY4&amp; " : " &amp; 0)</f>
        <v>0.7931034482758621</v>
      </c>
      <c r="BA8" s="32" t="s">
        <v>212</v>
      </c>
      <c r="BB8" s="477">
        <f>IFERROR(IFERROR(BA4/BB4,(ROUND(BA4,1) &amp;" : " &amp;"0")),"0 : 0")</f>
        <v>1.85156059964273</v>
      </c>
      <c r="BC8" s="32"/>
      <c r="BD8" s="32" t="s">
        <v>211</v>
      </c>
      <c r="BE8" s="477">
        <f>IFERROR(BD4/BE4,BD4&amp; " : " &amp; 0)</f>
        <v>2</v>
      </c>
      <c r="BF8" s="32" t="s">
        <v>212</v>
      </c>
      <c r="BG8" s="32">
        <f>IFERROR(IFERROR(BF4/BG4,(ROUND(BF4,1) &amp;" : " &amp;"0")),"0 : 0")</f>
        <v>0.28646910176889501</v>
      </c>
      <c r="BH8" s="32"/>
      <c r="BI8" s="32" t="s">
        <v>211</v>
      </c>
      <c r="BJ8" s="477">
        <f>IFERROR(BI4/BJ4,BI4&amp; " : " &amp; 0)</f>
        <v>0.83333333333333337</v>
      </c>
      <c r="BK8" s="32" t="s">
        <v>212</v>
      </c>
      <c r="BL8" s="477">
        <f>IFERROR(IFERROR(BK4/BL4,(ROUND(BK4,1) &amp;" : " &amp;"0")),"0 : 0")</f>
        <v>1.7376411441949557</v>
      </c>
    </row>
    <row r="9" spans="1:78" ht="15" customHeight="1">
      <c r="B9" s="290"/>
      <c r="C9" s="534" t="str">
        <f>IFERROR("              "&amp;'TRADE LOG'!EL6,"")</f>
        <v/>
      </c>
      <c r="D9" s="341"/>
      <c r="E9" s="591" t="str">
        <f>IFERROR('TRADE LOG'!EJ6,"")</f>
        <v/>
      </c>
      <c r="F9" s="559" t="str">
        <f>IFERROR('TRADE LOG'!EO6,"")</f>
        <v/>
      </c>
      <c r="G9" s="560" t="str">
        <f>IFERROR('TRADE LOG'!EN6,"")</f>
        <v/>
      </c>
      <c r="H9" s="591" t="str">
        <f>IFERROR('TRADE LOG'!EM6,"")</f>
        <v/>
      </c>
      <c r="I9" s="113"/>
      <c r="J9" s="113"/>
      <c r="K9" s="129"/>
      <c r="L9" s="338"/>
      <c r="M9" s="338"/>
      <c r="N9" s="535" t="s">
        <v>794</v>
      </c>
      <c r="O9" s="807">
        <f>BL9</f>
        <v>77.662181818181921</v>
      </c>
      <c r="P9" s="807"/>
      <c r="Q9" s="594">
        <f>BB9</f>
        <v>83.93019230769238</v>
      </c>
      <c r="R9" s="807">
        <f>BG9</f>
        <v>-30.983333333333334</v>
      </c>
      <c r="S9" s="807"/>
      <c r="T9" s="113"/>
      <c r="U9" s="338"/>
      <c r="V9" s="161"/>
      <c r="X9" s="23">
        <f>BL9</f>
        <v>77.662181818181921</v>
      </c>
      <c r="Y9" s="40" t="s">
        <v>143</v>
      </c>
      <c r="AA9" s="83" t="s">
        <v>143</v>
      </c>
      <c r="AO9" s="32">
        <f>IFERROR(AU6+AU4,0)</f>
        <v>4271.4200000000055</v>
      </c>
      <c r="AP9" s="32"/>
      <c r="AQ9" s="32">
        <f ca="1">AW6+AW4</f>
        <v>8.5428400000000126E-2</v>
      </c>
      <c r="AY9" s="32" t="s">
        <v>213</v>
      </c>
      <c r="AZ9" s="477">
        <f>(AY6*BA4)/(AZ6*BB4)</f>
        <v>1.468479096268372</v>
      </c>
      <c r="BA9" s="32" t="s">
        <v>210</v>
      </c>
      <c r="BB9" s="477">
        <f>(AY6*BA4)-(AZ6*BB4)</f>
        <v>83.93019230769238</v>
      </c>
      <c r="BC9" s="32"/>
      <c r="BD9" s="32" t="s">
        <v>213</v>
      </c>
      <c r="BE9" s="477">
        <f>(BD6*BF4)/(BE6*BG4)</f>
        <v>0.57293820353779001</v>
      </c>
      <c r="BF9" s="32" t="s">
        <v>210</v>
      </c>
      <c r="BG9" s="32">
        <f>(BD6*BF4)-(BE6*BG4)</f>
        <v>-30.983333333333334</v>
      </c>
      <c r="BH9" s="32"/>
      <c r="BI9" s="32" t="s">
        <v>213</v>
      </c>
      <c r="BJ9" s="477">
        <f>(BI6*BK4)/(BJ6*BL4)</f>
        <v>1.4480342868291298</v>
      </c>
      <c r="BK9" s="32" t="s">
        <v>210</v>
      </c>
      <c r="BL9" s="477">
        <f>(BI6*BK4)-(BJ6*BL4)</f>
        <v>77.662181818181921</v>
      </c>
    </row>
    <row r="10" spans="1:78" ht="20.100000000000001" customHeight="1">
      <c r="B10" s="290"/>
      <c r="C10" s="534" t="str">
        <f>IFERROR("              "&amp;'TRADE LOG'!EL7,"")</f>
        <v/>
      </c>
      <c r="D10" s="341"/>
      <c r="E10" s="591" t="str">
        <f>IFERROR('TRADE LOG'!EJ7,"")</f>
        <v/>
      </c>
      <c r="F10" s="559" t="str">
        <f>IFERROR('TRADE LOG'!EO7,"")</f>
        <v/>
      </c>
      <c r="G10" s="560" t="str">
        <f>IFERROR('TRADE LOG'!EN7,"")</f>
        <v/>
      </c>
      <c r="H10" s="591" t="str">
        <f>IFERROR('TRADE LOG'!EM7,"")</f>
        <v/>
      </c>
      <c r="I10" s="113"/>
      <c r="J10" s="113"/>
      <c r="K10" s="129"/>
      <c r="L10" s="338"/>
      <c r="M10" s="338"/>
      <c r="N10" s="113"/>
      <c r="O10" s="595"/>
      <c r="P10" s="596"/>
      <c r="Q10" s="597"/>
      <c r="R10" s="596"/>
      <c r="S10" s="596"/>
      <c r="T10" s="113"/>
      <c r="U10" s="338"/>
      <c r="V10" s="283"/>
      <c r="X10" t="s">
        <v>8</v>
      </c>
      <c r="AO10" s="32" t="s">
        <v>339</v>
      </c>
      <c r="AP10" s="32"/>
      <c r="AQ10" s="32"/>
      <c r="AY10" s="32"/>
      <c r="AZ10" s="32"/>
      <c r="BA10" s="32"/>
      <c r="BB10" s="32"/>
      <c r="BC10" s="32"/>
      <c r="BD10" s="32"/>
      <c r="BE10" s="32"/>
      <c r="BF10" s="32"/>
      <c r="BG10" s="32"/>
      <c r="BH10" s="32"/>
      <c r="BI10" s="32"/>
      <c r="BJ10" s="32"/>
      <c r="BK10" s="32"/>
      <c r="BL10" s="32"/>
    </row>
    <row r="11" spans="1:78" ht="5.0999999999999996" customHeight="1">
      <c r="A11" s="161"/>
      <c r="B11" s="290"/>
      <c r="C11" s="299"/>
      <c r="D11" s="291"/>
      <c r="E11" s="292"/>
      <c r="F11" s="161"/>
      <c r="G11" s="161"/>
      <c r="H11" s="293"/>
      <c r="I11" s="281"/>
      <c r="J11" s="161"/>
      <c r="K11" s="294"/>
      <c r="L11" s="161"/>
      <c r="M11" s="161"/>
      <c r="N11" s="293"/>
      <c r="O11" s="190"/>
      <c r="P11" s="161"/>
      <c r="Q11" s="294"/>
      <c r="R11" s="291"/>
      <c r="S11" s="291"/>
      <c r="T11" s="293"/>
      <c r="U11" s="281"/>
      <c r="V11" s="283"/>
    </row>
    <row r="12" spans="1:78" ht="3.75" customHeight="1">
      <c r="A12" s="161"/>
      <c r="B12" s="284"/>
      <c r="C12" s="299"/>
      <c r="D12" s="161"/>
      <c r="E12" s="295"/>
      <c r="F12" s="161"/>
      <c r="G12" s="161"/>
      <c r="H12" s="161"/>
      <c r="I12" s="284"/>
      <c r="J12" s="161"/>
      <c r="K12" s="294"/>
      <c r="L12" s="161"/>
      <c r="M12" s="161"/>
      <c r="N12" s="161"/>
      <c r="O12" s="284"/>
      <c r="P12" s="161"/>
      <c r="Q12" s="294"/>
      <c r="R12" s="161"/>
      <c r="S12" s="161"/>
      <c r="T12" s="161"/>
      <c r="U12" s="284"/>
      <c r="V12" s="283"/>
    </row>
    <row r="13" spans="1:78" ht="21" customHeight="1" thickBot="1">
      <c r="B13" s="296"/>
      <c r="C13" s="650" t="s">
        <v>414</v>
      </c>
      <c r="D13" s="447"/>
      <c r="E13" s="447"/>
      <c r="F13" s="446"/>
      <c r="G13" s="446"/>
      <c r="H13" s="446"/>
      <c r="I13" s="286"/>
      <c r="J13" s="650" t="s">
        <v>385</v>
      </c>
      <c r="K13" s="447"/>
      <c r="L13" s="446"/>
      <c r="M13" s="446"/>
      <c r="N13" s="446"/>
      <c r="O13" s="445"/>
      <c r="P13" s="650" t="s">
        <v>386</v>
      </c>
      <c r="Q13" s="446"/>
      <c r="R13" s="448"/>
      <c r="S13" s="449"/>
      <c r="T13" s="449"/>
      <c r="U13" s="285"/>
      <c r="V13" s="283"/>
      <c r="X13" s="100" t="s">
        <v>691</v>
      </c>
    </row>
    <row r="14" spans="1:78" ht="21.95" customHeight="1">
      <c r="B14" s="296"/>
      <c r="C14" s="451" t="s">
        <v>252</v>
      </c>
      <c r="D14" s="451" t="s">
        <v>313</v>
      </c>
      <c r="E14" s="451" t="s">
        <v>253</v>
      </c>
      <c r="F14" s="451" t="s">
        <v>743</v>
      </c>
      <c r="G14" s="451" t="s">
        <v>742</v>
      </c>
      <c r="H14" s="451" t="s">
        <v>332</v>
      </c>
      <c r="I14" s="450"/>
      <c r="J14" s="451" t="s">
        <v>313</v>
      </c>
      <c r="K14" s="451" t="s">
        <v>253</v>
      </c>
      <c r="L14" s="451" t="s">
        <v>743</v>
      </c>
      <c r="M14" s="451" t="s">
        <v>742</v>
      </c>
      <c r="N14" s="451" t="s">
        <v>332</v>
      </c>
      <c r="O14" s="452"/>
      <c r="P14" s="451" t="s">
        <v>313</v>
      </c>
      <c r="Q14" s="451" t="s">
        <v>253</v>
      </c>
      <c r="R14" s="451" t="s">
        <v>743</v>
      </c>
      <c r="S14" s="451" t="s">
        <v>742</v>
      </c>
      <c r="T14" s="451" t="s">
        <v>332</v>
      </c>
      <c r="U14" s="286"/>
      <c r="V14" s="287"/>
      <c r="AI14" s="490" t="s">
        <v>761</v>
      </c>
      <c r="AK14" t="s">
        <v>121</v>
      </c>
      <c r="AP14" t="s">
        <v>121</v>
      </c>
      <c r="AT14" t="s">
        <v>69</v>
      </c>
      <c r="BC14" t="s">
        <v>143</v>
      </c>
    </row>
    <row r="15" spans="1:78" ht="21.95" customHeight="1">
      <c r="B15" s="343" t="s">
        <v>17</v>
      </c>
      <c r="C15" s="536" t="s">
        <v>143</v>
      </c>
      <c r="D15" s="598">
        <f>AO9</f>
        <v>4271.4200000000055</v>
      </c>
      <c r="E15" s="537" t="str">
        <f>CONCATENATE(BI4+BJ4," (",TEXT(BI6,"0.0%"),")")</f>
        <v>55 (45.5%)</v>
      </c>
      <c r="F15" s="538">
        <f>BL8</f>
        <v>1.7376411441949557</v>
      </c>
      <c r="G15" s="538">
        <f>IFERROR(BJ9,"")</f>
        <v>1.4480342868291298</v>
      </c>
      <c r="H15" s="603">
        <f>BL9</f>
        <v>77.662181818181921</v>
      </c>
      <c r="I15" s="539"/>
      <c r="J15" s="603">
        <f>AO5</f>
        <v>4364.3700000000063</v>
      </c>
      <c r="K15" s="537" t="str">
        <f>CONCATENATE(AY4+AZ4," (",TEXT(AY6,"0.0%"),")")</f>
        <v>52 (44.2%)</v>
      </c>
      <c r="L15" s="540">
        <f>BB8</f>
        <v>1.85156059964273</v>
      </c>
      <c r="M15" s="540">
        <f>IFERROR(AZ9,"")</f>
        <v>1.468479096268372</v>
      </c>
      <c r="N15" s="603">
        <f>BB9</f>
        <v>83.93019230769238</v>
      </c>
      <c r="O15" s="541"/>
      <c r="P15" s="603">
        <f>AO7</f>
        <v>-92.950000000000017</v>
      </c>
      <c r="Q15" s="537" t="str">
        <f>CONCATENATE(BD4+BE4," (",TEXT(BD6,"0.0%"),")")</f>
        <v>3 (66.7%)</v>
      </c>
      <c r="R15" s="540">
        <f>BG8</f>
        <v>0.28646910176889501</v>
      </c>
      <c r="S15" s="540">
        <f>IFERROR(BE9,"")</f>
        <v>0.57293820353779001</v>
      </c>
      <c r="T15" s="603">
        <f>BG9</f>
        <v>-30.983333333333334</v>
      </c>
      <c r="U15" s="288"/>
      <c r="V15" s="287"/>
      <c r="X15" s="79">
        <f>IFERROR('MONTHLY REPORT'!G14,"xxx")</f>
        <v>16146.939999999999</v>
      </c>
      <c r="Z15" s="19" t="s">
        <v>383</v>
      </c>
      <c r="AA15" s="19" t="s">
        <v>382</v>
      </c>
      <c r="AB15" s="19" t="s">
        <v>267</v>
      </c>
      <c r="AC15" s="312" t="s">
        <v>381</v>
      </c>
      <c r="AD15" s="33" t="s">
        <v>380</v>
      </c>
      <c r="AI15" t="s">
        <v>198</v>
      </c>
      <c r="AJ15" t="s">
        <v>2</v>
      </c>
      <c r="AK15" s="491" t="s">
        <v>9</v>
      </c>
      <c r="AL15" s="491" t="s">
        <v>762</v>
      </c>
      <c r="AM15" s="491" t="s">
        <v>11</v>
      </c>
      <c r="AN15" s="491" t="s">
        <v>763</v>
      </c>
      <c r="AO15" s="491"/>
      <c r="AP15" s="491" t="s">
        <v>218</v>
      </c>
      <c r="AQ15" s="491" t="s">
        <v>219</v>
      </c>
      <c r="AR15" s="491" t="s">
        <v>220</v>
      </c>
      <c r="AS15" s="491" t="s">
        <v>221</v>
      </c>
      <c r="AT15" s="492" t="s">
        <v>70</v>
      </c>
      <c r="AU15" s="492" t="s">
        <v>66</v>
      </c>
      <c r="AV15" s="492" t="s">
        <v>35</v>
      </c>
      <c r="AW15" s="492" t="s">
        <v>760</v>
      </c>
      <c r="AX15" s="492"/>
      <c r="AY15" s="492" t="s">
        <v>218</v>
      </c>
      <c r="AZ15" s="492" t="s">
        <v>219</v>
      </c>
      <c r="BA15" s="492" t="s">
        <v>220</v>
      </c>
      <c r="BB15" s="492" t="s">
        <v>221</v>
      </c>
      <c r="BC15" s="493" t="s">
        <v>66</v>
      </c>
      <c r="BD15" s="493" t="s">
        <v>35</v>
      </c>
      <c r="BE15" s="493" t="s">
        <v>760</v>
      </c>
      <c r="BF15" s="493" t="s">
        <v>323</v>
      </c>
      <c r="BG15" s="493" t="s">
        <v>324</v>
      </c>
      <c r="BH15" s="493" t="s">
        <v>327</v>
      </c>
      <c r="BI15" s="493" t="s">
        <v>326</v>
      </c>
      <c r="BJ15" s="493" t="s">
        <v>325</v>
      </c>
      <c r="BK15" s="493" t="s">
        <v>764</v>
      </c>
      <c r="BL15" s="493" t="s">
        <v>328</v>
      </c>
      <c r="BM15" s="493" t="s">
        <v>329</v>
      </c>
      <c r="BN15" s="493" t="s">
        <v>330</v>
      </c>
      <c r="BO15" s="493" t="s">
        <v>331</v>
      </c>
      <c r="BP15" s="493" t="s">
        <v>765</v>
      </c>
      <c r="BQ15" s="312" t="s">
        <v>244</v>
      </c>
      <c r="BR15" s="312" t="s">
        <v>766</v>
      </c>
      <c r="BS15" s="312" t="s">
        <v>767</v>
      </c>
      <c r="BT15" s="312" t="s">
        <v>768</v>
      </c>
      <c r="BU15" s="312" t="s">
        <v>765</v>
      </c>
      <c r="BV15" s="492" t="s">
        <v>244</v>
      </c>
      <c r="BW15" s="492" t="s">
        <v>766</v>
      </c>
      <c r="BX15" s="492" t="s">
        <v>767</v>
      </c>
      <c r="BY15" s="492" t="s">
        <v>768</v>
      </c>
      <c r="BZ15" s="492" t="s">
        <v>765</v>
      </c>
    </row>
    <row r="16" spans="1:78" ht="21.95" customHeight="1">
      <c r="B16" s="344">
        <v>1</v>
      </c>
      <c r="C16" s="542" t="str">
        <f>IFERROR(AB16,"")</f>
        <v>AUDUSD</v>
      </c>
      <c r="D16" s="599">
        <f t="shared" ref="D16:D47" si="2">IFERROR(P16+J16,"")</f>
        <v>4767.8499999999995</v>
      </c>
      <c r="E16" s="543" t="str">
        <f>IFERROR(INDEX($BI$16:$BI$65,AA16),"")</f>
        <v>19 (63.2%)</v>
      </c>
      <c r="F16" s="544">
        <f>IFERROR(INDEX($BO$16:$BO$65,AA16),"")</f>
        <v>2.225591213722653</v>
      </c>
      <c r="G16" s="545">
        <f>IFERROR(INDEX($BP$16:$BP$65,AA16),"")</f>
        <v>3.8152992235245473</v>
      </c>
      <c r="H16" s="608">
        <f>IFERROR(INDEX($BN$16:$BN$65,AA16),"")</f>
        <v>250.93947368421044</v>
      </c>
      <c r="I16" s="546"/>
      <c r="J16" s="604">
        <f t="shared" ref="J16:J47" si="3">IFERROR(AC16,"")</f>
        <v>4908.1499999999996</v>
      </c>
      <c r="K16" s="543" t="str">
        <f>IFERROR(INDEX($AS$16:$AS$65,AA16),"")</f>
        <v>17 (64.7%)</v>
      </c>
      <c r="L16" s="544">
        <f>IFERROR(INDEX($BT$16:$BT$65,AA16),"")</f>
        <v>2.3593801008937532</v>
      </c>
      <c r="M16" s="544">
        <f>IFERROR(INDEX($BU$16:$BU$65,AA16),"")</f>
        <v>4.325530184971881</v>
      </c>
      <c r="N16" s="608">
        <f>IFERROR(INDEX($BS$16:$BS$65,AA16),"")</f>
        <v>288.71470588235292</v>
      </c>
      <c r="O16" s="546"/>
      <c r="P16" s="604">
        <f t="shared" ref="P16:P47" si="4">IFERROR(AD16,"")</f>
        <v>-140.30000000000001</v>
      </c>
      <c r="Q16" s="543" t="str">
        <f>IFERROR(INDEX($BB$16:$BB$65,AA16),"")</f>
        <v>2 (50.0%)</v>
      </c>
      <c r="R16" s="544">
        <f>IFERROR(INDEX($BY$16:$BY$65,AA16),"")</f>
        <v>0.3553870893636572</v>
      </c>
      <c r="S16" s="544">
        <f>IFERROR(INDEX($BZ$16:$BZ$65,AA16),"")</f>
        <v>0.3553870893636572</v>
      </c>
      <c r="T16" s="608">
        <f>IFERROR(INDEX($BX$16:$BX$65,AA16),"")</f>
        <v>-70.150000000000006</v>
      </c>
      <c r="U16" s="499"/>
      <c r="V16" s="289"/>
      <c r="Z16">
        <f t="shared" ref="Z16:Z47" si="5">LARGE($BE$16:$BE$66,B16)</f>
        <v>4767.8500099999992</v>
      </c>
      <c r="AA16">
        <f t="shared" ref="AA16:AA47" si="6">MATCH(Z16,$BE$16:$BE$66,0)</f>
        <v>1</v>
      </c>
      <c r="AB16" t="str">
        <f t="shared" ref="AB16:AB47" si="7">INDEX($AJ$16:$AJ$66,AA16)</f>
        <v>AUDUSD</v>
      </c>
      <c r="AC16" s="16">
        <f t="shared" ref="AC16:AC47" si="8">INDEX($AN$16:$AN$66,AA16)</f>
        <v>4908.1499999999996</v>
      </c>
      <c r="AD16" s="16">
        <f t="shared" ref="AD16:AD47" si="9">INDEX($AW$16:$AW$66,AA16)</f>
        <v>-140.30000000000001</v>
      </c>
      <c r="AE16" s="21"/>
      <c r="AF16" s="21"/>
      <c r="AG16" s="16"/>
      <c r="AH16" s="16"/>
      <c r="AI16">
        <f>SMALL('TRADE LOG'!$AQ$15:$AQ$9733,'TRADE LOG'!B15)</f>
        <v>2</v>
      </c>
      <c r="AJ16" t="str">
        <f t="shared" ref="AJ16:AJ47" si="10">IFERROR(INDEX(StockLog,AI16),"")</f>
        <v>AUDUSD</v>
      </c>
      <c r="AK16">
        <f t="shared" ref="AK16:AK47" si="11">(SUMIFS(BuyAmount,StockLog,AJ16,ActionLog,"buy"))</f>
        <v>96498.899999999034</v>
      </c>
      <c r="AL16">
        <f t="shared" ref="AL16:AL47" si="12">SUMIFS(PNLwFees,StockLog,AJ16,ActionLog,"BUY",WL,"W")</f>
        <v>6384.0499999999993</v>
      </c>
      <c r="AM16">
        <f t="shared" ref="AM16:AM47" si="13">SUMIFS(PNLwFees,StockLog,AJ16,ActionLog,"BUY",WL,"L")</f>
        <v>-1475.9</v>
      </c>
      <c r="AN16">
        <f t="shared" ref="AN16:AN47" si="14">AL16+AM16</f>
        <v>4908.1499999999996</v>
      </c>
      <c r="AP16">
        <f t="shared" ref="AP16:AP47" si="15">(COUNTIFS(StockLog,AJ16,ActionLog,"buy",StockLog,"&lt;&gt;0"))</f>
        <v>17</v>
      </c>
      <c r="AQ16">
        <f t="shared" ref="AQ16:AQ47" si="16">(COUNTIFS(StockLog,AJ16,PNLwFees,"&gt;0",ActionLog,"buy"))</f>
        <v>11</v>
      </c>
      <c r="AR16">
        <f t="shared" ref="AR16:AR47" si="17">AQ16/AP16</f>
        <v>0.6470588235294118</v>
      </c>
      <c r="AS16" t="str">
        <f t="shared" ref="AS16:AS47" si="18">CONCATENATE(AP16," (",TEXT(AR16,"0.0%"),")")</f>
        <v>17 (64.7%)</v>
      </c>
      <c r="AT16">
        <f t="shared" ref="AT16:AT47" si="19">SUMIFS(NetAmount,StockLog,AJ16,ActionLog,"sell")</f>
        <v>6617.0500000014563</v>
      </c>
      <c r="AU16">
        <f t="shared" ref="AU16:AU47" si="20">SUMIFS(PNLwFees,StockLog,AJ16,ActionLog,"sell",WL,"W")</f>
        <v>77.349999999999994</v>
      </c>
      <c r="AV16">
        <f t="shared" ref="AV16:AV47" si="21">SUMIFS(PNLwFees,StockLog,AJ16,ActionLog,"sell",WL,"L")</f>
        <v>-217.65</v>
      </c>
      <c r="AW16">
        <f t="shared" ref="AW16:AW47" si="22">AU16+AV16</f>
        <v>-140.30000000000001</v>
      </c>
      <c r="AY16">
        <f t="shared" ref="AY16:AY47" si="23">(COUNTIFS(StockLog,AJ16,ActionLog,"sell",StockLog,"&lt;&gt;0"))</f>
        <v>2</v>
      </c>
      <c r="AZ16">
        <f t="shared" ref="AZ16:AZ47" si="24">(COUNTIFS(StockLog,AJ16,WL,"W",ActionLog,"sell"))</f>
        <v>1</v>
      </c>
      <c r="BA16">
        <f t="shared" ref="BA16:BA47" si="25">AZ16/AY16</f>
        <v>0.5</v>
      </c>
      <c r="BB16" t="str">
        <f t="shared" ref="BB16:BB47" si="26">CONCATENATE(AY16," (",TEXT(BA16,"0.0%"),")")</f>
        <v>2 (50.0%)</v>
      </c>
      <c r="BC16">
        <f t="shared" ref="BC16:BC47" si="27">AL16+AU16</f>
        <v>6461.4</v>
      </c>
      <c r="BD16">
        <f t="shared" ref="BD16:BD47" si="28">AV16+AM16</f>
        <v>-1693.5500000000002</v>
      </c>
      <c r="BE16">
        <f>IF(AJ16="","",BD16+BC16+'TRADE LOG'!AR15)</f>
        <v>4767.8500099999992</v>
      </c>
      <c r="BF16">
        <f t="shared" ref="BF16:BF47" si="29">AP16+AY16</f>
        <v>19</v>
      </c>
      <c r="BG16">
        <f t="shared" ref="BG16:BG47" si="30">AQ16+AZ16</f>
        <v>12</v>
      </c>
      <c r="BH16">
        <f t="shared" ref="BH16:BH47" si="31">BG16/BF16</f>
        <v>0.63157894736842102</v>
      </c>
      <c r="BI16" t="str">
        <f t="shared" ref="BI16:BI47" si="32">CONCATENATE(BF16," (",TEXT(BH16,"0.0%"),")")</f>
        <v>19 (63.2%)</v>
      </c>
      <c r="BJ16">
        <f t="shared" ref="BJ16:BJ47" si="33">AK16+AT16</f>
        <v>103115.95000000049</v>
      </c>
      <c r="BK16">
        <f t="shared" ref="BK16:BK47" si="34">BE16/BJ16</f>
        <v>4.6237754779934401E-2</v>
      </c>
      <c r="BL16">
        <f t="shared" ref="BL16:BL47" si="35">BC16/BG16</f>
        <v>538.44999999999993</v>
      </c>
      <c r="BM16">
        <f t="shared" ref="BM16:BM47" si="36">BD16/(BF16-BG16)</f>
        <v>-241.93571428571431</v>
      </c>
      <c r="BN16">
        <f t="shared" ref="BN16:BN47" si="37">(BL16*BH16)-((1-BH16)*-BM16)</f>
        <v>250.93947368421044</v>
      </c>
      <c r="BO16">
        <f t="shared" ref="BO16:BO47" si="38">BL16/-BM16</f>
        <v>2.225591213722653</v>
      </c>
      <c r="BP16">
        <f t="shared" ref="BP16:BP47" si="39">(BL16*BH16)/((1-BH16)*-BM16)</f>
        <v>3.8152992235245473</v>
      </c>
      <c r="BQ16">
        <f>IFERROR(AL16/AQ16,0)</f>
        <v>580.36818181818171</v>
      </c>
      <c r="BR16">
        <f t="shared" ref="BR16:BR19" si="40">IFERROR(AM16/(AP16-AQ16),0)</f>
        <v>-245.98333333333335</v>
      </c>
      <c r="BS16">
        <f t="shared" ref="BS16:BS47" si="41">(BQ16*AR16)-((1-AR16)*-BR16)</f>
        <v>288.71470588235292</v>
      </c>
      <c r="BT16">
        <f t="shared" ref="BT16:BT47" si="42">BQ16/-BR16</f>
        <v>2.3593801008937532</v>
      </c>
      <c r="BU16">
        <f t="shared" ref="BU16:BU47" si="43">(BQ16*AR16)/((1-AR16)*-BR16)</f>
        <v>4.325530184971881</v>
      </c>
      <c r="BV16">
        <f>IFERROR(AU16/AZ16,0)</f>
        <v>77.349999999999994</v>
      </c>
      <c r="BW16">
        <f>IFERROR(AV16/(AY16-AZ16),0)</f>
        <v>-217.65</v>
      </c>
      <c r="BX16">
        <f t="shared" ref="BX16:BX47" si="44">(BV16*BA16)-((1-BA16)*-BW16)</f>
        <v>-70.150000000000006</v>
      </c>
      <c r="BY16">
        <f t="shared" ref="BY16:BY47" si="45">BV16/-BW16</f>
        <v>0.3553870893636572</v>
      </c>
      <c r="BZ16">
        <f t="shared" ref="BZ16:BZ47" si="46">(BV16*BA16)/((1-BA16)*-BW16)</f>
        <v>0.3553870893636572</v>
      </c>
    </row>
    <row r="17" spans="2:78" ht="21.95" customHeight="1">
      <c r="B17" s="344">
        <v>2</v>
      </c>
      <c r="C17" s="542" t="str">
        <f t="shared" ref="C17:C65" si="47">IFERROR(AB17,"")</f>
        <v>GBPUSD</v>
      </c>
      <c r="D17" s="599">
        <f t="shared" si="2"/>
        <v>527.29999999999995</v>
      </c>
      <c r="E17" s="543" t="str">
        <f t="shared" ref="E17:E66" si="48">IFERROR(INDEX($BI$16:$BI$65,AA17),"")</f>
        <v>6 (33.3%)</v>
      </c>
      <c r="F17" s="544">
        <f t="shared" ref="F17:F65" si="49">IFERROR(INDEX($BO$16:$BO$65,AA17),"")</f>
        <v>2.9102757757541755</v>
      </c>
      <c r="G17" s="545">
        <f t="shared" ref="G17:G66" si="50">IFERROR(INDEX($BP$16:$BP$65,AA17),"")</f>
        <v>1.4551378878770875</v>
      </c>
      <c r="H17" s="608">
        <f t="shared" ref="H17:H66" si="51">IFERROR(INDEX($BN$16:$BN$65,AA17),"")</f>
        <v>87.883333333333297</v>
      </c>
      <c r="I17" s="547"/>
      <c r="J17" s="604">
        <f t="shared" si="3"/>
        <v>527.29999999999995</v>
      </c>
      <c r="K17" s="543" t="str">
        <f>IFERROR(INDEX($AS$16:$AS$65,AA17),"")</f>
        <v>6 (33.3%)</v>
      </c>
      <c r="L17" s="544">
        <f t="shared" ref="L17:L66" si="52">IFERROR(INDEX($BT$16:$BT$65,AA17),"")</f>
        <v>2.9102757757541755</v>
      </c>
      <c r="M17" s="544">
        <f t="shared" ref="M17:M66" si="53">IFERROR(INDEX($BU$16:$BU$65,AA17),"")</f>
        <v>1.4551378878770875</v>
      </c>
      <c r="N17" s="608">
        <f t="shared" ref="N17:N66" si="54">IFERROR(INDEX($BS$16:$BS$65,AA17),"")</f>
        <v>87.883333333333297</v>
      </c>
      <c r="O17" s="547"/>
      <c r="P17" s="604">
        <f t="shared" si="4"/>
        <v>0</v>
      </c>
      <c r="Q17" s="543" t="str">
        <f t="shared" ref="Q17:Q66" si="55">IFERROR(INDEX($BB$16:$BB$65,AA17),"")</f>
        <v/>
      </c>
      <c r="R17" s="544" t="str">
        <f t="shared" ref="R17:R66" si="56">IFERROR(INDEX($BY$16:$BY$65,AA17),"")</f>
        <v/>
      </c>
      <c r="S17" s="544" t="str">
        <f t="shared" ref="S17:S66" si="57">IFERROR(INDEX($BZ$16:$BZ$65,AA17),"")</f>
        <v/>
      </c>
      <c r="T17" s="608" t="str">
        <f t="shared" ref="T17:T66" si="58">IFERROR(INDEX($BX$16:$BX$65,AA17),"")</f>
        <v/>
      </c>
      <c r="U17" s="499"/>
      <c r="V17" s="289"/>
      <c r="Z17">
        <f t="shared" si="5"/>
        <v>527.30003999999997</v>
      </c>
      <c r="AA17">
        <f t="shared" si="6"/>
        <v>4</v>
      </c>
      <c r="AB17" t="str">
        <f t="shared" si="7"/>
        <v>GBPUSD</v>
      </c>
      <c r="AC17" s="16">
        <f t="shared" si="8"/>
        <v>527.29999999999995</v>
      </c>
      <c r="AD17" s="16">
        <f t="shared" si="9"/>
        <v>0</v>
      </c>
      <c r="AE17" s="21"/>
      <c r="AF17" s="21"/>
      <c r="AG17" s="16"/>
      <c r="AH17" s="16"/>
      <c r="AI17">
        <f>SMALL('TRADE LOG'!$AQ$15:$AQ$9733,'TRADE LOG'!B16)</f>
        <v>3</v>
      </c>
      <c r="AJ17" t="str">
        <f t="shared" si="10"/>
        <v>XAUUSD</v>
      </c>
      <c r="AK17">
        <f t="shared" si="11"/>
        <v>5204230.0000004871</v>
      </c>
      <c r="AL17">
        <f t="shared" si="12"/>
        <v>110</v>
      </c>
      <c r="AM17">
        <f t="shared" si="13"/>
        <v>-520</v>
      </c>
      <c r="AN17">
        <f t="shared" si="14"/>
        <v>-410</v>
      </c>
      <c r="AP17">
        <f t="shared" si="15"/>
        <v>4</v>
      </c>
      <c r="AQ17">
        <f t="shared" si="16"/>
        <v>1</v>
      </c>
      <c r="AR17">
        <f t="shared" si="17"/>
        <v>0.25</v>
      </c>
      <c r="AS17" t="str">
        <f t="shared" si="18"/>
        <v>4 (25.0%)</v>
      </c>
      <c r="AT17">
        <f t="shared" si="19"/>
        <v>0</v>
      </c>
      <c r="AU17">
        <f t="shared" si="20"/>
        <v>0</v>
      </c>
      <c r="AV17">
        <f t="shared" si="21"/>
        <v>0</v>
      </c>
      <c r="AW17">
        <f t="shared" si="22"/>
        <v>0</v>
      </c>
      <c r="AY17">
        <f t="shared" si="23"/>
        <v>0</v>
      </c>
      <c r="AZ17">
        <f t="shared" si="24"/>
        <v>0</v>
      </c>
      <c r="BA17" t="e">
        <f t="shared" si="25"/>
        <v>#DIV/0!</v>
      </c>
      <c r="BB17" t="e">
        <f t="shared" si="26"/>
        <v>#DIV/0!</v>
      </c>
      <c r="BC17">
        <f t="shared" si="27"/>
        <v>110</v>
      </c>
      <c r="BD17">
        <f t="shared" si="28"/>
        <v>-520</v>
      </c>
      <c r="BE17">
        <f>IF(AJ17="","",BD17+BC17+'TRADE LOG'!AR16)</f>
        <v>-409.99997999999999</v>
      </c>
      <c r="BF17">
        <f t="shared" si="29"/>
        <v>4</v>
      </c>
      <c r="BG17">
        <f t="shared" si="30"/>
        <v>1</v>
      </c>
      <c r="BH17">
        <f t="shared" si="31"/>
        <v>0.25</v>
      </c>
      <c r="BI17" t="str">
        <f t="shared" si="32"/>
        <v>4 (25.0%)</v>
      </c>
      <c r="BJ17">
        <f t="shared" si="33"/>
        <v>5204230.0000004871</v>
      </c>
      <c r="BK17">
        <f t="shared" si="34"/>
        <v>-7.8782063821153487E-5</v>
      </c>
      <c r="BL17">
        <f t="shared" si="35"/>
        <v>110</v>
      </c>
      <c r="BM17">
        <f t="shared" si="36"/>
        <v>-173.33333333333334</v>
      </c>
      <c r="BN17">
        <f t="shared" si="37"/>
        <v>-102.5</v>
      </c>
      <c r="BO17">
        <f t="shared" si="38"/>
        <v>0.63461538461538458</v>
      </c>
      <c r="BP17">
        <f t="shared" si="39"/>
        <v>0.21153846153846154</v>
      </c>
      <c r="BQ17">
        <f t="shared" ref="BQ17:BQ66" si="59">IFERROR(AL17/AQ17,0)</f>
        <v>110</v>
      </c>
      <c r="BR17">
        <f t="shared" si="40"/>
        <v>-173.33333333333334</v>
      </c>
      <c r="BS17">
        <f t="shared" si="41"/>
        <v>-102.5</v>
      </c>
      <c r="BT17">
        <f t="shared" si="42"/>
        <v>0.63461538461538458</v>
      </c>
      <c r="BU17">
        <f t="shared" si="43"/>
        <v>0.21153846153846154</v>
      </c>
      <c r="BV17">
        <f t="shared" ref="BV17:BV66" si="60">IFERROR(AU17/AZ17,0)</f>
        <v>0</v>
      </c>
      <c r="BW17">
        <f t="shared" ref="BW17:BW66" si="61">IFERROR(AV17/(AY17-AZ17),0)</f>
        <v>0</v>
      </c>
      <c r="BX17" t="e">
        <f t="shared" si="44"/>
        <v>#DIV/0!</v>
      </c>
      <c r="BY17" t="e">
        <f t="shared" si="45"/>
        <v>#DIV/0!</v>
      </c>
      <c r="BZ17" t="e">
        <f t="shared" si="46"/>
        <v>#DIV/0!</v>
      </c>
    </row>
    <row r="18" spans="2:78" ht="21.95" customHeight="1">
      <c r="B18" s="344">
        <v>3</v>
      </c>
      <c r="C18" s="542" t="str">
        <f t="shared" si="47"/>
        <v>USDJPY</v>
      </c>
      <c r="D18" s="599">
        <f t="shared" si="2"/>
        <v>-65.690000000000026</v>
      </c>
      <c r="E18" s="543" t="str">
        <f t="shared" si="48"/>
        <v>3 (33.3%)</v>
      </c>
      <c r="F18" s="544">
        <f t="shared" si="49"/>
        <v>1.5858003089630819</v>
      </c>
      <c r="G18" s="545">
        <f t="shared" si="50"/>
        <v>0.79290015448154083</v>
      </c>
      <c r="H18" s="608">
        <f t="shared" si="51"/>
        <v>-21.89666666666669</v>
      </c>
      <c r="I18" s="547"/>
      <c r="J18" s="604">
        <f t="shared" si="3"/>
        <v>-65.690000000000026</v>
      </c>
      <c r="K18" s="543" t="str">
        <f t="shared" ref="K18:K66" si="62">IFERROR(INDEX($AS$16:$AS$65,AA18),"")</f>
        <v>3 (33.3%)</v>
      </c>
      <c r="L18" s="544">
        <f t="shared" si="52"/>
        <v>1.5858003089630819</v>
      </c>
      <c r="M18" s="544">
        <f t="shared" si="53"/>
        <v>0.79290015448154083</v>
      </c>
      <c r="N18" s="608">
        <f t="shared" si="54"/>
        <v>-21.89666666666669</v>
      </c>
      <c r="O18" s="547"/>
      <c r="P18" s="604">
        <f t="shared" si="4"/>
        <v>0</v>
      </c>
      <c r="Q18" s="543" t="str">
        <f t="shared" si="55"/>
        <v/>
      </c>
      <c r="R18" s="544" t="str">
        <f t="shared" si="56"/>
        <v/>
      </c>
      <c r="S18" s="544" t="str">
        <f t="shared" si="57"/>
        <v/>
      </c>
      <c r="T18" s="608" t="str">
        <f t="shared" si="58"/>
        <v/>
      </c>
      <c r="U18" s="499"/>
      <c r="V18" s="289"/>
      <c r="Z18">
        <f t="shared" si="5"/>
        <v>-65.689950000000024</v>
      </c>
      <c r="AA18">
        <f t="shared" si="6"/>
        <v>5</v>
      </c>
      <c r="AB18" t="str">
        <f t="shared" si="7"/>
        <v>USDJPY</v>
      </c>
      <c r="AC18" s="16">
        <f t="shared" si="8"/>
        <v>-65.690000000000026</v>
      </c>
      <c r="AD18" s="16">
        <f t="shared" si="9"/>
        <v>0</v>
      </c>
      <c r="AE18" s="21"/>
      <c r="AF18" s="21"/>
      <c r="AG18" s="16"/>
      <c r="AH18" s="16"/>
      <c r="AI18">
        <f>SMALL('TRADE LOG'!$AQ$15:$AQ$9733,'TRADE LOG'!B17)</f>
        <v>4</v>
      </c>
      <c r="AJ18" t="str">
        <f t="shared" si="10"/>
        <v>EURUSD</v>
      </c>
      <c r="AK18">
        <f t="shared" si="11"/>
        <v>187015.08790000356</v>
      </c>
      <c r="AL18">
        <f t="shared" si="12"/>
        <v>3299.9199999999996</v>
      </c>
      <c r="AM18">
        <f t="shared" si="13"/>
        <v>-3766.4000000000005</v>
      </c>
      <c r="AN18">
        <f t="shared" si="14"/>
        <v>-466.48000000000093</v>
      </c>
      <c r="AP18">
        <f t="shared" si="15"/>
        <v>17</v>
      </c>
      <c r="AQ18">
        <f t="shared" si="16"/>
        <v>6</v>
      </c>
      <c r="AR18">
        <f t="shared" si="17"/>
        <v>0.35294117647058826</v>
      </c>
      <c r="AS18" t="str">
        <f t="shared" si="18"/>
        <v>17 (35.3%)</v>
      </c>
      <c r="AT18">
        <f t="shared" si="19"/>
        <v>5504.4999999998872</v>
      </c>
      <c r="AU18">
        <f t="shared" si="20"/>
        <v>47.35</v>
      </c>
      <c r="AV18">
        <f t="shared" si="21"/>
        <v>0</v>
      </c>
      <c r="AW18">
        <f t="shared" si="22"/>
        <v>47.35</v>
      </c>
      <c r="AY18">
        <f t="shared" si="23"/>
        <v>1</v>
      </c>
      <c r="AZ18">
        <f t="shared" si="24"/>
        <v>1</v>
      </c>
      <c r="BA18">
        <f t="shared" si="25"/>
        <v>1</v>
      </c>
      <c r="BB18" t="str">
        <f t="shared" si="26"/>
        <v>1 (100.0%)</v>
      </c>
      <c r="BC18">
        <f t="shared" si="27"/>
        <v>3347.2699999999995</v>
      </c>
      <c r="BD18">
        <f t="shared" si="28"/>
        <v>-3766.4000000000005</v>
      </c>
      <c r="BE18">
        <f>IF(AJ18="","",BD18+BC18+'TRADE LOG'!AR17)</f>
        <v>-419.12997000000104</v>
      </c>
      <c r="BF18">
        <f t="shared" si="29"/>
        <v>18</v>
      </c>
      <c r="BG18">
        <f t="shared" si="30"/>
        <v>7</v>
      </c>
      <c r="BH18">
        <f t="shared" si="31"/>
        <v>0.3888888888888889</v>
      </c>
      <c r="BI18" t="str">
        <f t="shared" si="32"/>
        <v>18 (38.9%)</v>
      </c>
      <c r="BJ18">
        <f t="shared" si="33"/>
        <v>192519.58790000345</v>
      </c>
      <c r="BK18">
        <f t="shared" si="34"/>
        <v>-2.1770770162758777E-3</v>
      </c>
      <c r="BL18">
        <f t="shared" si="35"/>
        <v>478.18142857142851</v>
      </c>
      <c r="BM18">
        <f t="shared" si="36"/>
        <v>-342.40000000000003</v>
      </c>
      <c r="BN18">
        <f t="shared" si="37"/>
        <v>-23.285000000000053</v>
      </c>
      <c r="BO18">
        <f t="shared" si="38"/>
        <v>1.3965579105473962</v>
      </c>
      <c r="BP18">
        <f t="shared" si="39"/>
        <v>0.88871867034834295</v>
      </c>
      <c r="BQ18">
        <f t="shared" si="59"/>
        <v>549.98666666666657</v>
      </c>
      <c r="BR18">
        <f t="shared" si="40"/>
        <v>-342.40000000000003</v>
      </c>
      <c r="BS18">
        <f t="shared" si="41"/>
        <v>-27.440000000000026</v>
      </c>
      <c r="BT18">
        <f t="shared" si="42"/>
        <v>1.606269470404984</v>
      </c>
      <c r="BU18">
        <f t="shared" si="43"/>
        <v>0.87614698385726408</v>
      </c>
      <c r="BV18">
        <f t="shared" si="60"/>
        <v>47.35</v>
      </c>
      <c r="BW18">
        <f t="shared" si="61"/>
        <v>0</v>
      </c>
      <c r="BX18">
        <f t="shared" si="44"/>
        <v>47.35</v>
      </c>
      <c r="BY18" t="e">
        <f t="shared" si="45"/>
        <v>#DIV/0!</v>
      </c>
      <c r="BZ18" t="e">
        <f t="shared" si="46"/>
        <v>#DIV/0!</v>
      </c>
    </row>
    <row r="19" spans="2:78" ht="21.95" customHeight="1">
      <c r="B19" s="344">
        <v>4</v>
      </c>
      <c r="C19" s="542" t="str">
        <f t="shared" si="47"/>
        <v>USDCAD</v>
      </c>
      <c r="D19" s="599">
        <f t="shared" si="2"/>
        <v>-128.91000000000008</v>
      </c>
      <c r="E19" s="543" t="str">
        <f t="shared" si="48"/>
        <v>5 (40.0%)</v>
      </c>
      <c r="F19" s="544">
        <f t="shared" si="49"/>
        <v>1.406946583253128</v>
      </c>
      <c r="G19" s="545">
        <f t="shared" si="50"/>
        <v>0.93796438883541866</v>
      </c>
      <c r="H19" s="608">
        <f t="shared" si="51"/>
        <v>-25.781999999999982</v>
      </c>
      <c r="I19" s="547"/>
      <c r="J19" s="604">
        <f t="shared" si="3"/>
        <v>-128.91000000000008</v>
      </c>
      <c r="K19" s="543" t="str">
        <f t="shared" si="62"/>
        <v>5 (40.0%)</v>
      </c>
      <c r="L19" s="544">
        <f t="shared" si="52"/>
        <v>1.406946583253128</v>
      </c>
      <c r="M19" s="544">
        <f t="shared" si="53"/>
        <v>0.93796438883541866</v>
      </c>
      <c r="N19" s="608">
        <f t="shared" si="54"/>
        <v>-25.781999999999982</v>
      </c>
      <c r="O19" s="547"/>
      <c r="P19" s="604">
        <f t="shared" si="4"/>
        <v>0</v>
      </c>
      <c r="Q19" s="543" t="str">
        <f t="shared" si="55"/>
        <v/>
      </c>
      <c r="R19" s="544" t="str">
        <f t="shared" si="56"/>
        <v/>
      </c>
      <c r="S19" s="544" t="str">
        <f t="shared" si="57"/>
        <v/>
      </c>
      <c r="T19" s="608" t="str">
        <f t="shared" si="58"/>
        <v/>
      </c>
      <c r="U19" s="499"/>
      <c r="V19" s="289"/>
      <c r="Z19">
        <f t="shared" si="5"/>
        <v>-128.90994000000009</v>
      </c>
      <c r="AA19">
        <f t="shared" si="6"/>
        <v>6</v>
      </c>
      <c r="AB19" t="str">
        <f t="shared" si="7"/>
        <v>USDCAD</v>
      </c>
      <c r="AC19" s="16">
        <f t="shared" si="8"/>
        <v>-128.91000000000008</v>
      </c>
      <c r="AD19" s="16">
        <f t="shared" si="9"/>
        <v>0</v>
      </c>
      <c r="AE19" s="21"/>
      <c r="AF19" s="21"/>
      <c r="AG19" s="16"/>
      <c r="AH19" s="16"/>
      <c r="AI19">
        <f>SMALL('TRADE LOG'!$AQ$15:$AQ$9733,'TRADE LOG'!B18)</f>
        <v>26</v>
      </c>
      <c r="AJ19" t="str">
        <f t="shared" si="10"/>
        <v>GBPUSD</v>
      </c>
      <c r="AK19">
        <f t="shared" si="11"/>
        <v>110928.70000003766</v>
      </c>
      <c r="AL19">
        <f t="shared" si="12"/>
        <v>1685.85</v>
      </c>
      <c r="AM19">
        <f t="shared" si="13"/>
        <v>-1158.55</v>
      </c>
      <c r="AN19">
        <f t="shared" si="14"/>
        <v>527.29999999999995</v>
      </c>
      <c r="AP19">
        <f t="shared" si="15"/>
        <v>6</v>
      </c>
      <c r="AQ19">
        <f t="shared" si="16"/>
        <v>2</v>
      </c>
      <c r="AR19">
        <f t="shared" si="17"/>
        <v>0.33333333333333331</v>
      </c>
      <c r="AS19" t="str">
        <f t="shared" si="18"/>
        <v>6 (33.3%)</v>
      </c>
      <c r="AT19">
        <f t="shared" si="19"/>
        <v>0</v>
      </c>
      <c r="AU19">
        <f t="shared" si="20"/>
        <v>0</v>
      </c>
      <c r="AV19">
        <f t="shared" si="21"/>
        <v>0</v>
      </c>
      <c r="AW19">
        <f t="shared" si="22"/>
        <v>0</v>
      </c>
      <c r="AY19">
        <f t="shared" si="23"/>
        <v>0</v>
      </c>
      <c r="AZ19">
        <f t="shared" si="24"/>
        <v>0</v>
      </c>
      <c r="BA19" t="e">
        <f t="shared" si="25"/>
        <v>#DIV/0!</v>
      </c>
      <c r="BB19" t="e">
        <f t="shared" si="26"/>
        <v>#DIV/0!</v>
      </c>
      <c r="BC19">
        <f t="shared" si="27"/>
        <v>1685.85</v>
      </c>
      <c r="BD19">
        <f t="shared" si="28"/>
        <v>-1158.55</v>
      </c>
      <c r="BE19">
        <f>IF(AJ19="","",BD19+BC19+'TRADE LOG'!AR18)</f>
        <v>527.30003999999997</v>
      </c>
      <c r="BF19">
        <f t="shared" si="29"/>
        <v>6</v>
      </c>
      <c r="BG19">
        <f t="shared" si="30"/>
        <v>2</v>
      </c>
      <c r="BH19">
        <f t="shared" si="31"/>
        <v>0.33333333333333331</v>
      </c>
      <c r="BI19" t="str">
        <f t="shared" si="32"/>
        <v>6 (33.3%)</v>
      </c>
      <c r="BJ19">
        <f t="shared" si="33"/>
        <v>110928.70000003766</v>
      </c>
      <c r="BK19">
        <f t="shared" si="34"/>
        <v>4.7535041878235384E-3</v>
      </c>
      <c r="BL19">
        <f t="shared" si="35"/>
        <v>842.92499999999995</v>
      </c>
      <c r="BM19">
        <f t="shared" si="36"/>
        <v>-289.63749999999999</v>
      </c>
      <c r="BN19">
        <f t="shared" si="37"/>
        <v>87.883333333333297</v>
      </c>
      <c r="BO19">
        <f t="shared" si="38"/>
        <v>2.9102757757541755</v>
      </c>
      <c r="BP19">
        <f t="shared" si="39"/>
        <v>1.4551378878770875</v>
      </c>
      <c r="BQ19">
        <f t="shared" si="59"/>
        <v>842.92499999999995</v>
      </c>
      <c r="BR19">
        <f t="shared" si="40"/>
        <v>-289.63749999999999</v>
      </c>
      <c r="BS19">
        <f t="shared" si="41"/>
        <v>87.883333333333297</v>
      </c>
      <c r="BT19">
        <f t="shared" si="42"/>
        <v>2.9102757757541755</v>
      </c>
      <c r="BU19">
        <f t="shared" si="43"/>
        <v>1.4551378878770875</v>
      </c>
      <c r="BV19">
        <f t="shared" si="60"/>
        <v>0</v>
      </c>
      <c r="BW19">
        <f t="shared" si="61"/>
        <v>0</v>
      </c>
      <c r="BX19" t="e">
        <f t="shared" si="44"/>
        <v>#DIV/0!</v>
      </c>
      <c r="BY19" t="e">
        <f t="shared" si="45"/>
        <v>#DIV/0!</v>
      </c>
      <c r="BZ19" t="e">
        <f t="shared" si="46"/>
        <v>#DIV/0!</v>
      </c>
    </row>
    <row r="20" spans="2:78" ht="21.95" customHeight="1">
      <c r="B20" s="344">
        <v>5</v>
      </c>
      <c r="C20" s="542" t="str">
        <f t="shared" si="47"/>
        <v>XAUUSD</v>
      </c>
      <c r="D20" s="599">
        <f t="shared" si="2"/>
        <v>-410</v>
      </c>
      <c r="E20" s="543" t="str">
        <f t="shared" si="48"/>
        <v>4 (25.0%)</v>
      </c>
      <c r="F20" s="544">
        <f t="shared" si="49"/>
        <v>0.63461538461538458</v>
      </c>
      <c r="G20" s="545">
        <f t="shared" si="50"/>
        <v>0.21153846153846154</v>
      </c>
      <c r="H20" s="608">
        <f t="shared" si="51"/>
        <v>-102.5</v>
      </c>
      <c r="I20" s="547"/>
      <c r="J20" s="604">
        <f t="shared" si="3"/>
        <v>-410</v>
      </c>
      <c r="K20" s="543" t="str">
        <f t="shared" si="62"/>
        <v>4 (25.0%)</v>
      </c>
      <c r="L20" s="544">
        <f t="shared" si="52"/>
        <v>0.63461538461538458</v>
      </c>
      <c r="M20" s="544">
        <f t="shared" si="53"/>
        <v>0.21153846153846154</v>
      </c>
      <c r="N20" s="608">
        <f t="shared" si="54"/>
        <v>-102.5</v>
      </c>
      <c r="O20" s="547"/>
      <c r="P20" s="604">
        <f t="shared" si="4"/>
        <v>0</v>
      </c>
      <c r="Q20" s="543" t="str">
        <f t="shared" si="55"/>
        <v/>
      </c>
      <c r="R20" s="544" t="str">
        <f t="shared" si="56"/>
        <v/>
      </c>
      <c r="S20" s="544" t="str">
        <f t="shared" si="57"/>
        <v/>
      </c>
      <c r="T20" s="608" t="str">
        <f t="shared" si="58"/>
        <v/>
      </c>
      <c r="U20" s="499"/>
      <c r="V20" s="289"/>
      <c r="Z20">
        <f t="shared" si="5"/>
        <v>-409.99997999999999</v>
      </c>
      <c r="AA20">
        <f t="shared" si="6"/>
        <v>2</v>
      </c>
      <c r="AB20" t="str">
        <f t="shared" si="7"/>
        <v>XAUUSD</v>
      </c>
      <c r="AC20" s="16">
        <f t="shared" si="8"/>
        <v>-410</v>
      </c>
      <c r="AD20" s="16">
        <f t="shared" si="9"/>
        <v>0</v>
      </c>
      <c r="AE20" s="21"/>
      <c r="AF20" s="21"/>
      <c r="AG20" s="16"/>
      <c r="AH20" s="16"/>
      <c r="AI20">
        <f>SMALL('TRADE LOG'!$AQ$15:$AQ$9733,'TRADE LOG'!B19)</f>
        <v>28</v>
      </c>
      <c r="AJ20" t="str">
        <f t="shared" si="10"/>
        <v>USDJPY</v>
      </c>
      <c r="AK20">
        <f t="shared" si="11"/>
        <v>19998.612595157952</v>
      </c>
      <c r="AL20">
        <f t="shared" si="12"/>
        <v>251.49999999999997</v>
      </c>
      <c r="AM20">
        <f t="shared" si="13"/>
        <v>-317.19</v>
      </c>
      <c r="AN20">
        <f t="shared" si="14"/>
        <v>-65.690000000000026</v>
      </c>
      <c r="AP20">
        <f t="shared" si="15"/>
        <v>3</v>
      </c>
      <c r="AQ20">
        <f t="shared" si="16"/>
        <v>1</v>
      </c>
      <c r="AR20">
        <f t="shared" si="17"/>
        <v>0.33333333333333331</v>
      </c>
      <c r="AS20" t="str">
        <f t="shared" si="18"/>
        <v>3 (33.3%)</v>
      </c>
      <c r="AT20">
        <f t="shared" si="19"/>
        <v>0</v>
      </c>
      <c r="AU20">
        <f t="shared" si="20"/>
        <v>0</v>
      </c>
      <c r="AV20">
        <f t="shared" si="21"/>
        <v>0</v>
      </c>
      <c r="AW20">
        <f t="shared" si="22"/>
        <v>0</v>
      </c>
      <c r="AY20">
        <f t="shared" si="23"/>
        <v>0</v>
      </c>
      <c r="AZ20">
        <f t="shared" si="24"/>
        <v>0</v>
      </c>
      <c r="BA20" t="e">
        <f t="shared" si="25"/>
        <v>#DIV/0!</v>
      </c>
      <c r="BB20" t="e">
        <f t="shared" si="26"/>
        <v>#DIV/0!</v>
      </c>
      <c r="BC20">
        <f t="shared" si="27"/>
        <v>251.49999999999997</v>
      </c>
      <c r="BD20">
        <f t="shared" si="28"/>
        <v>-317.19</v>
      </c>
      <c r="BE20">
        <f>IF(AJ20="","",BD20+BC20+'TRADE LOG'!AR19)</f>
        <v>-65.689950000000024</v>
      </c>
      <c r="BF20">
        <f t="shared" si="29"/>
        <v>3</v>
      </c>
      <c r="BG20">
        <f t="shared" si="30"/>
        <v>1</v>
      </c>
      <c r="BH20">
        <f t="shared" si="31"/>
        <v>0.33333333333333331</v>
      </c>
      <c r="BI20" t="str">
        <f t="shared" si="32"/>
        <v>3 (33.3%)</v>
      </c>
      <c r="BJ20">
        <f t="shared" si="33"/>
        <v>19998.612595157952</v>
      </c>
      <c r="BK20">
        <f t="shared" si="34"/>
        <v>-3.2847253621936163E-3</v>
      </c>
      <c r="BL20">
        <f t="shared" si="35"/>
        <v>251.49999999999997</v>
      </c>
      <c r="BM20">
        <f t="shared" si="36"/>
        <v>-158.595</v>
      </c>
      <c r="BN20">
        <f t="shared" si="37"/>
        <v>-21.89666666666669</v>
      </c>
      <c r="BO20">
        <f t="shared" si="38"/>
        <v>1.5858003089630819</v>
      </c>
      <c r="BP20">
        <f t="shared" si="39"/>
        <v>0.79290015448154083</v>
      </c>
      <c r="BQ20">
        <f t="shared" si="59"/>
        <v>251.49999999999997</v>
      </c>
      <c r="BR20">
        <f>IFERROR(AM20/(AP20-AQ20),0)</f>
        <v>-158.595</v>
      </c>
      <c r="BS20">
        <f t="shared" si="41"/>
        <v>-21.89666666666669</v>
      </c>
      <c r="BT20">
        <f t="shared" si="42"/>
        <v>1.5858003089630819</v>
      </c>
      <c r="BU20">
        <f t="shared" si="43"/>
        <v>0.79290015448154083</v>
      </c>
      <c r="BV20">
        <f t="shared" si="60"/>
        <v>0</v>
      </c>
      <c r="BW20">
        <f t="shared" si="61"/>
        <v>0</v>
      </c>
      <c r="BX20" t="e">
        <f t="shared" si="44"/>
        <v>#DIV/0!</v>
      </c>
      <c r="BY20" t="e">
        <f t="shared" si="45"/>
        <v>#DIV/0!</v>
      </c>
      <c r="BZ20" t="e">
        <f t="shared" si="46"/>
        <v>#DIV/0!</v>
      </c>
    </row>
    <row r="21" spans="2:78" ht="21.95" customHeight="1">
      <c r="B21" s="344">
        <v>6</v>
      </c>
      <c r="C21" s="542" t="str">
        <f t="shared" si="47"/>
        <v>EURUSD</v>
      </c>
      <c r="D21" s="599">
        <f t="shared" si="2"/>
        <v>-419.1300000000009</v>
      </c>
      <c r="E21" s="543" t="str">
        <f t="shared" si="48"/>
        <v>18 (38.9%)</v>
      </c>
      <c r="F21" s="544">
        <f t="shared" si="49"/>
        <v>1.3965579105473962</v>
      </c>
      <c r="G21" s="545">
        <f t="shared" si="50"/>
        <v>0.88871867034834295</v>
      </c>
      <c r="H21" s="608">
        <f t="shared" si="51"/>
        <v>-23.285000000000053</v>
      </c>
      <c r="I21" s="547"/>
      <c r="J21" s="604">
        <f t="shared" si="3"/>
        <v>-466.48000000000093</v>
      </c>
      <c r="K21" s="543" t="str">
        <f t="shared" si="62"/>
        <v>17 (35.3%)</v>
      </c>
      <c r="L21" s="544">
        <f t="shared" si="52"/>
        <v>1.606269470404984</v>
      </c>
      <c r="M21" s="544">
        <f t="shared" si="53"/>
        <v>0.87614698385726408</v>
      </c>
      <c r="N21" s="608">
        <f t="shared" si="54"/>
        <v>-27.440000000000026</v>
      </c>
      <c r="O21" s="547"/>
      <c r="P21" s="604">
        <f t="shared" si="4"/>
        <v>47.35</v>
      </c>
      <c r="Q21" s="543" t="str">
        <f t="shared" si="55"/>
        <v>1 (100.0%)</v>
      </c>
      <c r="R21" s="544" t="str">
        <f t="shared" si="56"/>
        <v/>
      </c>
      <c r="S21" s="544" t="str">
        <f t="shared" si="57"/>
        <v/>
      </c>
      <c r="T21" s="608">
        <f t="shared" si="58"/>
        <v>47.35</v>
      </c>
      <c r="U21" s="499"/>
      <c r="V21" s="289"/>
      <c r="Z21">
        <f t="shared" si="5"/>
        <v>-419.12997000000104</v>
      </c>
      <c r="AA21">
        <f t="shared" si="6"/>
        <v>3</v>
      </c>
      <c r="AB21" t="str">
        <f t="shared" si="7"/>
        <v>EURUSD</v>
      </c>
      <c r="AC21" s="16">
        <f t="shared" si="8"/>
        <v>-466.48000000000093</v>
      </c>
      <c r="AD21" s="16">
        <f t="shared" si="9"/>
        <v>47.35</v>
      </c>
      <c r="AE21" s="21"/>
      <c r="AF21" s="21"/>
      <c r="AG21" s="16"/>
      <c r="AH21" s="16"/>
      <c r="AI21">
        <f>SMALL('TRADE LOG'!$AQ$15:$AQ$9733,'TRADE LOG'!B20)</f>
        <v>36</v>
      </c>
      <c r="AJ21" t="str">
        <f t="shared" si="10"/>
        <v>USDCAD</v>
      </c>
      <c r="AK21">
        <f t="shared" si="11"/>
        <v>219983.6378478425</v>
      </c>
      <c r="AL21">
        <f t="shared" si="12"/>
        <v>1949.09</v>
      </c>
      <c r="AM21">
        <f t="shared" si="13"/>
        <v>-2078</v>
      </c>
      <c r="AN21">
        <f t="shared" si="14"/>
        <v>-128.91000000000008</v>
      </c>
      <c r="AP21">
        <f t="shared" si="15"/>
        <v>5</v>
      </c>
      <c r="AQ21">
        <f t="shared" si="16"/>
        <v>2</v>
      </c>
      <c r="AR21">
        <f t="shared" si="17"/>
        <v>0.4</v>
      </c>
      <c r="AS21" t="str">
        <f t="shared" si="18"/>
        <v>5 (40.0%)</v>
      </c>
      <c r="AT21">
        <f t="shared" si="19"/>
        <v>0</v>
      </c>
      <c r="AU21">
        <f t="shared" si="20"/>
        <v>0</v>
      </c>
      <c r="AV21">
        <f t="shared" si="21"/>
        <v>0</v>
      </c>
      <c r="AW21">
        <f t="shared" si="22"/>
        <v>0</v>
      </c>
      <c r="AY21">
        <f t="shared" si="23"/>
        <v>0</v>
      </c>
      <c r="AZ21">
        <f t="shared" si="24"/>
        <v>0</v>
      </c>
      <c r="BA21" t="e">
        <f t="shared" si="25"/>
        <v>#DIV/0!</v>
      </c>
      <c r="BB21" t="e">
        <f t="shared" si="26"/>
        <v>#DIV/0!</v>
      </c>
      <c r="BC21">
        <f t="shared" si="27"/>
        <v>1949.09</v>
      </c>
      <c r="BD21">
        <f t="shared" si="28"/>
        <v>-2078</v>
      </c>
      <c r="BE21">
        <f>IF(AJ21="","",BD21+BC21+'TRADE LOG'!AR20)</f>
        <v>-128.90994000000009</v>
      </c>
      <c r="BF21">
        <f t="shared" si="29"/>
        <v>5</v>
      </c>
      <c r="BG21">
        <f t="shared" si="30"/>
        <v>2</v>
      </c>
      <c r="BH21">
        <f t="shared" si="31"/>
        <v>0.4</v>
      </c>
      <c r="BI21" t="str">
        <f t="shared" si="32"/>
        <v>5 (40.0%)</v>
      </c>
      <c r="BJ21">
        <f t="shared" si="33"/>
        <v>219983.6378478425</v>
      </c>
      <c r="BK21">
        <f t="shared" si="34"/>
        <v>-5.8599785539124535E-4</v>
      </c>
      <c r="BL21">
        <f t="shared" si="35"/>
        <v>974.54499999999996</v>
      </c>
      <c r="BM21">
        <f t="shared" si="36"/>
        <v>-692.66666666666663</v>
      </c>
      <c r="BN21">
        <f t="shared" si="37"/>
        <v>-25.781999999999982</v>
      </c>
      <c r="BO21">
        <f t="shared" si="38"/>
        <v>1.406946583253128</v>
      </c>
      <c r="BP21">
        <f t="shared" si="39"/>
        <v>0.93796438883541866</v>
      </c>
      <c r="BQ21">
        <f t="shared" si="59"/>
        <v>974.54499999999996</v>
      </c>
      <c r="BR21">
        <f t="shared" ref="BR21:BR66" si="63">IFERROR(AM21/(AP21-AQ21),0)</f>
        <v>-692.66666666666663</v>
      </c>
      <c r="BS21">
        <f t="shared" si="41"/>
        <v>-25.781999999999982</v>
      </c>
      <c r="BT21">
        <f t="shared" si="42"/>
        <v>1.406946583253128</v>
      </c>
      <c r="BU21">
        <f t="shared" si="43"/>
        <v>0.93796438883541866</v>
      </c>
      <c r="BV21">
        <f t="shared" si="60"/>
        <v>0</v>
      </c>
      <c r="BW21">
        <f t="shared" si="61"/>
        <v>0</v>
      </c>
      <c r="BX21" t="e">
        <f t="shared" si="44"/>
        <v>#DIV/0!</v>
      </c>
      <c r="BY21" t="e">
        <f t="shared" si="45"/>
        <v>#DIV/0!</v>
      </c>
      <c r="BZ21" t="e">
        <f t="shared" si="46"/>
        <v>#DIV/0!</v>
      </c>
    </row>
    <row r="22" spans="2:78" ht="21.95" customHeight="1">
      <c r="B22" s="344">
        <v>7</v>
      </c>
      <c r="C22" s="542" t="str">
        <f t="shared" si="47"/>
        <v/>
      </c>
      <c r="D22" s="599" t="str">
        <f t="shared" si="2"/>
        <v/>
      </c>
      <c r="E22" s="543" t="str">
        <f t="shared" si="48"/>
        <v/>
      </c>
      <c r="F22" s="544" t="str">
        <f t="shared" si="49"/>
        <v/>
      </c>
      <c r="G22" s="545" t="str">
        <f t="shared" si="50"/>
        <v/>
      </c>
      <c r="H22" s="608" t="str">
        <f t="shared" si="51"/>
        <v/>
      </c>
      <c r="I22" s="547"/>
      <c r="J22" s="604" t="str">
        <f t="shared" si="3"/>
        <v/>
      </c>
      <c r="K22" s="543" t="str">
        <f t="shared" si="62"/>
        <v/>
      </c>
      <c r="L22" s="544" t="str">
        <f t="shared" si="52"/>
        <v/>
      </c>
      <c r="M22" s="544" t="str">
        <f t="shared" si="53"/>
        <v/>
      </c>
      <c r="N22" s="608" t="str">
        <f t="shared" si="54"/>
        <v/>
      </c>
      <c r="O22" s="547"/>
      <c r="P22" s="604" t="str">
        <f t="shared" si="4"/>
        <v/>
      </c>
      <c r="Q22" s="543" t="str">
        <f t="shared" si="55"/>
        <v/>
      </c>
      <c r="R22" s="544" t="str">
        <f t="shared" si="56"/>
        <v/>
      </c>
      <c r="S22" s="544" t="str">
        <f t="shared" si="57"/>
        <v/>
      </c>
      <c r="T22" s="608" t="str">
        <f t="shared" si="58"/>
        <v/>
      </c>
      <c r="U22" s="499"/>
      <c r="V22" s="289"/>
      <c r="Z22" t="e">
        <f t="shared" si="5"/>
        <v>#NUM!</v>
      </c>
      <c r="AA22" t="e">
        <f t="shared" si="6"/>
        <v>#NUM!</v>
      </c>
      <c r="AB22" t="e">
        <f t="shared" si="7"/>
        <v>#NUM!</v>
      </c>
      <c r="AC22" s="16" t="e">
        <f t="shared" si="8"/>
        <v>#NUM!</v>
      </c>
      <c r="AD22" s="16" t="e">
        <f t="shared" si="9"/>
        <v>#NUM!</v>
      </c>
      <c r="AE22" s="21"/>
      <c r="AF22" s="21"/>
      <c r="AG22" s="16"/>
      <c r="AH22" s="16"/>
      <c r="AI22" t="e">
        <f>SMALL('TRADE LOG'!$AQ$15:$AQ$9733,'TRADE LOG'!B21)</f>
        <v>#NUM!</v>
      </c>
      <c r="AJ22" t="str">
        <f t="shared" si="10"/>
        <v/>
      </c>
      <c r="AK22">
        <f t="shared" si="11"/>
        <v>0</v>
      </c>
      <c r="AL22">
        <f t="shared" si="12"/>
        <v>0</v>
      </c>
      <c r="AM22">
        <f t="shared" si="13"/>
        <v>0</v>
      </c>
      <c r="AN22">
        <f t="shared" si="14"/>
        <v>0</v>
      </c>
      <c r="AP22">
        <f t="shared" si="15"/>
        <v>0</v>
      </c>
      <c r="AQ22">
        <f t="shared" si="16"/>
        <v>0</v>
      </c>
      <c r="AR22" t="e">
        <f t="shared" si="17"/>
        <v>#DIV/0!</v>
      </c>
      <c r="AS22" t="e">
        <f t="shared" si="18"/>
        <v>#DIV/0!</v>
      </c>
      <c r="AT22">
        <f t="shared" si="19"/>
        <v>0</v>
      </c>
      <c r="AU22">
        <f t="shared" si="20"/>
        <v>0</v>
      </c>
      <c r="AV22">
        <f t="shared" si="21"/>
        <v>0</v>
      </c>
      <c r="AW22">
        <f t="shared" si="22"/>
        <v>0</v>
      </c>
      <c r="AY22">
        <f t="shared" si="23"/>
        <v>0</v>
      </c>
      <c r="AZ22">
        <f t="shared" si="24"/>
        <v>0</v>
      </c>
      <c r="BA22" t="e">
        <f t="shared" si="25"/>
        <v>#DIV/0!</v>
      </c>
      <c r="BB22" t="e">
        <f t="shared" si="26"/>
        <v>#DIV/0!</v>
      </c>
      <c r="BC22">
        <f t="shared" si="27"/>
        <v>0</v>
      </c>
      <c r="BD22">
        <f t="shared" si="28"/>
        <v>0</v>
      </c>
      <c r="BE22" t="str">
        <f>IF(AJ22="","",BD22+BC22+'TRADE LOG'!AR21)</f>
        <v/>
      </c>
      <c r="BF22">
        <f t="shared" si="29"/>
        <v>0</v>
      </c>
      <c r="BG22">
        <f t="shared" si="30"/>
        <v>0</v>
      </c>
      <c r="BH22" t="e">
        <f t="shared" si="31"/>
        <v>#DIV/0!</v>
      </c>
      <c r="BI22" t="e">
        <f t="shared" si="32"/>
        <v>#DIV/0!</v>
      </c>
      <c r="BJ22">
        <f t="shared" si="33"/>
        <v>0</v>
      </c>
      <c r="BK22" t="e">
        <f t="shared" si="34"/>
        <v>#VALUE!</v>
      </c>
      <c r="BL22" t="e">
        <f t="shared" si="35"/>
        <v>#DIV/0!</v>
      </c>
      <c r="BM22" t="e">
        <f t="shared" si="36"/>
        <v>#DIV/0!</v>
      </c>
      <c r="BN22" t="e">
        <f t="shared" si="37"/>
        <v>#DIV/0!</v>
      </c>
      <c r="BO22" t="e">
        <f t="shared" si="38"/>
        <v>#DIV/0!</v>
      </c>
      <c r="BP22" t="e">
        <f t="shared" si="39"/>
        <v>#DIV/0!</v>
      </c>
      <c r="BQ22">
        <f t="shared" si="59"/>
        <v>0</v>
      </c>
      <c r="BR22">
        <f t="shared" si="63"/>
        <v>0</v>
      </c>
      <c r="BS22" t="e">
        <f t="shared" si="41"/>
        <v>#DIV/0!</v>
      </c>
      <c r="BT22" t="e">
        <f t="shared" si="42"/>
        <v>#DIV/0!</v>
      </c>
      <c r="BU22" t="e">
        <f t="shared" si="43"/>
        <v>#DIV/0!</v>
      </c>
      <c r="BV22">
        <f t="shared" si="60"/>
        <v>0</v>
      </c>
      <c r="BW22">
        <f t="shared" si="61"/>
        <v>0</v>
      </c>
      <c r="BX22" t="e">
        <f t="shared" si="44"/>
        <v>#DIV/0!</v>
      </c>
      <c r="BY22" t="e">
        <f t="shared" si="45"/>
        <v>#DIV/0!</v>
      </c>
      <c r="BZ22" t="e">
        <f t="shared" si="46"/>
        <v>#DIV/0!</v>
      </c>
    </row>
    <row r="23" spans="2:78" ht="21.95" customHeight="1">
      <c r="B23" s="344">
        <v>8</v>
      </c>
      <c r="C23" s="542" t="str">
        <f t="shared" si="47"/>
        <v/>
      </c>
      <c r="D23" s="599" t="str">
        <f t="shared" si="2"/>
        <v/>
      </c>
      <c r="E23" s="543" t="str">
        <f t="shared" si="48"/>
        <v/>
      </c>
      <c r="F23" s="544" t="str">
        <f t="shared" si="49"/>
        <v/>
      </c>
      <c r="G23" s="545" t="str">
        <f t="shared" si="50"/>
        <v/>
      </c>
      <c r="H23" s="608" t="str">
        <f t="shared" si="51"/>
        <v/>
      </c>
      <c r="I23" s="547"/>
      <c r="J23" s="604" t="str">
        <f t="shared" si="3"/>
        <v/>
      </c>
      <c r="K23" s="543" t="str">
        <f t="shared" si="62"/>
        <v/>
      </c>
      <c r="L23" s="544" t="str">
        <f t="shared" si="52"/>
        <v/>
      </c>
      <c r="M23" s="544" t="str">
        <f t="shared" si="53"/>
        <v/>
      </c>
      <c r="N23" s="608" t="str">
        <f t="shared" si="54"/>
        <v/>
      </c>
      <c r="O23" s="547"/>
      <c r="P23" s="604" t="str">
        <f t="shared" si="4"/>
        <v/>
      </c>
      <c r="Q23" s="543" t="str">
        <f t="shared" si="55"/>
        <v/>
      </c>
      <c r="R23" s="544" t="str">
        <f t="shared" si="56"/>
        <v/>
      </c>
      <c r="S23" s="544" t="str">
        <f t="shared" si="57"/>
        <v/>
      </c>
      <c r="T23" s="608" t="str">
        <f t="shared" si="58"/>
        <v/>
      </c>
      <c r="U23" s="499"/>
      <c r="V23" s="289"/>
      <c r="Z23" t="e">
        <f t="shared" si="5"/>
        <v>#NUM!</v>
      </c>
      <c r="AA23" t="e">
        <f t="shared" si="6"/>
        <v>#NUM!</v>
      </c>
      <c r="AB23" t="e">
        <f t="shared" si="7"/>
        <v>#NUM!</v>
      </c>
      <c r="AC23" s="16" t="e">
        <f t="shared" si="8"/>
        <v>#NUM!</v>
      </c>
      <c r="AD23" s="16" t="e">
        <f t="shared" si="9"/>
        <v>#NUM!</v>
      </c>
      <c r="AE23" s="21"/>
      <c r="AF23" s="21"/>
      <c r="AG23" s="16"/>
      <c r="AH23" s="16"/>
      <c r="AI23" t="e">
        <f>SMALL('TRADE LOG'!$AQ$15:$AQ$9733,'TRADE LOG'!B22)</f>
        <v>#NUM!</v>
      </c>
      <c r="AJ23" t="str">
        <f t="shared" si="10"/>
        <v/>
      </c>
      <c r="AK23">
        <f t="shared" si="11"/>
        <v>0</v>
      </c>
      <c r="AL23">
        <f t="shared" si="12"/>
        <v>0</v>
      </c>
      <c r="AM23">
        <f t="shared" si="13"/>
        <v>0</v>
      </c>
      <c r="AN23">
        <f t="shared" si="14"/>
        <v>0</v>
      </c>
      <c r="AP23">
        <f t="shared" si="15"/>
        <v>0</v>
      </c>
      <c r="AQ23">
        <f t="shared" si="16"/>
        <v>0</v>
      </c>
      <c r="AR23" t="e">
        <f t="shared" si="17"/>
        <v>#DIV/0!</v>
      </c>
      <c r="AS23" t="e">
        <f t="shared" si="18"/>
        <v>#DIV/0!</v>
      </c>
      <c r="AT23">
        <f t="shared" si="19"/>
        <v>0</v>
      </c>
      <c r="AU23">
        <f t="shared" si="20"/>
        <v>0</v>
      </c>
      <c r="AV23">
        <f t="shared" si="21"/>
        <v>0</v>
      </c>
      <c r="AW23">
        <f t="shared" si="22"/>
        <v>0</v>
      </c>
      <c r="AY23">
        <f t="shared" si="23"/>
        <v>0</v>
      </c>
      <c r="AZ23">
        <f t="shared" si="24"/>
        <v>0</v>
      </c>
      <c r="BA23" t="e">
        <f t="shared" si="25"/>
        <v>#DIV/0!</v>
      </c>
      <c r="BB23" t="e">
        <f t="shared" si="26"/>
        <v>#DIV/0!</v>
      </c>
      <c r="BC23">
        <f t="shared" si="27"/>
        <v>0</v>
      </c>
      <c r="BD23">
        <f t="shared" si="28"/>
        <v>0</v>
      </c>
      <c r="BE23" t="str">
        <f>IF(AJ23="","",BD23+BC23+'TRADE LOG'!AR22)</f>
        <v/>
      </c>
      <c r="BF23">
        <f t="shared" si="29"/>
        <v>0</v>
      </c>
      <c r="BG23">
        <f t="shared" si="30"/>
        <v>0</v>
      </c>
      <c r="BH23" t="e">
        <f t="shared" si="31"/>
        <v>#DIV/0!</v>
      </c>
      <c r="BI23" t="e">
        <f t="shared" si="32"/>
        <v>#DIV/0!</v>
      </c>
      <c r="BJ23">
        <f t="shared" si="33"/>
        <v>0</v>
      </c>
      <c r="BK23" t="e">
        <f t="shared" si="34"/>
        <v>#VALUE!</v>
      </c>
      <c r="BL23" t="e">
        <f t="shared" si="35"/>
        <v>#DIV/0!</v>
      </c>
      <c r="BM23" t="e">
        <f t="shared" si="36"/>
        <v>#DIV/0!</v>
      </c>
      <c r="BN23" t="e">
        <f t="shared" si="37"/>
        <v>#DIV/0!</v>
      </c>
      <c r="BO23" t="e">
        <f t="shared" si="38"/>
        <v>#DIV/0!</v>
      </c>
      <c r="BP23" t="e">
        <f t="shared" si="39"/>
        <v>#DIV/0!</v>
      </c>
      <c r="BQ23">
        <f t="shared" si="59"/>
        <v>0</v>
      </c>
      <c r="BR23">
        <f t="shared" si="63"/>
        <v>0</v>
      </c>
      <c r="BS23" t="e">
        <f t="shared" si="41"/>
        <v>#DIV/0!</v>
      </c>
      <c r="BT23" t="e">
        <f t="shared" si="42"/>
        <v>#DIV/0!</v>
      </c>
      <c r="BU23" t="e">
        <f t="shared" si="43"/>
        <v>#DIV/0!</v>
      </c>
      <c r="BV23">
        <f t="shared" si="60"/>
        <v>0</v>
      </c>
      <c r="BW23">
        <f t="shared" si="61"/>
        <v>0</v>
      </c>
      <c r="BX23" t="e">
        <f t="shared" si="44"/>
        <v>#DIV/0!</v>
      </c>
      <c r="BY23" t="e">
        <f t="shared" si="45"/>
        <v>#DIV/0!</v>
      </c>
      <c r="BZ23" t="e">
        <f t="shared" si="46"/>
        <v>#DIV/0!</v>
      </c>
    </row>
    <row r="24" spans="2:78" ht="21.95" customHeight="1">
      <c r="B24" s="344">
        <v>9</v>
      </c>
      <c r="C24" s="542" t="str">
        <f t="shared" si="47"/>
        <v/>
      </c>
      <c r="D24" s="599" t="str">
        <f t="shared" si="2"/>
        <v/>
      </c>
      <c r="E24" s="543" t="str">
        <f t="shared" si="48"/>
        <v/>
      </c>
      <c r="F24" s="544" t="str">
        <f t="shared" si="49"/>
        <v/>
      </c>
      <c r="G24" s="545" t="str">
        <f t="shared" si="50"/>
        <v/>
      </c>
      <c r="H24" s="608" t="str">
        <f t="shared" si="51"/>
        <v/>
      </c>
      <c r="I24" s="547"/>
      <c r="J24" s="604" t="str">
        <f t="shared" si="3"/>
        <v/>
      </c>
      <c r="K24" s="543" t="str">
        <f t="shared" si="62"/>
        <v/>
      </c>
      <c r="L24" s="544" t="str">
        <f t="shared" si="52"/>
        <v/>
      </c>
      <c r="M24" s="544" t="str">
        <f t="shared" si="53"/>
        <v/>
      </c>
      <c r="N24" s="608" t="str">
        <f t="shared" si="54"/>
        <v/>
      </c>
      <c r="O24" s="547"/>
      <c r="P24" s="604" t="str">
        <f t="shared" si="4"/>
        <v/>
      </c>
      <c r="Q24" s="543" t="str">
        <f t="shared" si="55"/>
        <v/>
      </c>
      <c r="R24" s="544" t="str">
        <f t="shared" si="56"/>
        <v/>
      </c>
      <c r="S24" s="544" t="str">
        <f t="shared" si="57"/>
        <v/>
      </c>
      <c r="T24" s="608" t="str">
        <f t="shared" si="58"/>
        <v/>
      </c>
      <c r="U24" s="499"/>
      <c r="V24" s="289"/>
      <c r="Z24" t="e">
        <f t="shared" si="5"/>
        <v>#NUM!</v>
      </c>
      <c r="AA24" t="e">
        <f t="shared" si="6"/>
        <v>#NUM!</v>
      </c>
      <c r="AB24" t="e">
        <f t="shared" si="7"/>
        <v>#NUM!</v>
      </c>
      <c r="AC24" s="16" t="e">
        <f t="shared" si="8"/>
        <v>#NUM!</v>
      </c>
      <c r="AD24" s="16" t="e">
        <f t="shared" si="9"/>
        <v>#NUM!</v>
      </c>
      <c r="AE24" s="21"/>
      <c r="AF24" s="21"/>
      <c r="AG24" s="16"/>
      <c r="AH24" s="16"/>
      <c r="AI24" t="e">
        <f>SMALL('TRADE LOG'!$AQ$15:$AQ$9733,'TRADE LOG'!B23)</f>
        <v>#NUM!</v>
      </c>
      <c r="AJ24" t="str">
        <f t="shared" si="10"/>
        <v/>
      </c>
      <c r="AK24">
        <f t="shared" si="11"/>
        <v>0</v>
      </c>
      <c r="AL24">
        <f t="shared" si="12"/>
        <v>0</v>
      </c>
      <c r="AM24">
        <f t="shared" si="13"/>
        <v>0</v>
      </c>
      <c r="AN24">
        <f t="shared" si="14"/>
        <v>0</v>
      </c>
      <c r="AP24">
        <f t="shared" si="15"/>
        <v>0</v>
      </c>
      <c r="AQ24">
        <f t="shared" si="16"/>
        <v>0</v>
      </c>
      <c r="AR24" t="e">
        <f t="shared" si="17"/>
        <v>#DIV/0!</v>
      </c>
      <c r="AS24" t="e">
        <f t="shared" si="18"/>
        <v>#DIV/0!</v>
      </c>
      <c r="AT24">
        <f t="shared" si="19"/>
        <v>0</v>
      </c>
      <c r="AU24">
        <f t="shared" si="20"/>
        <v>0</v>
      </c>
      <c r="AV24">
        <f t="shared" si="21"/>
        <v>0</v>
      </c>
      <c r="AW24">
        <f t="shared" si="22"/>
        <v>0</v>
      </c>
      <c r="AY24">
        <f t="shared" si="23"/>
        <v>0</v>
      </c>
      <c r="AZ24">
        <f t="shared" si="24"/>
        <v>0</v>
      </c>
      <c r="BA24" t="e">
        <f t="shared" si="25"/>
        <v>#DIV/0!</v>
      </c>
      <c r="BB24" t="e">
        <f t="shared" si="26"/>
        <v>#DIV/0!</v>
      </c>
      <c r="BC24">
        <f t="shared" si="27"/>
        <v>0</v>
      </c>
      <c r="BD24">
        <f t="shared" si="28"/>
        <v>0</v>
      </c>
      <c r="BE24" t="str">
        <f>IF(AJ24="","",BD24+BC24+'TRADE LOG'!AR23)</f>
        <v/>
      </c>
      <c r="BF24">
        <f t="shared" si="29"/>
        <v>0</v>
      </c>
      <c r="BG24">
        <f t="shared" si="30"/>
        <v>0</v>
      </c>
      <c r="BH24" t="e">
        <f t="shared" si="31"/>
        <v>#DIV/0!</v>
      </c>
      <c r="BI24" t="e">
        <f t="shared" si="32"/>
        <v>#DIV/0!</v>
      </c>
      <c r="BJ24">
        <f t="shared" si="33"/>
        <v>0</v>
      </c>
      <c r="BK24" t="e">
        <f t="shared" si="34"/>
        <v>#VALUE!</v>
      </c>
      <c r="BL24" t="e">
        <f t="shared" si="35"/>
        <v>#DIV/0!</v>
      </c>
      <c r="BM24" t="e">
        <f t="shared" si="36"/>
        <v>#DIV/0!</v>
      </c>
      <c r="BN24" t="e">
        <f t="shared" si="37"/>
        <v>#DIV/0!</v>
      </c>
      <c r="BO24" t="e">
        <f t="shared" si="38"/>
        <v>#DIV/0!</v>
      </c>
      <c r="BP24" t="e">
        <f t="shared" si="39"/>
        <v>#DIV/0!</v>
      </c>
      <c r="BQ24">
        <f t="shared" si="59"/>
        <v>0</v>
      </c>
      <c r="BR24">
        <f t="shared" si="63"/>
        <v>0</v>
      </c>
      <c r="BS24" t="e">
        <f t="shared" si="41"/>
        <v>#DIV/0!</v>
      </c>
      <c r="BT24" t="e">
        <f t="shared" si="42"/>
        <v>#DIV/0!</v>
      </c>
      <c r="BU24" t="e">
        <f t="shared" si="43"/>
        <v>#DIV/0!</v>
      </c>
      <c r="BV24">
        <f t="shared" si="60"/>
        <v>0</v>
      </c>
      <c r="BW24">
        <f t="shared" si="61"/>
        <v>0</v>
      </c>
      <c r="BX24" t="e">
        <f t="shared" si="44"/>
        <v>#DIV/0!</v>
      </c>
      <c r="BY24" t="e">
        <f t="shared" si="45"/>
        <v>#DIV/0!</v>
      </c>
      <c r="BZ24" t="e">
        <f t="shared" si="46"/>
        <v>#DIV/0!</v>
      </c>
    </row>
    <row r="25" spans="2:78" ht="21.95" customHeight="1">
      <c r="B25" s="344">
        <v>10</v>
      </c>
      <c r="C25" s="542" t="str">
        <f t="shared" si="47"/>
        <v/>
      </c>
      <c r="D25" s="599" t="str">
        <f t="shared" si="2"/>
        <v/>
      </c>
      <c r="E25" s="543" t="str">
        <f t="shared" si="48"/>
        <v/>
      </c>
      <c r="F25" s="544" t="str">
        <f t="shared" si="49"/>
        <v/>
      </c>
      <c r="G25" s="545" t="str">
        <f t="shared" si="50"/>
        <v/>
      </c>
      <c r="H25" s="608" t="str">
        <f t="shared" si="51"/>
        <v/>
      </c>
      <c r="I25" s="547"/>
      <c r="J25" s="604" t="str">
        <f t="shared" si="3"/>
        <v/>
      </c>
      <c r="K25" s="543" t="str">
        <f t="shared" si="62"/>
        <v/>
      </c>
      <c r="L25" s="544" t="str">
        <f t="shared" si="52"/>
        <v/>
      </c>
      <c r="M25" s="544" t="str">
        <f t="shared" si="53"/>
        <v/>
      </c>
      <c r="N25" s="608" t="str">
        <f t="shared" si="54"/>
        <v/>
      </c>
      <c r="O25" s="547"/>
      <c r="P25" s="604" t="str">
        <f t="shared" si="4"/>
        <v/>
      </c>
      <c r="Q25" s="543" t="str">
        <f t="shared" si="55"/>
        <v/>
      </c>
      <c r="R25" s="544" t="str">
        <f t="shared" si="56"/>
        <v/>
      </c>
      <c r="S25" s="544" t="str">
        <f t="shared" si="57"/>
        <v/>
      </c>
      <c r="T25" s="608" t="str">
        <f t="shared" si="58"/>
        <v/>
      </c>
      <c r="U25" s="499"/>
      <c r="V25" s="289"/>
      <c r="Z25" t="e">
        <f t="shared" si="5"/>
        <v>#NUM!</v>
      </c>
      <c r="AA25" t="e">
        <f t="shared" si="6"/>
        <v>#NUM!</v>
      </c>
      <c r="AB25" t="e">
        <f t="shared" si="7"/>
        <v>#NUM!</v>
      </c>
      <c r="AC25" s="16" t="e">
        <f t="shared" si="8"/>
        <v>#NUM!</v>
      </c>
      <c r="AD25" s="16" t="e">
        <f t="shared" si="9"/>
        <v>#NUM!</v>
      </c>
      <c r="AE25" s="21"/>
      <c r="AF25" s="21"/>
      <c r="AG25" s="16"/>
      <c r="AH25" s="16"/>
      <c r="AI25" t="e">
        <f>SMALL('TRADE LOG'!$AQ$15:$AQ$9733,'TRADE LOG'!B24)</f>
        <v>#NUM!</v>
      </c>
      <c r="AJ25" t="str">
        <f t="shared" si="10"/>
        <v/>
      </c>
      <c r="AK25">
        <f t="shared" si="11"/>
        <v>0</v>
      </c>
      <c r="AL25">
        <f t="shared" si="12"/>
        <v>0</v>
      </c>
      <c r="AM25">
        <f t="shared" si="13"/>
        <v>0</v>
      </c>
      <c r="AN25">
        <f t="shared" si="14"/>
        <v>0</v>
      </c>
      <c r="AP25">
        <f t="shared" si="15"/>
        <v>0</v>
      </c>
      <c r="AQ25">
        <f t="shared" si="16"/>
        <v>0</v>
      </c>
      <c r="AR25" t="e">
        <f t="shared" si="17"/>
        <v>#DIV/0!</v>
      </c>
      <c r="AS25" t="e">
        <f t="shared" si="18"/>
        <v>#DIV/0!</v>
      </c>
      <c r="AT25">
        <f t="shared" si="19"/>
        <v>0</v>
      </c>
      <c r="AU25">
        <f t="shared" si="20"/>
        <v>0</v>
      </c>
      <c r="AV25">
        <f t="shared" si="21"/>
        <v>0</v>
      </c>
      <c r="AW25">
        <f t="shared" si="22"/>
        <v>0</v>
      </c>
      <c r="AY25">
        <f t="shared" si="23"/>
        <v>0</v>
      </c>
      <c r="AZ25">
        <f t="shared" si="24"/>
        <v>0</v>
      </c>
      <c r="BA25" t="e">
        <f t="shared" si="25"/>
        <v>#DIV/0!</v>
      </c>
      <c r="BB25" t="e">
        <f t="shared" si="26"/>
        <v>#DIV/0!</v>
      </c>
      <c r="BC25">
        <f t="shared" si="27"/>
        <v>0</v>
      </c>
      <c r="BD25">
        <f t="shared" si="28"/>
        <v>0</v>
      </c>
      <c r="BE25" t="str">
        <f>IF(AJ25="","",BD25+BC25+'TRADE LOG'!AR24)</f>
        <v/>
      </c>
      <c r="BF25">
        <f t="shared" si="29"/>
        <v>0</v>
      </c>
      <c r="BG25">
        <f t="shared" si="30"/>
        <v>0</v>
      </c>
      <c r="BH25" t="e">
        <f t="shared" si="31"/>
        <v>#DIV/0!</v>
      </c>
      <c r="BI25" t="e">
        <f t="shared" si="32"/>
        <v>#DIV/0!</v>
      </c>
      <c r="BJ25">
        <f t="shared" si="33"/>
        <v>0</v>
      </c>
      <c r="BK25" t="e">
        <f t="shared" si="34"/>
        <v>#VALUE!</v>
      </c>
      <c r="BL25" t="e">
        <f t="shared" si="35"/>
        <v>#DIV/0!</v>
      </c>
      <c r="BM25" t="e">
        <f t="shared" si="36"/>
        <v>#DIV/0!</v>
      </c>
      <c r="BN25" t="e">
        <f t="shared" si="37"/>
        <v>#DIV/0!</v>
      </c>
      <c r="BO25" t="e">
        <f t="shared" si="38"/>
        <v>#DIV/0!</v>
      </c>
      <c r="BP25" t="e">
        <f t="shared" si="39"/>
        <v>#DIV/0!</v>
      </c>
      <c r="BQ25">
        <f t="shared" si="59"/>
        <v>0</v>
      </c>
      <c r="BR25">
        <f t="shared" si="63"/>
        <v>0</v>
      </c>
      <c r="BS25" t="e">
        <f t="shared" si="41"/>
        <v>#DIV/0!</v>
      </c>
      <c r="BT25" t="e">
        <f t="shared" si="42"/>
        <v>#DIV/0!</v>
      </c>
      <c r="BU25" t="e">
        <f t="shared" si="43"/>
        <v>#DIV/0!</v>
      </c>
      <c r="BV25">
        <f t="shared" si="60"/>
        <v>0</v>
      </c>
      <c r="BW25">
        <f t="shared" si="61"/>
        <v>0</v>
      </c>
      <c r="BX25" t="e">
        <f t="shared" si="44"/>
        <v>#DIV/0!</v>
      </c>
      <c r="BY25" t="e">
        <f t="shared" si="45"/>
        <v>#DIV/0!</v>
      </c>
      <c r="BZ25" t="e">
        <f t="shared" si="46"/>
        <v>#DIV/0!</v>
      </c>
    </row>
    <row r="26" spans="2:78" ht="21.95" customHeight="1">
      <c r="B26" s="344">
        <v>11</v>
      </c>
      <c r="C26" s="542" t="str">
        <f t="shared" si="47"/>
        <v/>
      </c>
      <c r="D26" s="599" t="str">
        <f t="shared" si="2"/>
        <v/>
      </c>
      <c r="E26" s="543" t="str">
        <f t="shared" si="48"/>
        <v/>
      </c>
      <c r="F26" s="544" t="str">
        <f t="shared" si="49"/>
        <v/>
      </c>
      <c r="G26" s="545" t="str">
        <f t="shared" si="50"/>
        <v/>
      </c>
      <c r="H26" s="608" t="str">
        <f t="shared" si="51"/>
        <v/>
      </c>
      <c r="I26" s="547"/>
      <c r="J26" s="604" t="str">
        <f t="shared" si="3"/>
        <v/>
      </c>
      <c r="K26" s="543" t="str">
        <f t="shared" si="62"/>
        <v/>
      </c>
      <c r="L26" s="544" t="str">
        <f t="shared" si="52"/>
        <v/>
      </c>
      <c r="M26" s="544" t="str">
        <f t="shared" si="53"/>
        <v/>
      </c>
      <c r="N26" s="608" t="str">
        <f t="shared" si="54"/>
        <v/>
      </c>
      <c r="O26" s="547"/>
      <c r="P26" s="604" t="str">
        <f t="shared" si="4"/>
        <v/>
      </c>
      <c r="Q26" s="543" t="str">
        <f t="shared" si="55"/>
        <v/>
      </c>
      <c r="R26" s="544" t="str">
        <f t="shared" si="56"/>
        <v/>
      </c>
      <c r="S26" s="544" t="str">
        <f t="shared" si="57"/>
        <v/>
      </c>
      <c r="T26" s="608" t="str">
        <f t="shared" si="58"/>
        <v/>
      </c>
      <c r="U26" s="499"/>
      <c r="V26" s="289"/>
      <c r="Z26" t="e">
        <f t="shared" si="5"/>
        <v>#NUM!</v>
      </c>
      <c r="AA26" t="e">
        <f t="shared" si="6"/>
        <v>#NUM!</v>
      </c>
      <c r="AB26" t="e">
        <f t="shared" si="7"/>
        <v>#NUM!</v>
      </c>
      <c r="AC26" s="16" t="e">
        <f t="shared" si="8"/>
        <v>#NUM!</v>
      </c>
      <c r="AD26" s="16" t="e">
        <f t="shared" si="9"/>
        <v>#NUM!</v>
      </c>
      <c r="AE26" s="21"/>
      <c r="AF26" s="21"/>
      <c r="AG26" s="16"/>
      <c r="AH26" s="16"/>
      <c r="AI26" t="e">
        <f>SMALL('TRADE LOG'!$AQ$15:$AQ$9733,'TRADE LOG'!B25)</f>
        <v>#NUM!</v>
      </c>
      <c r="AJ26" t="str">
        <f t="shared" si="10"/>
        <v/>
      </c>
      <c r="AK26">
        <f t="shared" si="11"/>
        <v>0</v>
      </c>
      <c r="AL26">
        <f t="shared" si="12"/>
        <v>0</v>
      </c>
      <c r="AM26">
        <f t="shared" si="13"/>
        <v>0</v>
      </c>
      <c r="AN26">
        <f t="shared" si="14"/>
        <v>0</v>
      </c>
      <c r="AP26">
        <f t="shared" si="15"/>
        <v>0</v>
      </c>
      <c r="AQ26">
        <f t="shared" si="16"/>
        <v>0</v>
      </c>
      <c r="AR26" t="e">
        <f t="shared" si="17"/>
        <v>#DIV/0!</v>
      </c>
      <c r="AS26" t="e">
        <f t="shared" si="18"/>
        <v>#DIV/0!</v>
      </c>
      <c r="AT26">
        <f t="shared" si="19"/>
        <v>0</v>
      </c>
      <c r="AU26">
        <f t="shared" si="20"/>
        <v>0</v>
      </c>
      <c r="AV26">
        <f t="shared" si="21"/>
        <v>0</v>
      </c>
      <c r="AW26">
        <f t="shared" si="22"/>
        <v>0</v>
      </c>
      <c r="AY26">
        <f t="shared" si="23"/>
        <v>0</v>
      </c>
      <c r="AZ26">
        <f t="shared" si="24"/>
        <v>0</v>
      </c>
      <c r="BA26" t="e">
        <f t="shared" si="25"/>
        <v>#DIV/0!</v>
      </c>
      <c r="BB26" t="e">
        <f t="shared" si="26"/>
        <v>#DIV/0!</v>
      </c>
      <c r="BC26">
        <f t="shared" si="27"/>
        <v>0</v>
      </c>
      <c r="BD26">
        <f t="shared" si="28"/>
        <v>0</v>
      </c>
      <c r="BE26" t="str">
        <f>IF(AJ26="","",BD26+BC26+'TRADE LOG'!AR25)</f>
        <v/>
      </c>
      <c r="BF26">
        <f t="shared" si="29"/>
        <v>0</v>
      </c>
      <c r="BG26">
        <f t="shared" si="30"/>
        <v>0</v>
      </c>
      <c r="BH26" t="e">
        <f t="shared" si="31"/>
        <v>#DIV/0!</v>
      </c>
      <c r="BI26" t="e">
        <f t="shared" si="32"/>
        <v>#DIV/0!</v>
      </c>
      <c r="BJ26">
        <f t="shared" si="33"/>
        <v>0</v>
      </c>
      <c r="BK26" t="e">
        <f t="shared" si="34"/>
        <v>#VALUE!</v>
      </c>
      <c r="BL26" t="e">
        <f t="shared" si="35"/>
        <v>#DIV/0!</v>
      </c>
      <c r="BM26" t="e">
        <f t="shared" si="36"/>
        <v>#DIV/0!</v>
      </c>
      <c r="BN26" t="e">
        <f t="shared" si="37"/>
        <v>#DIV/0!</v>
      </c>
      <c r="BO26" t="e">
        <f t="shared" si="38"/>
        <v>#DIV/0!</v>
      </c>
      <c r="BP26" t="e">
        <f t="shared" si="39"/>
        <v>#DIV/0!</v>
      </c>
      <c r="BQ26">
        <f t="shared" si="59"/>
        <v>0</v>
      </c>
      <c r="BR26">
        <f t="shared" si="63"/>
        <v>0</v>
      </c>
      <c r="BS26" t="e">
        <f t="shared" si="41"/>
        <v>#DIV/0!</v>
      </c>
      <c r="BT26" t="e">
        <f t="shared" si="42"/>
        <v>#DIV/0!</v>
      </c>
      <c r="BU26" t="e">
        <f t="shared" si="43"/>
        <v>#DIV/0!</v>
      </c>
      <c r="BV26">
        <f t="shared" si="60"/>
        <v>0</v>
      </c>
      <c r="BW26">
        <f t="shared" si="61"/>
        <v>0</v>
      </c>
      <c r="BX26" t="e">
        <f t="shared" si="44"/>
        <v>#DIV/0!</v>
      </c>
      <c r="BY26" t="e">
        <f t="shared" si="45"/>
        <v>#DIV/0!</v>
      </c>
      <c r="BZ26" t="e">
        <f t="shared" si="46"/>
        <v>#DIV/0!</v>
      </c>
    </row>
    <row r="27" spans="2:78" ht="21.95" customHeight="1">
      <c r="B27" s="344">
        <v>12</v>
      </c>
      <c r="C27" s="542" t="str">
        <f t="shared" si="47"/>
        <v/>
      </c>
      <c r="D27" s="599" t="str">
        <f t="shared" si="2"/>
        <v/>
      </c>
      <c r="E27" s="543" t="str">
        <f t="shared" si="48"/>
        <v/>
      </c>
      <c r="F27" s="544" t="str">
        <f t="shared" si="49"/>
        <v/>
      </c>
      <c r="G27" s="545" t="str">
        <f t="shared" si="50"/>
        <v/>
      </c>
      <c r="H27" s="608" t="str">
        <f t="shared" si="51"/>
        <v/>
      </c>
      <c r="I27" s="547"/>
      <c r="J27" s="604" t="str">
        <f t="shared" si="3"/>
        <v/>
      </c>
      <c r="K27" s="543" t="str">
        <f t="shared" si="62"/>
        <v/>
      </c>
      <c r="L27" s="544" t="str">
        <f t="shared" si="52"/>
        <v/>
      </c>
      <c r="M27" s="544" t="str">
        <f t="shared" si="53"/>
        <v/>
      </c>
      <c r="N27" s="608" t="str">
        <f t="shared" si="54"/>
        <v/>
      </c>
      <c r="O27" s="547"/>
      <c r="P27" s="604" t="str">
        <f t="shared" si="4"/>
        <v/>
      </c>
      <c r="Q27" s="543" t="str">
        <f t="shared" si="55"/>
        <v/>
      </c>
      <c r="R27" s="544" t="str">
        <f t="shared" si="56"/>
        <v/>
      </c>
      <c r="S27" s="544" t="str">
        <f t="shared" si="57"/>
        <v/>
      </c>
      <c r="T27" s="608" t="str">
        <f t="shared" si="58"/>
        <v/>
      </c>
      <c r="U27" s="499"/>
      <c r="V27" s="289"/>
      <c r="Z27" t="e">
        <f t="shared" si="5"/>
        <v>#NUM!</v>
      </c>
      <c r="AA27" t="e">
        <f t="shared" si="6"/>
        <v>#NUM!</v>
      </c>
      <c r="AB27" t="e">
        <f t="shared" si="7"/>
        <v>#NUM!</v>
      </c>
      <c r="AC27" s="16" t="e">
        <f t="shared" si="8"/>
        <v>#NUM!</v>
      </c>
      <c r="AD27" s="16" t="e">
        <f t="shared" si="9"/>
        <v>#NUM!</v>
      </c>
      <c r="AE27" s="21"/>
      <c r="AF27" s="21"/>
      <c r="AG27" s="16"/>
      <c r="AH27" s="16"/>
      <c r="AI27" t="e">
        <f>SMALL('TRADE LOG'!$AQ$15:$AQ$9733,'TRADE LOG'!B26)</f>
        <v>#NUM!</v>
      </c>
      <c r="AJ27" t="str">
        <f t="shared" si="10"/>
        <v/>
      </c>
      <c r="AK27">
        <f t="shared" si="11"/>
        <v>0</v>
      </c>
      <c r="AL27">
        <f t="shared" si="12"/>
        <v>0</v>
      </c>
      <c r="AM27">
        <f t="shared" si="13"/>
        <v>0</v>
      </c>
      <c r="AN27">
        <f t="shared" si="14"/>
        <v>0</v>
      </c>
      <c r="AP27">
        <f t="shared" si="15"/>
        <v>0</v>
      </c>
      <c r="AQ27">
        <f t="shared" si="16"/>
        <v>0</v>
      </c>
      <c r="AR27" t="e">
        <f t="shared" si="17"/>
        <v>#DIV/0!</v>
      </c>
      <c r="AS27" t="e">
        <f t="shared" si="18"/>
        <v>#DIV/0!</v>
      </c>
      <c r="AT27">
        <f t="shared" si="19"/>
        <v>0</v>
      </c>
      <c r="AU27">
        <f t="shared" si="20"/>
        <v>0</v>
      </c>
      <c r="AV27">
        <f t="shared" si="21"/>
        <v>0</v>
      </c>
      <c r="AW27">
        <f t="shared" si="22"/>
        <v>0</v>
      </c>
      <c r="AY27">
        <f t="shared" si="23"/>
        <v>0</v>
      </c>
      <c r="AZ27">
        <f t="shared" si="24"/>
        <v>0</v>
      </c>
      <c r="BA27" t="e">
        <f t="shared" si="25"/>
        <v>#DIV/0!</v>
      </c>
      <c r="BB27" t="e">
        <f t="shared" si="26"/>
        <v>#DIV/0!</v>
      </c>
      <c r="BC27">
        <f t="shared" si="27"/>
        <v>0</v>
      </c>
      <c r="BD27">
        <f t="shared" si="28"/>
        <v>0</v>
      </c>
      <c r="BE27" t="str">
        <f>IF(AJ27="","",BD27+BC27+'TRADE LOG'!AR26)</f>
        <v/>
      </c>
      <c r="BF27">
        <f t="shared" si="29"/>
        <v>0</v>
      </c>
      <c r="BG27">
        <f t="shared" si="30"/>
        <v>0</v>
      </c>
      <c r="BH27" t="e">
        <f t="shared" si="31"/>
        <v>#DIV/0!</v>
      </c>
      <c r="BI27" t="e">
        <f t="shared" si="32"/>
        <v>#DIV/0!</v>
      </c>
      <c r="BJ27">
        <f t="shared" si="33"/>
        <v>0</v>
      </c>
      <c r="BK27" t="e">
        <f t="shared" si="34"/>
        <v>#VALUE!</v>
      </c>
      <c r="BL27" t="e">
        <f t="shared" si="35"/>
        <v>#DIV/0!</v>
      </c>
      <c r="BM27" t="e">
        <f t="shared" si="36"/>
        <v>#DIV/0!</v>
      </c>
      <c r="BN27" t="e">
        <f t="shared" si="37"/>
        <v>#DIV/0!</v>
      </c>
      <c r="BO27" t="e">
        <f t="shared" si="38"/>
        <v>#DIV/0!</v>
      </c>
      <c r="BP27" t="e">
        <f t="shared" si="39"/>
        <v>#DIV/0!</v>
      </c>
      <c r="BQ27">
        <f t="shared" si="59"/>
        <v>0</v>
      </c>
      <c r="BR27">
        <f t="shared" si="63"/>
        <v>0</v>
      </c>
      <c r="BS27" t="e">
        <f t="shared" si="41"/>
        <v>#DIV/0!</v>
      </c>
      <c r="BT27" t="e">
        <f t="shared" si="42"/>
        <v>#DIV/0!</v>
      </c>
      <c r="BU27" t="e">
        <f t="shared" si="43"/>
        <v>#DIV/0!</v>
      </c>
      <c r="BV27">
        <f t="shared" si="60"/>
        <v>0</v>
      </c>
      <c r="BW27">
        <f t="shared" si="61"/>
        <v>0</v>
      </c>
      <c r="BX27" t="e">
        <f t="shared" si="44"/>
        <v>#DIV/0!</v>
      </c>
      <c r="BY27" t="e">
        <f t="shared" si="45"/>
        <v>#DIV/0!</v>
      </c>
      <c r="BZ27" t="e">
        <f t="shared" si="46"/>
        <v>#DIV/0!</v>
      </c>
    </row>
    <row r="28" spans="2:78" ht="21.95" customHeight="1">
      <c r="B28" s="344">
        <v>13</v>
      </c>
      <c r="C28" s="542" t="str">
        <f t="shared" si="47"/>
        <v/>
      </c>
      <c r="D28" s="599" t="str">
        <f t="shared" si="2"/>
        <v/>
      </c>
      <c r="E28" s="543" t="str">
        <f t="shared" si="48"/>
        <v/>
      </c>
      <c r="F28" s="544" t="str">
        <f t="shared" si="49"/>
        <v/>
      </c>
      <c r="G28" s="545" t="str">
        <f t="shared" si="50"/>
        <v/>
      </c>
      <c r="H28" s="608" t="str">
        <f t="shared" si="51"/>
        <v/>
      </c>
      <c r="I28" s="547"/>
      <c r="J28" s="604" t="str">
        <f t="shared" si="3"/>
        <v/>
      </c>
      <c r="K28" s="543" t="str">
        <f t="shared" si="62"/>
        <v/>
      </c>
      <c r="L28" s="544" t="str">
        <f t="shared" si="52"/>
        <v/>
      </c>
      <c r="M28" s="544" t="str">
        <f t="shared" si="53"/>
        <v/>
      </c>
      <c r="N28" s="608" t="str">
        <f t="shared" si="54"/>
        <v/>
      </c>
      <c r="O28" s="547"/>
      <c r="P28" s="604" t="str">
        <f t="shared" si="4"/>
        <v/>
      </c>
      <c r="Q28" s="543" t="str">
        <f t="shared" si="55"/>
        <v/>
      </c>
      <c r="R28" s="544" t="str">
        <f t="shared" si="56"/>
        <v/>
      </c>
      <c r="S28" s="544" t="str">
        <f t="shared" si="57"/>
        <v/>
      </c>
      <c r="T28" s="608" t="str">
        <f t="shared" si="58"/>
        <v/>
      </c>
      <c r="U28" s="499"/>
      <c r="V28" s="289"/>
      <c r="Z28" t="e">
        <f t="shared" si="5"/>
        <v>#NUM!</v>
      </c>
      <c r="AA28" t="e">
        <f t="shared" si="6"/>
        <v>#NUM!</v>
      </c>
      <c r="AB28" t="e">
        <f t="shared" si="7"/>
        <v>#NUM!</v>
      </c>
      <c r="AC28" s="16" t="e">
        <f t="shared" si="8"/>
        <v>#NUM!</v>
      </c>
      <c r="AD28" s="16" t="e">
        <f t="shared" si="9"/>
        <v>#NUM!</v>
      </c>
      <c r="AE28" s="21"/>
      <c r="AF28" s="21"/>
      <c r="AG28" s="16"/>
      <c r="AH28" s="16"/>
      <c r="AI28" t="e">
        <f>SMALL('TRADE LOG'!$AQ$15:$AQ$9733,'TRADE LOG'!B27)</f>
        <v>#NUM!</v>
      </c>
      <c r="AJ28" t="str">
        <f t="shared" si="10"/>
        <v/>
      </c>
      <c r="AK28">
        <f t="shared" si="11"/>
        <v>0</v>
      </c>
      <c r="AL28">
        <f t="shared" si="12"/>
        <v>0</v>
      </c>
      <c r="AM28">
        <f t="shared" si="13"/>
        <v>0</v>
      </c>
      <c r="AN28">
        <f t="shared" si="14"/>
        <v>0</v>
      </c>
      <c r="AP28">
        <f t="shared" si="15"/>
        <v>0</v>
      </c>
      <c r="AQ28">
        <f t="shared" si="16"/>
        <v>0</v>
      </c>
      <c r="AR28" t="e">
        <f t="shared" si="17"/>
        <v>#DIV/0!</v>
      </c>
      <c r="AS28" t="e">
        <f t="shared" si="18"/>
        <v>#DIV/0!</v>
      </c>
      <c r="AT28">
        <f t="shared" si="19"/>
        <v>0</v>
      </c>
      <c r="AU28">
        <f t="shared" si="20"/>
        <v>0</v>
      </c>
      <c r="AV28">
        <f t="shared" si="21"/>
        <v>0</v>
      </c>
      <c r="AW28">
        <f t="shared" si="22"/>
        <v>0</v>
      </c>
      <c r="AY28">
        <f t="shared" si="23"/>
        <v>0</v>
      </c>
      <c r="AZ28">
        <f t="shared" si="24"/>
        <v>0</v>
      </c>
      <c r="BA28" t="e">
        <f t="shared" si="25"/>
        <v>#DIV/0!</v>
      </c>
      <c r="BB28" t="e">
        <f t="shared" si="26"/>
        <v>#DIV/0!</v>
      </c>
      <c r="BC28">
        <f t="shared" si="27"/>
        <v>0</v>
      </c>
      <c r="BD28">
        <f t="shared" si="28"/>
        <v>0</v>
      </c>
      <c r="BE28" t="str">
        <f>IF(AJ28="","",BD28+BC28+'TRADE LOG'!AR27)</f>
        <v/>
      </c>
      <c r="BF28">
        <f t="shared" si="29"/>
        <v>0</v>
      </c>
      <c r="BG28">
        <f t="shared" si="30"/>
        <v>0</v>
      </c>
      <c r="BH28" t="e">
        <f t="shared" si="31"/>
        <v>#DIV/0!</v>
      </c>
      <c r="BI28" t="e">
        <f t="shared" si="32"/>
        <v>#DIV/0!</v>
      </c>
      <c r="BJ28">
        <f t="shared" si="33"/>
        <v>0</v>
      </c>
      <c r="BK28" t="e">
        <f t="shared" si="34"/>
        <v>#VALUE!</v>
      </c>
      <c r="BL28" t="e">
        <f t="shared" si="35"/>
        <v>#DIV/0!</v>
      </c>
      <c r="BM28" t="e">
        <f t="shared" si="36"/>
        <v>#DIV/0!</v>
      </c>
      <c r="BN28" t="e">
        <f t="shared" si="37"/>
        <v>#DIV/0!</v>
      </c>
      <c r="BO28" t="e">
        <f t="shared" si="38"/>
        <v>#DIV/0!</v>
      </c>
      <c r="BP28" t="e">
        <f t="shared" si="39"/>
        <v>#DIV/0!</v>
      </c>
      <c r="BQ28">
        <f t="shared" si="59"/>
        <v>0</v>
      </c>
      <c r="BR28">
        <f t="shared" si="63"/>
        <v>0</v>
      </c>
      <c r="BS28" t="e">
        <f t="shared" si="41"/>
        <v>#DIV/0!</v>
      </c>
      <c r="BT28" t="e">
        <f t="shared" si="42"/>
        <v>#DIV/0!</v>
      </c>
      <c r="BU28" t="e">
        <f t="shared" si="43"/>
        <v>#DIV/0!</v>
      </c>
      <c r="BV28">
        <f t="shared" si="60"/>
        <v>0</v>
      </c>
      <c r="BW28">
        <f t="shared" si="61"/>
        <v>0</v>
      </c>
      <c r="BX28" t="e">
        <f t="shared" si="44"/>
        <v>#DIV/0!</v>
      </c>
      <c r="BY28" t="e">
        <f t="shared" si="45"/>
        <v>#DIV/0!</v>
      </c>
      <c r="BZ28" t="e">
        <f t="shared" si="46"/>
        <v>#DIV/0!</v>
      </c>
    </row>
    <row r="29" spans="2:78" ht="21.95" customHeight="1">
      <c r="B29" s="344">
        <v>14</v>
      </c>
      <c r="C29" s="542" t="str">
        <f t="shared" si="47"/>
        <v/>
      </c>
      <c r="D29" s="599" t="str">
        <f t="shared" si="2"/>
        <v/>
      </c>
      <c r="E29" s="543" t="str">
        <f t="shared" si="48"/>
        <v/>
      </c>
      <c r="F29" s="544" t="str">
        <f t="shared" si="49"/>
        <v/>
      </c>
      <c r="G29" s="545" t="str">
        <f t="shared" si="50"/>
        <v/>
      </c>
      <c r="H29" s="608" t="str">
        <f t="shared" si="51"/>
        <v/>
      </c>
      <c r="I29" s="547"/>
      <c r="J29" s="604" t="str">
        <f t="shared" si="3"/>
        <v/>
      </c>
      <c r="K29" s="543" t="str">
        <f t="shared" si="62"/>
        <v/>
      </c>
      <c r="L29" s="544" t="str">
        <f t="shared" si="52"/>
        <v/>
      </c>
      <c r="M29" s="544" t="str">
        <f t="shared" si="53"/>
        <v/>
      </c>
      <c r="N29" s="608" t="str">
        <f t="shared" si="54"/>
        <v/>
      </c>
      <c r="O29" s="547"/>
      <c r="P29" s="604" t="str">
        <f t="shared" si="4"/>
        <v/>
      </c>
      <c r="Q29" s="543" t="str">
        <f t="shared" si="55"/>
        <v/>
      </c>
      <c r="R29" s="544" t="str">
        <f t="shared" si="56"/>
        <v/>
      </c>
      <c r="S29" s="544" t="str">
        <f t="shared" si="57"/>
        <v/>
      </c>
      <c r="T29" s="608" t="str">
        <f t="shared" si="58"/>
        <v/>
      </c>
      <c r="U29" s="499"/>
      <c r="V29" s="289"/>
      <c r="Z29" t="e">
        <f t="shared" si="5"/>
        <v>#NUM!</v>
      </c>
      <c r="AA29" t="e">
        <f t="shared" si="6"/>
        <v>#NUM!</v>
      </c>
      <c r="AB29" t="e">
        <f t="shared" si="7"/>
        <v>#NUM!</v>
      </c>
      <c r="AC29" s="16" t="e">
        <f t="shared" si="8"/>
        <v>#NUM!</v>
      </c>
      <c r="AD29" s="16" t="e">
        <f t="shared" si="9"/>
        <v>#NUM!</v>
      </c>
      <c r="AE29" s="21"/>
      <c r="AF29" s="21"/>
      <c r="AG29" s="16"/>
      <c r="AH29" s="16"/>
      <c r="AI29" t="e">
        <f>SMALL('TRADE LOG'!$AQ$15:$AQ$9733,'TRADE LOG'!B28)</f>
        <v>#NUM!</v>
      </c>
      <c r="AJ29" t="str">
        <f t="shared" si="10"/>
        <v/>
      </c>
      <c r="AK29">
        <f t="shared" si="11"/>
        <v>0</v>
      </c>
      <c r="AL29">
        <f t="shared" si="12"/>
        <v>0</v>
      </c>
      <c r="AM29">
        <f t="shared" si="13"/>
        <v>0</v>
      </c>
      <c r="AN29">
        <f t="shared" si="14"/>
        <v>0</v>
      </c>
      <c r="AP29">
        <f t="shared" si="15"/>
        <v>0</v>
      </c>
      <c r="AQ29">
        <f t="shared" si="16"/>
        <v>0</v>
      </c>
      <c r="AR29" t="e">
        <f t="shared" si="17"/>
        <v>#DIV/0!</v>
      </c>
      <c r="AS29" t="e">
        <f t="shared" si="18"/>
        <v>#DIV/0!</v>
      </c>
      <c r="AT29">
        <f t="shared" si="19"/>
        <v>0</v>
      </c>
      <c r="AU29">
        <f t="shared" si="20"/>
        <v>0</v>
      </c>
      <c r="AV29">
        <f t="shared" si="21"/>
        <v>0</v>
      </c>
      <c r="AW29">
        <f t="shared" si="22"/>
        <v>0</v>
      </c>
      <c r="AY29">
        <f t="shared" si="23"/>
        <v>0</v>
      </c>
      <c r="AZ29">
        <f t="shared" si="24"/>
        <v>0</v>
      </c>
      <c r="BA29" t="e">
        <f t="shared" si="25"/>
        <v>#DIV/0!</v>
      </c>
      <c r="BB29" t="e">
        <f t="shared" si="26"/>
        <v>#DIV/0!</v>
      </c>
      <c r="BC29">
        <f t="shared" si="27"/>
        <v>0</v>
      </c>
      <c r="BD29">
        <f t="shared" si="28"/>
        <v>0</v>
      </c>
      <c r="BE29" t="str">
        <f>IF(AJ29="","",BD29+BC29+'TRADE LOG'!AR28)</f>
        <v/>
      </c>
      <c r="BF29">
        <f t="shared" si="29"/>
        <v>0</v>
      </c>
      <c r="BG29">
        <f t="shared" si="30"/>
        <v>0</v>
      </c>
      <c r="BH29" t="e">
        <f t="shared" si="31"/>
        <v>#DIV/0!</v>
      </c>
      <c r="BI29" t="e">
        <f t="shared" si="32"/>
        <v>#DIV/0!</v>
      </c>
      <c r="BJ29">
        <f t="shared" si="33"/>
        <v>0</v>
      </c>
      <c r="BK29" t="e">
        <f t="shared" si="34"/>
        <v>#VALUE!</v>
      </c>
      <c r="BL29" t="e">
        <f t="shared" si="35"/>
        <v>#DIV/0!</v>
      </c>
      <c r="BM29" t="e">
        <f t="shared" si="36"/>
        <v>#DIV/0!</v>
      </c>
      <c r="BN29" t="e">
        <f t="shared" si="37"/>
        <v>#DIV/0!</v>
      </c>
      <c r="BO29" t="e">
        <f t="shared" si="38"/>
        <v>#DIV/0!</v>
      </c>
      <c r="BP29" t="e">
        <f t="shared" si="39"/>
        <v>#DIV/0!</v>
      </c>
      <c r="BQ29">
        <f t="shared" si="59"/>
        <v>0</v>
      </c>
      <c r="BR29">
        <f t="shared" si="63"/>
        <v>0</v>
      </c>
      <c r="BS29" t="e">
        <f t="shared" si="41"/>
        <v>#DIV/0!</v>
      </c>
      <c r="BT29" t="e">
        <f t="shared" si="42"/>
        <v>#DIV/0!</v>
      </c>
      <c r="BU29" t="e">
        <f t="shared" si="43"/>
        <v>#DIV/0!</v>
      </c>
      <c r="BV29">
        <f t="shared" si="60"/>
        <v>0</v>
      </c>
      <c r="BW29">
        <f t="shared" si="61"/>
        <v>0</v>
      </c>
      <c r="BX29" t="e">
        <f t="shared" si="44"/>
        <v>#DIV/0!</v>
      </c>
      <c r="BY29" t="e">
        <f t="shared" si="45"/>
        <v>#DIV/0!</v>
      </c>
      <c r="BZ29" t="e">
        <f t="shared" si="46"/>
        <v>#DIV/0!</v>
      </c>
    </row>
    <row r="30" spans="2:78" ht="21.95" customHeight="1">
      <c r="B30" s="344">
        <v>15</v>
      </c>
      <c r="C30" s="542" t="str">
        <f t="shared" si="47"/>
        <v/>
      </c>
      <c r="D30" s="599" t="str">
        <f t="shared" si="2"/>
        <v/>
      </c>
      <c r="E30" s="543" t="str">
        <f t="shared" si="48"/>
        <v/>
      </c>
      <c r="F30" s="544" t="str">
        <f t="shared" si="49"/>
        <v/>
      </c>
      <c r="G30" s="545" t="str">
        <f t="shared" si="50"/>
        <v/>
      </c>
      <c r="H30" s="608" t="str">
        <f t="shared" si="51"/>
        <v/>
      </c>
      <c r="I30" s="547"/>
      <c r="J30" s="604" t="str">
        <f t="shared" si="3"/>
        <v/>
      </c>
      <c r="K30" s="543" t="str">
        <f t="shared" si="62"/>
        <v/>
      </c>
      <c r="L30" s="544" t="str">
        <f t="shared" si="52"/>
        <v/>
      </c>
      <c r="M30" s="544" t="str">
        <f t="shared" si="53"/>
        <v/>
      </c>
      <c r="N30" s="608" t="str">
        <f t="shared" si="54"/>
        <v/>
      </c>
      <c r="O30" s="547"/>
      <c r="P30" s="604" t="str">
        <f t="shared" si="4"/>
        <v/>
      </c>
      <c r="Q30" s="543" t="str">
        <f t="shared" si="55"/>
        <v/>
      </c>
      <c r="R30" s="544" t="str">
        <f t="shared" si="56"/>
        <v/>
      </c>
      <c r="S30" s="544" t="str">
        <f t="shared" si="57"/>
        <v/>
      </c>
      <c r="T30" s="608" t="str">
        <f t="shared" si="58"/>
        <v/>
      </c>
      <c r="U30" s="499"/>
      <c r="V30" s="289"/>
      <c r="Z30" t="e">
        <f t="shared" si="5"/>
        <v>#NUM!</v>
      </c>
      <c r="AA30" t="e">
        <f t="shared" si="6"/>
        <v>#NUM!</v>
      </c>
      <c r="AB30" t="e">
        <f t="shared" si="7"/>
        <v>#NUM!</v>
      </c>
      <c r="AC30" s="16" t="e">
        <f t="shared" si="8"/>
        <v>#NUM!</v>
      </c>
      <c r="AD30" s="16" t="e">
        <f t="shared" si="9"/>
        <v>#NUM!</v>
      </c>
      <c r="AE30" s="21"/>
      <c r="AF30" s="21"/>
      <c r="AG30" s="16"/>
      <c r="AH30" s="16"/>
      <c r="AI30" t="e">
        <f>SMALL('TRADE LOG'!$AQ$15:$AQ$9733,'TRADE LOG'!B29)</f>
        <v>#NUM!</v>
      </c>
      <c r="AJ30" t="str">
        <f t="shared" si="10"/>
        <v/>
      </c>
      <c r="AK30">
        <f t="shared" si="11"/>
        <v>0</v>
      </c>
      <c r="AL30">
        <f t="shared" si="12"/>
        <v>0</v>
      </c>
      <c r="AM30">
        <f t="shared" si="13"/>
        <v>0</v>
      </c>
      <c r="AN30">
        <f t="shared" si="14"/>
        <v>0</v>
      </c>
      <c r="AP30">
        <f t="shared" si="15"/>
        <v>0</v>
      </c>
      <c r="AQ30">
        <f t="shared" si="16"/>
        <v>0</v>
      </c>
      <c r="AR30" t="e">
        <f t="shared" si="17"/>
        <v>#DIV/0!</v>
      </c>
      <c r="AS30" t="e">
        <f t="shared" si="18"/>
        <v>#DIV/0!</v>
      </c>
      <c r="AT30">
        <f t="shared" si="19"/>
        <v>0</v>
      </c>
      <c r="AU30">
        <f t="shared" si="20"/>
        <v>0</v>
      </c>
      <c r="AV30">
        <f t="shared" si="21"/>
        <v>0</v>
      </c>
      <c r="AW30">
        <f t="shared" si="22"/>
        <v>0</v>
      </c>
      <c r="AY30">
        <f t="shared" si="23"/>
        <v>0</v>
      </c>
      <c r="AZ30">
        <f t="shared" si="24"/>
        <v>0</v>
      </c>
      <c r="BA30" t="e">
        <f t="shared" si="25"/>
        <v>#DIV/0!</v>
      </c>
      <c r="BB30" t="e">
        <f t="shared" si="26"/>
        <v>#DIV/0!</v>
      </c>
      <c r="BC30">
        <f t="shared" si="27"/>
        <v>0</v>
      </c>
      <c r="BD30">
        <f t="shared" si="28"/>
        <v>0</v>
      </c>
      <c r="BE30" t="str">
        <f>IF(AJ30="","",BD30+BC30+'TRADE LOG'!AR29)</f>
        <v/>
      </c>
      <c r="BF30">
        <f t="shared" si="29"/>
        <v>0</v>
      </c>
      <c r="BG30">
        <f t="shared" si="30"/>
        <v>0</v>
      </c>
      <c r="BH30" t="e">
        <f t="shared" si="31"/>
        <v>#DIV/0!</v>
      </c>
      <c r="BI30" t="e">
        <f t="shared" si="32"/>
        <v>#DIV/0!</v>
      </c>
      <c r="BJ30">
        <f t="shared" si="33"/>
        <v>0</v>
      </c>
      <c r="BK30" t="e">
        <f t="shared" si="34"/>
        <v>#VALUE!</v>
      </c>
      <c r="BL30" t="e">
        <f t="shared" si="35"/>
        <v>#DIV/0!</v>
      </c>
      <c r="BM30" t="e">
        <f t="shared" si="36"/>
        <v>#DIV/0!</v>
      </c>
      <c r="BN30" t="e">
        <f t="shared" si="37"/>
        <v>#DIV/0!</v>
      </c>
      <c r="BO30" t="e">
        <f t="shared" si="38"/>
        <v>#DIV/0!</v>
      </c>
      <c r="BP30" t="e">
        <f t="shared" si="39"/>
        <v>#DIV/0!</v>
      </c>
      <c r="BQ30">
        <f t="shared" si="59"/>
        <v>0</v>
      </c>
      <c r="BR30">
        <f t="shared" si="63"/>
        <v>0</v>
      </c>
      <c r="BS30" t="e">
        <f t="shared" si="41"/>
        <v>#DIV/0!</v>
      </c>
      <c r="BT30" t="e">
        <f t="shared" si="42"/>
        <v>#DIV/0!</v>
      </c>
      <c r="BU30" t="e">
        <f t="shared" si="43"/>
        <v>#DIV/0!</v>
      </c>
      <c r="BV30">
        <f t="shared" si="60"/>
        <v>0</v>
      </c>
      <c r="BW30">
        <f t="shared" si="61"/>
        <v>0</v>
      </c>
      <c r="BX30" t="e">
        <f t="shared" si="44"/>
        <v>#DIV/0!</v>
      </c>
      <c r="BY30" t="e">
        <f t="shared" si="45"/>
        <v>#DIV/0!</v>
      </c>
      <c r="BZ30" t="e">
        <f t="shared" si="46"/>
        <v>#DIV/0!</v>
      </c>
    </row>
    <row r="31" spans="2:78" ht="21.95" customHeight="1">
      <c r="B31" s="344">
        <v>16</v>
      </c>
      <c r="C31" s="542" t="str">
        <f t="shared" si="47"/>
        <v/>
      </c>
      <c r="D31" s="599" t="str">
        <f t="shared" si="2"/>
        <v/>
      </c>
      <c r="E31" s="543" t="str">
        <f t="shared" si="48"/>
        <v/>
      </c>
      <c r="F31" s="544" t="str">
        <f t="shared" si="49"/>
        <v/>
      </c>
      <c r="G31" s="545" t="str">
        <f t="shared" si="50"/>
        <v/>
      </c>
      <c r="H31" s="608" t="str">
        <f t="shared" si="51"/>
        <v/>
      </c>
      <c r="I31" s="547"/>
      <c r="J31" s="604" t="str">
        <f t="shared" si="3"/>
        <v/>
      </c>
      <c r="K31" s="543" t="str">
        <f t="shared" si="62"/>
        <v/>
      </c>
      <c r="L31" s="544" t="str">
        <f t="shared" si="52"/>
        <v/>
      </c>
      <c r="M31" s="544" t="str">
        <f t="shared" si="53"/>
        <v/>
      </c>
      <c r="N31" s="608" t="str">
        <f t="shared" si="54"/>
        <v/>
      </c>
      <c r="O31" s="547"/>
      <c r="P31" s="604" t="str">
        <f t="shared" si="4"/>
        <v/>
      </c>
      <c r="Q31" s="543" t="str">
        <f t="shared" si="55"/>
        <v/>
      </c>
      <c r="R31" s="544" t="str">
        <f t="shared" si="56"/>
        <v/>
      </c>
      <c r="S31" s="544" t="str">
        <f t="shared" si="57"/>
        <v/>
      </c>
      <c r="T31" s="608" t="str">
        <f t="shared" si="58"/>
        <v/>
      </c>
      <c r="U31" s="499"/>
      <c r="V31" s="289"/>
      <c r="Z31" t="e">
        <f t="shared" si="5"/>
        <v>#NUM!</v>
      </c>
      <c r="AA31" t="e">
        <f t="shared" si="6"/>
        <v>#NUM!</v>
      </c>
      <c r="AB31" t="e">
        <f t="shared" si="7"/>
        <v>#NUM!</v>
      </c>
      <c r="AC31" s="16" t="e">
        <f t="shared" si="8"/>
        <v>#NUM!</v>
      </c>
      <c r="AD31" s="16" t="e">
        <f t="shared" si="9"/>
        <v>#NUM!</v>
      </c>
      <c r="AE31" s="21"/>
      <c r="AF31" s="21"/>
      <c r="AG31" s="16"/>
      <c r="AH31" s="16"/>
      <c r="AI31" t="e">
        <f>SMALL('TRADE LOG'!$AQ$15:$AQ$9733,'TRADE LOG'!B30)</f>
        <v>#NUM!</v>
      </c>
      <c r="AJ31" t="str">
        <f t="shared" si="10"/>
        <v/>
      </c>
      <c r="AK31">
        <f t="shared" si="11"/>
        <v>0</v>
      </c>
      <c r="AL31">
        <f t="shared" si="12"/>
        <v>0</v>
      </c>
      <c r="AM31">
        <f t="shared" si="13"/>
        <v>0</v>
      </c>
      <c r="AN31">
        <f t="shared" si="14"/>
        <v>0</v>
      </c>
      <c r="AP31">
        <f t="shared" si="15"/>
        <v>0</v>
      </c>
      <c r="AQ31">
        <f t="shared" si="16"/>
        <v>0</v>
      </c>
      <c r="AR31" t="e">
        <f t="shared" si="17"/>
        <v>#DIV/0!</v>
      </c>
      <c r="AS31" t="e">
        <f t="shared" si="18"/>
        <v>#DIV/0!</v>
      </c>
      <c r="AT31">
        <f t="shared" si="19"/>
        <v>0</v>
      </c>
      <c r="AU31">
        <f t="shared" si="20"/>
        <v>0</v>
      </c>
      <c r="AV31">
        <f t="shared" si="21"/>
        <v>0</v>
      </c>
      <c r="AW31">
        <f t="shared" si="22"/>
        <v>0</v>
      </c>
      <c r="AY31">
        <f t="shared" si="23"/>
        <v>0</v>
      </c>
      <c r="AZ31">
        <f t="shared" si="24"/>
        <v>0</v>
      </c>
      <c r="BA31" t="e">
        <f t="shared" si="25"/>
        <v>#DIV/0!</v>
      </c>
      <c r="BB31" t="e">
        <f t="shared" si="26"/>
        <v>#DIV/0!</v>
      </c>
      <c r="BC31">
        <f t="shared" si="27"/>
        <v>0</v>
      </c>
      <c r="BD31">
        <f t="shared" si="28"/>
        <v>0</v>
      </c>
      <c r="BE31" t="str">
        <f>IF(AJ31="","",BD31+BC31+'TRADE LOG'!AR30)</f>
        <v/>
      </c>
      <c r="BF31">
        <f t="shared" si="29"/>
        <v>0</v>
      </c>
      <c r="BG31">
        <f t="shared" si="30"/>
        <v>0</v>
      </c>
      <c r="BH31" t="e">
        <f t="shared" si="31"/>
        <v>#DIV/0!</v>
      </c>
      <c r="BI31" t="e">
        <f t="shared" si="32"/>
        <v>#DIV/0!</v>
      </c>
      <c r="BJ31">
        <f t="shared" si="33"/>
        <v>0</v>
      </c>
      <c r="BK31" t="e">
        <f t="shared" si="34"/>
        <v>#VALUE!</v>
      </c>
      <c r="BL31" t="e">
        <f t="shared" si="35"/>
        <v>#DIV/0!</v>
      </c>
      <c r="BM31" t="e">
        <f t="shared" si="36"/>
        <v>#DIV/0!</v>
      </c>
      <c r="BN31" t="e">
        <f t="shared" si="37"/>
        <v>#DIV/0!</v>
      </c>
      <c r="BO31" t="e">
        <f t="shared" si="38"/>
        <v>#DIV/0!</v>
      </c>
      <c r="BP31" t="e">
        <f t="shared" si="39"/>
        <v>#DIV/0!</v>
      </c>
      <c r="BQ31">
        <f t="shared" si="59"/>
        <v>0</v>
      </c>
      <c r="BR31">
        <f t="shared" si="63"/>
        <v>0</v>
      </c>
      <c r="BS31" t="e">
        <f t="shared" si="41"/>
        <v>#DIV/0!</v>
      </c>
      <c r="BT31" t="e">
        <f t="shared" si="42"/>
        <v>#DIV/0!</v>
      </c>
      <c r="BU31" t="e">
        <f t="shared" si="43"/>
        <v>#DIV/0!</v>
      </c>
      <c r="BV31">
        <f t="shared" si="60"/>
        <v>0</v>
      </c>
      <c r="BW31">
        <f t="shared" si="61"/>
        <v>0</v>
      </c>
      <c r="BX31" t="e">
        <f t="shared" si="44"/>
        <v>#DIV/0!</v>
      </c>
      <c r="BY31" t="e">
        <f t="shared" si="45"/>
        <v>#DIV/0!</v>
      </c>
      <c r="BZ31" t="e">
        <f t="shared" si="46"/>
        <v>#DIV/0!</v>
      </c>
    </row>
    <row r="32" spans="2:78" ht="21.95" customHeight="1">
      <c r="B32" s="344">
        <v>17</v>
      </c>
      <c r="C32" s="542" t="str">
        <f t="shared" si="47"/>
        <v/>
      </c>
      <c r="D32" s="599" t="str">
        <f t="shared" si="2"/>
        <v/>
      </c>
      <c r="E32" s="543" t="str">
        <f t="shared" si="48"/>
        <v/>
      </c>
      <c r="F32" s="544" t="str">
        <f t="shared" si="49"/>
        <v/>
      </c>
      <c r="G32" s="545" t="str">
        <f t="shared" si="50"/>
        <v/>
      </c>
      <c r="H32" s="608" t="str">
        <f t="shared" si="51"/>
        <v/>
      </c>
      <c r="I32" s="547"/>
      <c r="J32" s="604" t="str">
        <f t="shared" si="3"/>
        <v/>
      </c>
      <c r="K32" s="543" t="str">
        <f t="shared" si="62"/>
        <v/>
      </c>
      <c r="L32" s="544" t="str">
        <f t="shared" si="52"/>
        <v/>
      </c>
      <c r="M32" s="544" t="str">
        <f t="shared" si="53"/>
        <v/>
      </c>
      <c r="N32" s="608" t="str">
        <f t="shared" si="54"/>
        <v/>
      </c>
      <c r="O32" s="547"/>
      <c r="P32" s="604" t="str">
        <f t="shared" si="4"/>
        <v/>
      </c>
      <c r="Q32" s="543" t="str">
        <f t="shared" si="55"/>
        <v/>
      </c>
      <c r="R32" s="544" t="str">
        <f t="shared" si="56"/>
        <v/>
      </c>
      <c r="S32" s="544" t="str">
        <f t="shared" si="57"/>
        <v/>
      </c>
      <c r="T32" s="608" t="str">
        <f t="shared" si="58"/>
        <v/>
      </c>
      <c r="U32" s="499"/>
      <c r="V32" s="289"/>
      <c r="Z32" t="e">
        <f t="shared" si="5"/>
        <v>#NUM!</v>
      </c>
      <c r="AA32" t="e">
        <f t="shared" si="6"/>
        <v>#NUM!</v>
      </c>
      <c r="AB32" t="e">
        <f t="shared" si="7"/>
        <v>#NUM!</v>
      </c>
      <c r="AC32" s="16" t="e">
        <f t="shared" si="8"/>
        <v>#NUM!</v>
      </c>
      <c r="AD32" s="16" t="e">
        <f t="shared" si="9"/>
        <v>#NUM!</v>
      </c>
      <c r="AE32" s="21"/>
      <c r="AF32" s="21"/>
      <c r="AG32" s="16"/>
      <c r="AH32" s="16"/>
      <c r="AI32" t="e">
        <f>SMALL('TRADE LOG'!$AQ$15:$AQ$9733,'TRADE LOG'!B31)</f>
        <v>#NUM!</v>
      </c>
      <c r="AJ32" t="str">
        <f t="shared" si="10"/>
        <v/>
      </c>
      <c r="AK32">
        <f t="shared" si="11"/>
        <v>0</v>
      </c>
      <c r="AL32">
        <f t="shared" si="12"/>
        <v>0</v>
      </c>
      <c r="AM32">
        <f t="shared" si="13"/>
        <v>0</v>
      </c>
      <c r="AN32">
        <f t="shared" si="14"/>
        <v>0</v>
      </c>
      <c r="AP32">
        <f t="shared" si="15"/>
        <v>0</v>
      </c>
      <c r="AQ32">
        <f t="shared" si="16"/>
        <v>0</v>
      </c>
      <c r="AR32" t="e">
        <f t="shared" si="17"/>
        <v>#DIV/0!</v>
      </c>
      <c r="AS32" t="e">
        <f t="shared" si="18"/>
        <v>#DIV/0!</v>
      </c>
      <c r="AT32">
        <f t="shared" si="19"/>
        <v>0</v>
      </c>
      <c r="AU32">
        <f t="shared" si="20"/>
        <v>0</v>
      </c>
      <c r="AV32">
        <f t="shared" si="21"/>
        <v>0</v>
      </c>
      <c r="AW32">
        <f t="shared" si="22"/>
        <v>0</v>
      </c>
      <c r="AY32">
        <f t="shared" si="23"/>
        <v>0</v>
      </c>
      <c r="AZ32">
        <f t="shared" si="24"/>
        <v>0</v>
      </c>
      <c r="BA32" t="e">
        <f t="shared" si="25"/>
        <v>#DIV/0!</v>
      </c>
      <c r="BB32" t="e">
        <f t="shared" si="26"/>
        <v>#DIV/0!</v>
      </c>
      <c r="BC32">
        <f t="shared" si="27"/>
        <v>0</v>
      </c>
      <c r="BD32">
        <f t="shared" si="28"/>
        <v>0</v>
      </c>
      <c r="BE32" t="str">
        <f>IF(AJ32="","",BD32+BC32+'TRADE LOG'!AR31)</f>
        <v/>
      </c>
      <c r="BF32">
        <f t="shared" si="29"/>
        <v>0</v>
      </c>
      <c r="BG32">
        <f t="shared" si="30"/>
        <v>0</v>
      </c>
      <c r="BH32" t="e">
        <f t="shared" si="31"/>
        <v>#DIV/0!</v>
      </c>
      <c r="BI32" t="e">
        <f t="shared" si="32"/>
        <v>#DIV/0!</v>
      </c>
      <c r="BJ32">
        <f t="shared" si="33"/>
        <v>0</v>
      </c>
      <c r="BK32" t="e">
        <f t="shared" si="34"/>
        <v>#VALUE!</v>
      </c>
      <c r="BL32" t="e">
        <f t="shared" si="35"/>
        <v>#DIV/0!</v>
      </c>
      <c r="BM32" t="e">
        <f t="shared" si="36"/>
        <v>#DIV/0!</v>
      </c>
      <c r="BN32" t="e">
        <f t="shared" si="37"/>
        <v>#DIV/0!</v>
      </c>
      <c r="BO32" t="e">
        <f t="shared" si="38"/>
        <v>#DIV/0!</v>
      </c>
      <c r="BP32" t="e">
        <f t="shared" si="39"/>
        <v>#DIV/0!</v>
      </c>
      <c r="BQ32">
        <f t="shared" si="59"/>
        <v>0</v>
      </c>
      <c r="BR32">
        <f t="shared" si="63"/>
        <v>0</v>
      </c>
      <c r="BS32" t="e">
        <f t="shared" si="41"/>
        <v>#DIV/0!</v>
      </c>
      <c r="BT32" t="e">
        <f t="shared" si="42"/>
        <v>#DIV/0!</v>
      </c>
      <c r="BU32" t="e">
        <f t="shared" si="43"/>
        <v>#DIV/0!</v>
      </c>
      <c r="BV32">
        <f t="shared" si="60"/>
        <v>0</v>
      </c>
      <c r="BW32">
        <f t="shared" si="61"/>
        <v>0</v>
      </c>
      <c r="BX32" t="e">
        <f t="shared" si="44"/>
        <v>#DIV/0!</v>
      </c>
      <c r="BY32" t="e">
        <f t="shared" si="45"/>
        <v>#DIV/0!</v>
      </c>
      <c r="BZ32" t="e">
        <f t="shared" si="46"/>
        <v>#DIV/0!</v>
      </c>
    </row>
    <row r="33" spans="2:78" ht="21.95" customHeight="1">
      <c r="B33" s="344">
        <v>18</v>
      </c>
      <c r="C33" s="542" t="str">
        <f t="shared" si="47"/>
        <v/>
      </c>
      <c r="D33" s="599" t="str">
        <f t="shared" si="2"/>
        <v/>
      </c>
      <c r="E33" s="543" t="str">
        <f t="shared" si="48"/>
        <v/>
      </c>
      <c r="F33" s="544" t="str">
        <f t="shared" si="49"/>
        <v/>
      </c>
      <c r="G33" s="545" t="str">
        <f t="shared" si="50"/>
        <v/>
      </c>
      <c r="H33" s="608" t="str">
        <f t="shared" si="51"/>
        <v/>
      </c>
      <c r="I33" s="547"/>
      <c r="J33" s="604" t="str">
        <f t="shared" si="3"/>
        <v/>
      </c>
      <c r="K33" s="543" t="str">
        <f t="shared" si="62"/>
        <v/>
      </c>
      <c r="L33" s="544" t="str">
        <f t="shared" si="52"/>
        <v/>
      </c>
      <c r="M33" s="544" t="str">
        <f t="shared" si="53"/>
        <v/>
      </c>
      <c r="N33" s="608" t="str">
        <f t="shared" si="54"/>
        <v/>
      </c>
      <c r="O33" s="547"/>
      <c r="P33" s="604" t="str">
        <f t="shared" si="4"/>
        <v/>
      </c>
      <c r="Q33" s="543" t="str">
        <f t="shared" si="55"/>
        <v/>
      </c>
      <c r="R33" s="544" t="str">
        <f t="shared" si="56"/>
        <v/>
      </c>
      <c r="S33" s="544" t="str">
        <f t="shared" si="57"/>
        <v/>
      </c>
      <c r="T33" s="608" t="str">
        <f t="shared" si="58"/>
        <v/>
      </c>
      <c r="U33" s="499"/>
      <c r="V33" s="289"/>
      <c r="Z33" t="e">
        <f t="shared" si="5"/>
        <v>#NUM!</v>
      </c>
      <c r="AA33" t="e">
        <f t="shared" si="6"/>
        <v>#NUM!</v>
      </c>
      <c r="AB33" t="e">
        <f t="shared" si="7"/>
        <v>#NUM!</v>
      </c>
      <c r="AC33" s="16" t="e">
        <f t="shared" si="8"/>
        <v>#NUM!</v>
      </c>
      <c r="AD33" s="16" t="e">
        <f t="shared" si="9"/>
        <v>#NUM!</v>
      </c>
      <c r="AE33" s="21"/>
      <c r="AF33" s="21"/>
      <c r="AG33" s="16"/>
      <c r="AH33" s="16"/>
      <c r="AI33" t="e">
        <f>SMALL('TRADE LOG'!$AQ$15:$AQ$9733,'TRADE LOG'!B32)</f>
        <v>#NUM!</v>
      </c>
      <c r="AJ33" t="str">
        <f t="shared" si="10"/>
        <v/>
      </c>
      <c r="AK33">
        <f t="shared" si="11"/>
        <v>0</v>
      </c>
      <c r="AL33">
        <f t="shared" si="12"/>
        <v>0</v>
      </c>
      <c r="AM33">
        <f t="shared" si="13"/>
        <v>0</v>
      </c>
      <c r="AN33">
        <f t="shared" si="14"/>
        <v>0</v>
      </c>
      <c r="AP33">
        <f t="shared" si="15"/>
        <v>0</v>
      </c>
      <c r="AQ33">
        <f t="shared" si="16"/>
        <v>0</v>
      </c>
      <c r="AR33" t="e">
        <f t="shared" si="17"/>
        <v>#DIV/0!</v>
      </c>
      <c r="AS33" t="e">
        <f t="shared" si="18"/>
        <v>#DIV/0!</v>
      </c>
      <c r="AT33">
        <f t="shared" si="19"/>
        <v>0</v>
      </c>
      <c r="AU33">
        <f t="shared" si="20"/>
        <v>0</v>
      </c>
      <c r="AV33">
        <f t="shared" si="21"/>
        <v>0</v>
      </c>
      <c r="AW33">
        <f t="shared" si="22"/>
        <v>0</v>
      </c>
      <c r="AY33">
        <f t="shared" si="23"/>
        <v>0</v>
      </c>
      <c r="AZ33">
        <f t="shared" si="24"/>
        <v>0</v>
      </c>
      <c r="BA33" t="e">
        <f t="shared" si="25"/>
        <v>#DIV/0!</v>
      </c>
      <c r="BB33" t="e">
        <f t="shared" si="26"/>
        <v>#DIV/0!</v>
      </c>
      <c r="BC33">
        <f t="shared" si="27"/>
        <v>0</v>
      </c>
      <c r="BD33">
        <f t="shared" si="28"/>
        <v>0</v>
      </c>
      <c r="BE33" t="str">
        <f>IF(AJ33="","",BD33+BC33+'TRADE LOG'!AR32)</f>
        <v/>
      </c>
      <c r="BF33">
        <f t="shared" si="29"/>
        <v>0</v>
      </c>
      <c r="BG33">
        <f t="shared" si="30"/>
        <v>0</v>
      </c>
      <c r="BH33" t="e">
        <f t="shared" si="31"/>
        <v>#DIV/0!</v>
      </c>
      <c r="BI33" t="e">
        <f t="shared" si="32"/>
        <v>#DIV/0!</v>
      </c>
      <c r="BJ33">
        <f t="shared" si="33"/>
        <v>0</v>
      </c>
      <c r="BK33" t="e">
        <f t="shared" si="34"/>
        <v>#VALUE!</v>
      </c>
      <c r="BL33" t="e">
        <f t="shared" si="35"/>
        <v>#DIV/0!</v>
      </c>
      <c r="BM33" t="e">
        <f t="shared" si="36"/>
        <v>#DIV/0!</v>
      </c>
      <c r="BN33" t="e">
        <f t="shared" si="37"/>
        <v>#DIV/0!</v>
      </c>
      <c r="BO33" t="e">
        <f t="shared" si="38"/>
        <v>#DIV/0!</v>
      </c>
      <c r="BP33" t="e">
        <f t="shared" si="39"/>
        <v>#DIV/0!</v>
      </c>
      <c r="BQ33">
        <f t="shared" si="59"/>
        <v>0</v>
      </c>
      <c r="BR33">
        <f t="shared" si="63"/>
        <v>0</v>
      </c>
      <c r="BS33" t="e">
        <f t="shared" si="41"/>
        <v>#DIV/0!</v>
      </c>
      <c r="BT33" t="e">
        <f t="shared" si="42"/>
        <v>#DIV/0!</v>
      </c>
      <c r="BU33" t="e">
        <f t="shared" si="43"/>
        <v>#DIV/0!</v>
      </c>
      <c r="BV33">
        <f t="shared" si="60"/>
        <v>0</v>
      </c>
      <c r="BW33">
        <f t="shared" si="61"/>
        <v>0</v>
      </c>
      <c r="BX33" t="e">
        <f t="shared" si="44"/>
        <v>#DIV/0!</v>
      </c>
      <c r="BY33" t="e">
        <f t="shared" si="45"/>
        <v>#DIV/0!</v>
      </c>
      <c r="BZ33" t="e">
        <f t="shared" si="46"/>
        <v>#DIV/0!</v>
      </c>
    </row>
    <row r="34" spans="2:78" ht="21.95" customHeight="1">
      <c r="B34" s="344">
        <v>19</v>
      </c>
      <c r="C34" s="542" t="str">
        <f t="shared" si="47"/>
        <v/>
      </c>
      <c r="D34" s="599" t="str">
        <f t="shared" si="2"/>
        <v/>
      </c>
      <c r="E34" s="543" t="str">
        <f t="shared" si="48"/>
        <v/>
      </c>
      <c r="F34" s="544" t="str">
        <f t="shared" si="49"/>
        <v/>
      </c>
      <c r="G34" s="545" t="str">
        <f t="shared" si="50"/>
        <v/>
      </c>
      <c r="H34" s="608" t="str">
        <f t="shared" si="51"/>
        <v/>
      </c>
      <c r="I34" s="547"/>
      <c r="J34" s="604" t="str">
        <f t="shared" si="3"/>
        <v/>
      </c>
      <c r="K34" s="543" t="str">
        <f t="shared" si="62"/>
        <v/>
      </c>
      <c r="L34" s="544" t="str">
        <f t="shared" si="52"/>
        <v/>
      </c>
      <c r="M34" s="544" t="str">
        <f t="shared" si="53"/>
        <v/>
      </c>
      <c r="N34" s="608" t="str">
        <f t="shared" si="54"/>
        <v/>
      </c>
      <c r="O34" s="547"/>
      <c r="P34" s="604" t="str">
        <f t="shared" si="4"/>
        <v/>
      </c>
      <c r="Q34" s="543" t="str">
        <f t="shared" si="55"/>
        <v/>
      </c>
      <c r="R34" s="544" t="str">
        <f t="shared" si="56"/>
        <v/>
      </c>
      <c r="S34" s="544" t="str">
        <f t="shared" si="57"/>
        <v/>
      </c>
      <c r="T34" s="608" t="str">
        <f t="shared" si="58"/>
        <v/>
      </c>
      <c r="U34" s="499"/>
      <c r="V34" s="289"/>
      <c r="Z34" t="e">
        <f t="shared" si="5"/>
        <v>#NUM!</v>
      </c>
      <c r="AA34" t="e">
        <f t="shared" si="6"/>
        <v>#NUM!</v>
      </c>
      <c r="AB34" t="e">
        <f t="shared" si="7"/>
        <v>#NUM!</v>
      </c>
      <c r="AC34" s="16" t="e">
        <f t="shared" si="8"/>
        <v>#NUM!</v>
      </c>
      <c r="AD34" s="16" t="e">
        <f t="shared" si="9"/>
        <v>#NUM!</v>
      </c>
      <c r="AE34" s="21"/>
      <c r="AF34" s="21"/>
      <c r="AG34" s="16"/>
      <c r="AH34" s="16"/>
      <c r="AI34" t="e">
        <f>SMALL('TRADE LOG'!$AQ$15:$AQ$9733,'TRADE LOG'!B33)</f>
        <v>#NUM!</v>
      </c>
      <c r="AJ34" t="str">
        <f t="shared" si="10"/>
        <v/>
      </c>
      <c r="AK34">
        <f t="shared" si="11"/>
        <v>0</v>
      </c>
      <c r="AL34">
        <f t="shared" si="12"/>
        <v>0</v>
      </c>
      <c r="AM34">
        <f t="shared" si="13"/>
        <v>0</v>
      </c>
      <c r="AN34">
        <f t="shared" si="14"/>
        <v>0</v>
      </c>
      <c r="AP34">
        <f t="shared" si="15"/>
        <v>0</v>
      </c>
      <c r="AQ34">
        <f t="shared" si="16"/>
        <v>0</v>
      </c>
      <c r="AR34" t="e">
        <f t="shared" si="17"/>
        <v>#DIV/0!</v>
      </c>
      <c r="AS34" t="e">
        <f t="shared" si="18"/>
        <v>#DIV/0!</v>
      </c>
      <c r="AT34">
        <f t="shared" si="19"/>
        <v>0</v>
      </c>
      <c r="AU34">
        <f t="shared" si="20"/>
        <v>0</v>
      </c>
      <c r="AV34">
        <f t="shared" si="21"/>
        <v>0</v>
      </c>
      <c r="AW34">
        <f t="shared" si="22"/>
        <v>0</v>
      </c>
      <c r="AY34">
        <f t="shared" si="23"/>
        <v>0</v>
      </c>
      <c r="AZ34">
        <f t="shared" si="24"/>
        <v>0</v>
      </c>
      <c r="BA34" t="e">
        <f t="shared" si="25"/>
        <v>#DIV/0!</v>
      </c>
      <c r="BB34" t="e">
        <f t="shared" si="26"/>
        <v>#DIV/0!</v>
      </c>
      <c r="BC34">
        <f t="shared" si="27"/>
        <v>0</v>
      </c>
      <c r="BD34">
        <f t="shared" si="28"/>
        <v>0</v>
      </c>
      <c r="BE34" t="str">
        <f>IF(AJ34="","",BD34+BC34+'TRADE LOG'!AR33)</f>
        <v/>
      </c>
      <c r="BF34">
        <f t="shared" si="29"/>
        <v>0</v>
      </c>
      <c r="BG34">
        <f t="shared" si="30"/>
        <v>0</v>
      </c>
      <c r="BH34" t="e">
        <f t="shared" si="31"/>
        <v>#DIV/0!</v>
      </c>
      <c r="BI34" t="e">
        <f t="shared" si="32"/>
        <v>#DIV/0!</v>
      </c>
      <c r="BJ34">
        <f t="shared" si="33"/>
        <v>0</v>
      </c>
      <c r="BK34" t="e">
        <f t="shared" si="34"/>
        <v>#VALUE!</v>
      </c>
      <c r="BL34" t="e">
        <f t="shared" si="35"/>
        <v>#DIV/0!</v>
      </c>
      <c r="BM34" t="e">
        <f t="shared" si="36"/>
        <v>#DIV/0!</v>
      </c>
      <c r="BN34" t="e">
        <f t="shared" si="37"/>
        <v>#DIV/0!</v>
      </c>
      <c r="BO34" t="e">
        <f t="shared" si="38"/>
        <v>#DIV/0!</v>
      </c>
      <c r="BP34" t="e">
        <f t="shared" si="39"/>
        <v>#DIV/0!</v>
      </c>
      <c r="BQ34">
        <f t="shared" si="59"/>
        <v>0</v>
      </c>
      <c r="BR34">
        <f t="shared" si="63"/>
        <v>0</v>
      </c>
      <c r="BS34" t="e">
        <f t="shared" si="41"/>
        <v>#DIV/0!</v>
      </c>
      <c r="BT34" t="e">
        <f t="shared" si="42"/>
        <v>#DIV/0!</v>
      </c>
      <c r="BU34" t="e">
        <f t="shared" si="43"/>
        <v>#DIV/0!</v>
      </c>
      <c r="BV34">
        <f t="shared" si="60"/>
        <v>0</v>
      </c>
      <c r="BW34">
        <f t="shared" si="61"/>
        <v>0</v>
      </c>
      <c r="BX34" t="e">
        <f t="shared" si="44"/>
        <v>#DIV/0!</v>
      </c>
      <c r="BY34" t="e">
        <f t="shared" si="45"/>
        <v>#DIV/0!</v>
      </c>
      <c r="BZ34" t="e">
        <f t="shared" si="46"/>
        <v>#DIV/0!</v>
      </c>
    </row>
    <row r="35" spans="2:78" ht="21.95" customHeight="1">
      <c r="B35" s="344">
        <v>20</v>
      </c>
      <c r="C35" s="542" t="str">
        <f t="shared" si="47"/>
        <v/>
      </c>
      <c r="D35" s="599" t="str">
        <f t="shared" si="2"/>
        <v/>
      </c>
      <c r="E35" s="543" t="str">
        <f t="shared" si="48"/>
        <v/>
      </c>
      <c r="F35" s="544" t="str">
        <f t="shared" si="49"/>
        <v/>
      </c>
      <c r="G35" s="545" t="str">
        <f t="shared" si="50"/>
        <v/>
      </c>
      <c r="H35" s="608" t="str">
        <f t="shared" si="51"/>
        <v/>
      </c>
      <c r="I35" s="547"/>
      <c r="J35" s="604" t="str">
        <f t="shared" si="3"/>
        <v/>
      </c>
      <c r="K35" s="543" t="str">
        <f t="shared" si="62"/>
        <v/>
      </c>
      <c r="L35" s="544" t="str">
        <f t="shared" si="52"/>
        <v/>
      </c>
      <c r="M35" s="544" t="str">
        <f t="shared" si="53"/>
        <v/>
      </c>
      <c r="N35" s="608" t="str">
        <f t="shared" si="54"/>
        <v/>
      </c>
      <c r="O35" s="547"/>
      <c r="P35" s="604" t="str">
        <f t="shared" si="4"/>
        <v/>
      </c>
      <c r="Q35" s="543" t="str">
        <f t="shared" si="55"/>
        <v/>
      </c>
      <c r="R35" s="544" t="str">
        <f t="shared" si="56"/>
        <v/>
      </c>
      <c r="S35" s="544" t="str">
        <f t="shared" si="57"/>
        <v/>
      </c>
      <c r="T35" s="608" t="str">
        <f t="shared" si="58"/>
        <v/>
      </c>
      <c r="U35" s="499"/>
      <c r="V35" s="289"/>
      <c r="Z35" t="e">
        <f t="shared" si="5"/>
        <v>#NUM!</v>
      </c>
      <c r="AA35" t="e">
        <f t="shared" si="6"/>
        <v>#NUM!</v>
      </c>
      <c r="AB35" t="e">
        <f t="shared" si="7"/>
        <v>#NUM!</v>
      </c>
      <c r="AC35" s="16" t="e">
        <f t="shared" si="8"/>
        <v>#NUM!</v>
      </c>
      <c r="AD35" s="16" t="e">
        <f t="shared" si="9"/>
        <v>#NUM!</v>
      </c>
      <c r="AE35" s="21"/>
      <c r="AF35" s="21"/>
      <c r="AG35" s="16"/>
      <c r="AH35" s="16"/>
      <c r="AI35" t="e">
        <f>SMALL('TRADE LOG'!$AQ$15:$AQ$9733,'TRADE LOG'!B34)</f>
        <v>#NUM!</v>
      </c>
      <c r="AJ35" t="str">
        <f t="shared" si="10"/>
        <v/>
      </c>
      <c r="AK35">
        <f t="shared" si="11"/>
        <v>0</v>
      </c>
      <c r="AL35">
        <f t="shared" si="12"/>
        <v>0</v>
      </c>
      <c r="AM35">
        <f t="shared" si="13"/>
        <v>0</v>
      </c>
      <c r="AN35">
        <f t="shared" si="14"/>
        <v>0</v>
      </c>
      <c r="AP35">
        <f t="shared" si="15"/>
        <v>0</v>
      </c>
      <c r="AQ35">
        <f t="shared" si="16"/>
        <v>0</v>
      </c>
      <c r="AR35" t="e">
        <f t="shared" si="17"/>
        <v>#DIV/0!</v>
      </c>
      <c r="AS35" t="e">
        <f t="shared" si="18"/>
        <v>#DIV/0!</v>
      </c>
      <c r="AT35">
        <f t="shared" si="19"/>
        <v>0</v>
      </c>
      <c r="AU35">
        <f t="shared" si="20"/>
        <v>0</v>
      </c>
      <c r="AV35">
        <f t="shared" si="21"/>
        <v>0</v>
      </c>
      <c r="AW35">
        <f t="shared" si="22"/>
        <v>0</v>
      </c>
      <c r="AY35">
        <f t="shared" si="23"/>
        <v>0</v>
      </c>
      <c r="AZ35">
        <f t="shared" si="24"/>
        <v>0</v>
      </c>
      <c r="BA35" t="e">
        <f t="shared" si="25"/>
        <v>#DIV/0!</v>
      </c>
      <c r="BB35" t="e">
        <f t="shared" si="26"/>
        <v>#DIV/0!</v>
      </c>
      <c r="BC35">
        <f t="shared" si="27"/>
        <v>0</v>
      </c>
      <c r="BD35">
        <f t="shared" si="28"/>
        <v>0</v>
      </c>
      <c r="BE35" t="str">
        <f>IF(AJ35="","",BD35+BC35+'TRADE LOG'!AR34)</f>
        <v/>
      </c>
      <c r="BF35">
        <f t="shared" si="29"/>
        <v>0</v>
      </c>
      <c r="BG35">
        <f t="shared" si="30"/>
        <v>0</v>
      </c>
      <c r="BH35" t="e">
        <f t="shared" si="31"/>
        <v>#DIV/0!</v>
      </c>
      <c r="BI35" t="e">
        <f t="shared" si="32"/>
        <v>#DIV/0!</v>
      </c>
      <c r="BJ35">
        <f t="shared" si="33"/>
        <v>0</v>
      </c>
      <c r="BK35" t="e">
        <f t="shared" si="34"/>
        <v>#VALUE!</v>
      </c>
      <c r="BL35" t="e">
        <f t="shared" si="35"/>
        <v>#DIV/0!</v>
      </c>
      <c r="BM35" t="e">
        <f t="shared" si="36"/>
        <v>#DIV/0!</v>
      </c>
      <c r="BN35" t="e">
        <f t="shared" si="37"/>
        <v>#DIV/0!</v>
      </c>
      <c r="BO35" t="e">
        <f t="shared" si="38"/>
        <v>#DIV/0!</v>
      </c>
      <c r="BP35" t="e">
        <f t="shared" si="39"/>
        <v>#DIV/0!</v>
      </c>
      <c r="BQ35">
        <f t="shared" si="59"/>
        <v>0</v>
      </c>
      <c r="BR35">
        <f t="shared" si="63"/>
        <v>0</v>
      </c>
      <c r="BS35" t="e">
        <f t="shared" si="41"/>
        <v>#DIV/0!</v>
      </c>
      <c r="BT35" t="e">
        <f t="shared" si="42"/>
        <v>#DIV/0!</v>
      </c>
      <c r="BU35" t="e">
        <f t="shared" si="43"/>
        <v>#DIV/0!</v>
      </c>
      <c r="BV35">
        <f t="shared" si="60"/>
        <v>0</v>
      </c>
      <c r="BW35">
        <f t="shared" si="61"/>
        <v>0</v>
      </c>
      <c r="BX35" t="e">
        <f t="shared" si="44"/>
        <v>#DIV/0!</v>
      </c>
      <c r="BY35" t="e">
        <f t="shared" si="45"/>
        <v>#DIV/0!</v>
      </c>
      <c r="BZ35" t="e">
        <f t="shared" si="46"/>
        <v>#DIV/0!</v>
      </c>
    </row>
    <row r="36" spans="2:78" ht="21.95" customHeight="1">
      <c r="B36" s="344">
        <v>21</v>
      </c>
      <c r="C36" s="542" t="str">
        <f t="shared" si="47"/>
        <v/>
      </c>
      <c r="D36" s="599" t="str">
        <f t="shared" si="2"/>
        <v/>
      </c>
      <c r="E36" s="543" t="str">
        <f t="shared" si="48"/>
        <v/>
      </c>
      <c r="F36" s="544" t="str">
        <f t="shared" si="49"/>
        <v/>
      </c>
      <c r="G36" s="545" t="str">
        <f t="shared" si="50"/>
        <v/>
      </c>
      <c r="H36" s="608" t="str">
        <f t="shared" si="51"/>
        <v/>
      </c>
      <c r="I36" s="547"/>
      <c r="J36" s="604" t="str">
        <f t="shared" si="3"/>
        <v/>
      </c>
      <c r="K36" s="543" t="str">
        <f t="shared" si="62"/>
        <v/>
      </c>
      <c r="L36" s="544" t="str">
        <f t="shared" si="52"/>
        <v/>
      </c>
      <c r="M36" s="544" t="str">
        <f t="shared" si="53"/>
        <v/>
      </c>
      <c r="N36" s="608" t="str">
        <f t="shared" si="54"/>
        <v/>
      </c>
      <c r="O36" s="547"/>
      <c r="P36" s="604" t="str">
        <f t="shared" si="4"/>
        <v/>
      </c>
      <c r="Q36" s="543" t="str">
        <f t="shared" si="55"/>
        <v/>
      </c>
      <c r="R36" s="544" t="str">
        <f t="shared" si="56"/>
        <v/>
      </c>
      <c r="S36" s="544" t="str">
        <f t="shared" si="57"/>
        <v/>
      </c>
      <c r="T36" s="608" t="str">
        <f t="shared" si="58"/>
        <v/>
      </c>
      <c r="U36" s="499"/>
      <c r="V36" s="289"/>
      <c r="Z36" t="e">
        <f t="shared" si="5"/>
        <v>#NUM!</v>
      </c>
      <c r="AA36" t="e">
        <f t="shared" si="6"/>
        <v>#NUM!</v>
      </c>
      <c r="AB36" t="e">
        <f t="shared" si="7"/>
        <v>#NUM!</v>
      </c>
      <c r="AC36" s="16" t="e">
        <f t="shared" si="8"/>
        <v>#NUM!</v>
      </c>
      <c r="AD36" s="16" t="e">
        <f t="shared" si="9"/>
        <v>#NUM!</v>
      </c>
      <c r="AE36" s="21"/>
      <c r="AF36" s="21"/>
      <c r="AG36" s="16"/>
      <c r="AH36" s="16"/>
      <c r="AI36" t="e">
        <f>SMALL('TRADE LOG'!$AQ$15:$AQ$9733,'TRADE LOG'!B35)</f>
        <v>#NUM!</v>
      </c>
      <c r="AJ36" t="str">
        <f t="shared" si="10"/>
        <v/>
      </c>
      <c r="AK36">
        <f t="shared" si="11"/>
        <v>0</v>
      </c>
      <c r="AL36">
        <f t="shared" si="12"/>
        <v>0</v>
      </c>
      <c r="AM36">
        <f t="shared" si="13"/>
        <v>0</v>
      </c>
      <c r="AN36">
        <f t="shared" si="14"/>
        <v>0</v>
      </c>
      <c r="AP36">
        <f t="shared" si="15"/>
        <v>0</v>
      </c>
      <c r="AQ36">
        <f t="shared" si="16"/>
        <v>0</v>
      </c>
      <c r="AR36" t="e">
        <f t="shared" si="17"/>
        <v>#DIV/0!</v>
      </c>
      <c r="AS36" t="e">
        <f t="shared" si="18"/>
        <v>#DIV/0!</v>
      </c>
      <c r="AT36">
        <f t="shared" si="19"/>
        <v>0</v>
      </c>
      <c r="AU36">
        <f t="shared" si="20"/>
        <v>0</v>
      </c>
      <c r="AV36">
        <f t="shared" si="21"/>
        <v>0</v>
      </c>
      <c r="AW36">
        <f t="shared" si="22"/>
        <v>0</v>
      </c>
      <c r="AY36">
        <f t="shared" si="23"/>
        <v>0</v>
      </c>
      <c r="AZ36">
        <f t="shared" si="24"/>
        <v>0</v>
      </c>
      <c r="BA36" t="e">
        <f t="shared" si="25"/>
        <v>#DIV/0!</v>
      </c>
      <c r="BB36" t="e">
        <f t="shared" si="26"/>
        <v>#DIV/0!</v>
      </c>
      <c r="BC36">
        <f t="shared" si="27"/>
        <v>0</v>
      </c>
      <c r="BD36">
        <f t="shared" si="28"/>
        <v>0</v>
      </c>
      <c r="BE36" t="str">
        <f>IF(AJ36="","",BD36+BC36+'TRADE LOG'!AR35)</f>
        <v/>
      </c>
      <c r="BF36">
        <f t="shared" si="29"/>
        <v>0</v>
      </c>
      <c r="BG36">
        <f t="shared" si="30"/>
        <v>0</v>
      </c>
      <c r="BH36" t="e">
        <f t="shared" si="31"/>
        <v>#DIV/0!</v>
      </c>
      <c r="BI36" t="e">
        <f t="shared" si="32"/>
        <v>#DIV/0!</v>
      </c>
      <c r="BJ36">
        <f t="shared" si="33"/>
        <v>0</v>
      </c>
      <c r="BK36" t="e">
        <f t="shared" si="34"/>
        <v>#VALUE!</v>
      </c>
      <c r="BL36" t="e">
        <f t="shared" si="35"/>
        <v>#DIV/0!</v>
      </c>
      <c r="BM36" t="e">
        <f t="shared" si="36"/>
        <v>#DIV/0!</v>
      </c>
      <c r="BN36" t="e">
        <f t="shared" si="37"/>
        <v>#DIV/0!</v>
      </c>
      <c r="BO36" t="e">
        <f t="shared" si="38"/>
        <v>#DIV/0!</v>
      </c>
      <c r="BP36" t="e">
        <f t="shared" si="39"/>
        <v>#DIV/0!</v>
      </c>
      <c r="BQ36">
        <f t="shared" si="59"/>
        <v>0</v>
      </c>
      <c r="BR36">
        <f t="shared" si="63"/>
        <v>0</v>
      </c>
      <c r="BS36" t="e">
        <f t="shared" si="41"/>
        <v>#DIV/0!</v>
      </c>
      <c r="BT36" t="e">
        <f t="shared" si="42"/>
        <v>#DIV/0!</v>
      </c>
      <c r="BU36" t="e">
        <f t="shared" si="43"/>
        <v>#DIV/0!</v>
      </c>
      <c r="BV36">
        <f t="shared" si="60"/>
        <v>0</v>
      </c>
      <c r="BW36">
        <f t="shared" si="61"/>
        <v>0</v>
      </c>
      <c r="BX36" t="e">
        <f t="shared" si="44"/>
        <v>#DIV/0!</v>
      </c>
      <c r="BY36" t="e">
        <f t="shared" si="45"/>
        <v>#DIV/0!</v>
      </c>
      <c r="BZ36" t="e">
        <f t="shared" si="46"/>
        <v>#DIV/0!</v>
      </c>
    </row>
    <row r="37" spans="2:78" ht="21.95" customHeight="1">
      <c r="B37" s="344">
        <v>22</v>
      </c>
      <c r="C37" s="542" t="str">
        <f t="shared" si="47"/>
        <v/>
      </c>
      <c r="D37" s="599" t="str">
        <f t="shared" si="2"/>
        <v/>
      </c>
      <c r="E37" s="543" t="str">
        <f t="shared" si="48"/>
        <v/>
      </c>
      <c r="F37" s="544" t="str">
        <f t="shared" si="49"/>
        <v/>
      </c>
      <c r="G37" s="545" t="str">
        <f t="shared" si="50"/>
        <v/>
      </c>
      <c r="H37" s="608" t="str">
        <f t="shared" si="51"/>
        <v/>
      </c>
      <c r="I37" s="547"/>
      <c r="J37" s="604" t="str">
        <f t="shared" si="3"/>
        <v/>
      </c>
      <c r="K37" s="543" t="str">
        <f t="shared" si="62"/>
        <v/>
      </c>
      <c r="L37" s="544" t="str">
        <f t="shared" si="52"/>
        <v/>
      </c>
      <c r="M37" s="544" t="str">
        <f t="shared" si="53"/>
        <v/>
      </c>
      <c r="N37" s="608" t="str">
        <f t="shared" si="54"/>
        <v/>
      </c>
      <c r="O37" s="547"/>
      <c r="P37" s="604" t="str">
        <f t="shared" si="4"/>
        <v/>
      </c>
      <c r="Q37" s="543" t="str">
        <f t="shared" si="55"/>
        <v/>
      </c>
      <c r="R37" s="544" t="str">
        <f t="shared" si="56"/>
        <v/>
      </c>
      <c r="S37" s="544" t="str">
        <f t="shared" si="57"/>
        <v/>
      </c>
      <c r="T37" s="608" t="str">
        <f t="shared" si="58"/>
        <v/>
      </c>
      <c r="U37" s="499"/>
      <c r="V37" s="289"/>
      <c r="Z37" t="e">
        <f t="shared" si="5"/>
        <v>#NUM!</v>
      </c>
      <c r="AA37" t="e">
        <f t="shared" si="6"/>
        <v>#NUM!</v>
      </c>
      <c r="AB37" t="e">
        <f t="shared" si="7"/>
        <v>#NUM!</v>
      </c>
      <c r="AC37" s="16" t="e">
        <f t="shared" si="8"/>
        <v>#NUM!</v>
      </c>
      <c r="AD37" s="16" t="e">
        <f t="shared" si="9"/>
        <v>#NUM!</v>
      </c>
      <c r="AE37" s="21"/>
      <c r="AF37" s="21"/>
      <c r="AG37" s="16"/>
      <c r="AH37" s="16"/>
      <c r="AI37" t="e">
        <f>SMALL('TRADE LOG'!$AQ$15:$AQ$9733,'TRADE LOG'!B36)</f>
        <v>#NUM!</v>
      </c>
      <c r="AJ37" t="str">
        <f t="shared" si="10"/>
        <v/>
      </c>
      <c r="AK37">
        <f t="shared" si="11"/>
        <v>0</v>
      </c>
      <c r="AL37">
        <f t="shared" si="12"/>
        <v>0</v>
      </c>
      <c r="AM37">
        <f t="shared" si="13"/>
        <v>0</v>
      </c>
      <c r="AN37">
        <f t="shared" si="14"/>
        <v>0</v>
      </c>
      <c r="AP37">
        <f t="shared" si="15"/>
        <v>0</v>
      </c>
      <c r="AQ37">
        <f t="shared" si="16"/>
        <v>0</v>
      </c>
      <c r="AR37" t="e">
        <f t="shared" si="17"/>
        <v>#DIV/0!</v>
      </c>
      <c r="AS37" t="e">
        <f t="shared" si="18"/>
        <v>#DIV/0!</v>
      </c>
      <c r="AT37">
        <f t="shared" si="19"/>
        <v>0</v>
      </c>
      <c r="AU37">
        <f t="shared" si="20"/>
        <v>0</v>
      </c>
      <c r="AV37">
        <f t="shared" si="21"/>
        <v>0</v>
      </c>
      <c r="AW37">
        <f t="shared" si="22"/>
        <v>0</v>
      </c>
      <c r="AY37">
        <f t="shared" si="23"/>
        <v>0</v>
      </c>
      <c r="AZ37">
        <f t="shared" si="24"/>
        <v>0</v>
      </c>
      <c r="BA37" t="e">
        <f t="shared" si="25"/>
        <v>#DIV/0!</v>
      </c>
      <c r="BB37" t="e">
        <f t="shared" si="26"/>
        <v>#DIV/0!</v>
      </c>
      <c r="BC37">
        <f t="shared" si="27"/>
        <v>0</v>
      </c>
      <c r="BD37">
        <f t="shared" si="28"/>
        <v>0</v>
      </c>
      <c r="BE37" t="str">
        <f>IF(AJ37="","",BD37+BC37+'TRADE LOG'!AR36)</f>
        <v/>
      </c>
      <c r="BF37">
        <f t="shared" si="29"/>
        <v>0</v>
      </c>
      <c r="BG37">
        <f t="shared" si="30"/>
        <v>0</v>
      </c>
      <c r="BH37" t="e">
        <f t="shared" si="31"/>
        <v>#DIV/0!</v>
      </c>
      <c r="BI37" t="e">
        <f t="shared" si="32"/>
        <v>#DIV/0!</v>
      </c>
      <c r="BJ37">
        <f t="shared" si="33"/>
        <v>0</v>
      </c>
      <c r="BK37" t="e">
        <f t="shared" si="34"/>
        <v>#VALUE!</v>
      </c>
      <c r="BL37" t="e">
        <f t="shared" si="35"/>
        <v>#DIV/0!</v>
      </c>
      <c r="BM37" t="e">
        <f t="shared" si="36"/>
        <v>#DIV/0!</v>
      </c>
      <c r="BN37" t="e">
        <f t="shared" si="37"/>
        <v>#DIV/0!</v>
      </c>
      <c r="BO37" t="e">
        <f t="shared" si="38"/>
        <v>#DIV/0!</v>
      </c>
      <c r="BP37" t="e">
        <f t="shared" si="39"/>
        <v>#DIV/0!</v>
      </c>
      <c r="BQ37">
        <f t="shared" si="59"/>
        <v>0</v>
      </c>
      <c r="BR37">
        <f t="shared" si="63"/>
        <v>0</v>
      </c>
      <c r="BS37" t="e">
        <f t="shared" si="41"/>
        <v>#DIV/0!</v>
      </c>
      <c r="BT37" t="e">
        <f t="shared" si="42"/>
        <v>#DIV/0!</v>
      </c>
      <c r="BU37" t="e">
        <f t="shared" si="43"/>
        <v>#DIV/0!</v>
      </c>
      <c r="BV37">
        <f t="shared" si="60"/>
        <v>0</v>
      </c>
      <c r="BW37">
        <f t="shared" si="61"/>
        <v>0</v>
      </c>
      <c r="BX37" t="e">
        <f t="shared" si="44"/>
        <v>#DIV/0!</v>
      </c>
      <c r="BY37" t="e">
        <f t="shared" si="45"/>
        <v>#DIV/0!</v>
      </c>
      <c r="BZ37" t="e">
        <f t="shared" si="46"/>
        <v>#DIV/0!</v>
      </c>
    </row>
    <row r="38" spans="2:78" ht="21.95" customHeight="1">
      <c r="B38" s="344">
        <v>23</v>
      </c>
      <c r="C38" s="542" t="str">
        <f t="shared" si="47"/>
        <v/>
      </c>
      <c r="D38" s="599" t="str">
        <f t="shared" si="2"/>
        <v/>
      </c>
      <c r="E38" s="543" t="str">
        <f t="shared" si="48"/>
        <v/>
      </c>
      <c r="F38" s="544" t="str">
        <f t="shared" si="49"/>
        <v/>
      </c>
      <c r="G38" s="545" t="str">
        <f t="shared" si="50"/>
        <v/>
      </c>
      <c r="H38" s="608" t="str">
        <f t="shared" si="51"/>
        <v/>
      </c>
      <c r="I38" s="547"/>
      <c r="J38" s="604" t="str">
        <f t="shared" si="3"/>
        <v/>
      </c>
      <c r="K38" s="543" t="str">
        <f t="shared" si="62"/>
        <v/>
      </c>
      <c r="L38" s="544" t="str">
        <f t="shared" si="52"/>
        <v/>
      </c>
      <c r="M38" s="544" t="str">
        <f t="shared" si="53"/>
        <v/>
      </c>
      <c r="N38" s="608" t="str">
        <f t="shared" si="54"/>
        <v/>
      </c>
      <c r="O38" s="547"/>
      <c r="P38" s="604" t="str">
        <f t="shared" si="4"/>
        <v/>
      </c>
      <c r="Q38" s="543" t="str">
        <f t="shared" si="55"/>
        <v/>
      </c>
      <c r="R38" s="544" t="str">
        <f t="shared" si="56"/>
        <v/>
      </c>
      <c r="S38" s="544" t="str">
        <f t="shared" si="57"/>
        <v/>
      </c>
      <c r="T38" s="608" t="str">
        <f t="shared" si="58"/>
        <v/>
      </c>
      <c r="U38" s="499"/>
      <c r="V38" s="289"/>
      <c r="Z38" t="e">
        <f t="shared" si="5"/>
        <v>#NUM!</v>
      </c>
      <c r="AA38" t="e">
        <f t="shared" si="6"/>
        <v>#NUM!</v>
      </c>
      <c r="AB38" t="e">
        <f t="shared" si="7"/>
        <v>#NUM!</v>
      </c>
      <c r="AC38" s="16" t="e">
        <f t="shared" si="8"/>
        <v>#NUM!</v>
      </c>
      <c r="AD38" s="16" t="e">
        <f t="shared" si="9"/>
        <v>#NUM!</v>
      </c>
      <c r="AE38" s="21"/>
      <c r="AF38" s="21"/>
      <c r="AG38" s="16"/>
      <c r="AH38" s="16"/>
      <c r="AI38" t="e">
        <f>SMALL('TRADE LOG'!$AQ$15:$AQ$9733,'TRADE LOG'!B37)</f>
        <v>#NUM!</v>
      </c>
      <c r="AJ38" t="str">
        <f t="shared" si="10"/>
        <v/>
      </c>
      <c r="AK38">
        <f t="shared" si="11"/>
        <v>0</v>
      </c>
      <c r="AL38">
        <f t="shared" si="12"/>
        <v>0</v>
      </c>
      <c r="AM38">
        <f t="shared" si="13"/>
        <v>0</v>
      </c>
      <c r="AN38">
        <f t="shared" si="14"/>
        <v>0</v>
      </c>
      <c r="AP38">
        <f t="shared" si="15"/>
        <v>0</v>
      </c>
      <c r="AQ38">
        <f t="shared" si="16"/>
        <v>0</v>
      </c>
      <c r="AR38" t="e">
        <f t="shared" si="17"/>
        <v>#DIV/0!</v>
      </c>
      <c r="AS38" t="e">
        <f t="shared" si="18"/>
        <v>#DIV/0!</v>
      </c>
      <c r="AT38">
        <f t="shared" si="19"/>
        <v>0</v>
      </c>
      <c r="AU38">
        <f t="shared" si="20"/>
        <v>0</v>
      </c>
      <c r="AV38">
        <f t="shared" si="21"/>
        <v>0</v>
      </c>
      <c r="AW38">
        <f t="shared" si="22"/>
        <v>0</v>
      </c>
      <c r="AY38">
        <f t="shared" si="23"/>
        <v>0</v>
      </c>
      <c r="AZ38">
        <f t="shared" si="24"/>
        <v>0</v>
      </c>
      <c r="BA38" t="e">
        <f t="shared" si="25"/>
        <v>#DIV/0!</v>
      </c>
      <c r="BB38" t="e">
        <f t="shared" si="26"/>
        <v>#DIV/0!</v>
      </c>
      <c r="BC38">
        <f t="shared" si="27"/>
        <v>0</v>
      </c>
      <c r="BD38">
        <f t="shared" si="28"/>
        <v>0</v>
      </c>
      <c r="BE38" t="str">
        <f>IF(AJ38="","",BD38+BC38+'TRADE LOG'!AR37)</f>
        <v/>
      </c>
      <c r="BF38">
        <f t="shared" si="29"/>
        <v>0</v>
      </c>
      <c r="BG38">
        <f t="shared" si="30"/>
        <v>0</v>
      </c>
      <c r="BH38" t="e">
        <f t="shared" si="31"/>
        <v>#DIV/0!</v>
      </c>
      <c r="BI38" t="e">
        <f t="shared" si="32"/>
        <v>#DIV/0!</v>
      </c>
      <c r="BJ38">
        <f t="shared" si="33"/>
        <v>0</v>
      </c>
      <c r="BK38" t="e">
        <f t="shared" si="34"/>
        <v>#VALUE!</v>
      </c>
      <c r="BL38" t="e">
        <f t="shared" si="35"/>
        <v>#DIV/0!</v>
      </c>
      <c r="BM38" t="e">
        <f t="shared" si="36"/>
        <v>#DIV/0!</v>
      </c>
      <c r="BN38" t="e">
        <f t="shared" si="37"/>
        <v>#DIV/0!</v>
      </c>
      <c r="BO38" t="e">
        <f t="shared" si="38"/>
        <v>#DIV/0!</v>
      </c>
      <c r="BP38" t="e">
        <f t="shared" si="39"/>
        <v>#DIV/0!</v>
      </c>
      <c r="BQ38">
        <f t="shared" si="59"/>
        <v>0</v>
      </c>
      <c r="BR38">
        <f t="shared" si="63"/>
        <v>0</v>
      </c>
      <c r="BS38" t="e">
        <f t="shared" si="41"/>
        <v>#DIV/0!</v>
      </c>
      <c r="BT38" t="e">
        <f t="shared" si="42"/>
        <v>#DIV/0!</v>
      </c>
      <c r="BU38" t="e">
        <f t="shared" si="43"/>
        <v>#DIV/0!</v>
      </c>
      <c r="BV38">
        <f t="shared" si="60"/>
        <v>0</v>
      </c>
      <c r="BW38">
        <f t="shared" si="61"/>
        <v>0</v>
      </c>
      <c r="BX38" t="e">
        <f t="shared" si="44"/>
        <v>#DIV/0!</v>
      </c>
      <c r="BY38" t="e">
        <f t="shared" si="45"/>
        <v>#DIV/0!</v>
      </c>
      <c r="BZ38" t="e">
        <f t="shared" si="46"/>
        <v>#DIV/0!</v>
      </c>
    </row>
    <row r="39" spans="2:78" ht="21.95" customHeight="1">
      <c r="B39" s="344">
        <v>24</v>
      </c>
      <c r="C39" s="542" t="str">
        <f t="shared" si="47"/>
        <v/>
      </c>
      <c r="D39" s="599" t="str">
        <f t="shared" si="2"/>
        <v/>
      </c>
      <c r="E39" s="543" t="str">
        <f t="shared" si="48"/>
        <v/>
      </c>
      <c r="F39" s="544" t="str">
        <f t="shared" si="49"/>
        <v/>
      </c>
      <c r="G39" s="545" t="str">
        <f t="shared" si="50"/>
        <v/>
      </c>
      <c r="H39" s="608" t="str">
        <f t="shared" si="51"/>
        <v/>
      </c>
      <c r="I39" s="547"/>
      <c r="J39" s="604" t="str">
        <f t="shared" si="3"/>
        <v/>
      </c>
      <c r="K39" s="543" t="str">
        <f t="shared" si="62"/>
        <v/>
      </c>
      <c r="L39" s="544" t="str">
        <f t="shared" si="52"/>
        <v/>
      </c>
      <c r="M39" s="544" t="str">
        <f t="shared" si="53"/>
        <v/>
      </c>
      <c r="N39" s="608" t="str">
        <f t="shared" si="54"/>
        <v/>
      </c>
      <c r="O39" s="547"/>
      <c r="P39" s="604" t="str">
        <f t="shared" si="4"/>
        <v/>
      </c>
      <c r="Q39" s="543" t="str">
        <f t="shared" si="55"/>
        <v/>
      </c>
      <c r="R39" s="544" t="str">
        <f t="shared" si="56"/>
        <v/>
      </c>
      <c r="S39" s="544" t="str">
        <f t="shared" si="57"/>
        <v/>
      </c>
      <c r="T39" s="608" t="str">
        <f t="shared" si="58"/>
        <v/>
      </c>
      <c r="U39" s="499"/>
      <c r="V39" s="289"/>
      <c r="Z39" t="e">
        <f t="shared" si="5"/>
        <v>#NUM!</v>
      </c>
      <c r="AA39" t="e">
        <f t="shared" si="6"/>
        <v>#NUM!</v>
      </c>
      <c r="AB39" t="e">
        <f t="shared" si="7"/>
        <v>#NUM!</v>
      </c>
      <c r="AC39" s="16" t="e">
        <f t="shared" si="8"/>
        <v>#NUM!</v>
      </c>
      <c r="AD39" s="16" t="e">
        <f t="shared" si="9"/>
        <v>#NUM!</v>
      </c>
      <c r="AE39" s="21"/>
      <c r="AF39" s="21"/>
      <c r="AG39" s="16"/>
      <c r="AH39" s="16"/>
      <c r="AI39" t="e">
        <f>SMALL('TRADE LOG'!$AQ$15:$AQ$9733,'TRADE LOG'!B38)</f>
        <v>#NUM!</v>
      </c>
      <c r="AJ39" t="str">
        <f t="shared" si="10"/>
        <v/>
      </c>
      <c r="AK39">
        <f t="shared" si="11"/>
        <v>0</v>
      </c>
      <c r="AL39">
        <f t="shared" si="12"/>
        <v>0</v>
      </c>
      <c r="AM39">
        <f t="shared" si="13"/>
        <v>0</v>
      </c>
      <c r="AN39">
        <f t="shared" si="14"/>
        <v>0</v>
      </c>
      <c r="AP39">
        <f t="shared" si="15"/>
        <v>0</v>
      </c>
      <c r="AQ39">
        <f t="shared" si="16"/>
        <v>0</v>
      </c>
      <c r="AR39" t="e">
        <f t="shared" si="17"/>
        <v>#DIV/0!</v>
      </c>
      <c r="AS39" t="e">
        <f t="shared" si="18"/>
        <v>#DIV/0!</v>
      </c>
      <c r="AT39">
        <f t="shared" si="19"/>
        <v>0</v>
      </c>
      <c r="AU39">
        <f t="shared" si="20"/>
        <v>0</v>
      </c>
      <c r="AV39">
        <f t="shared" si="21"/>
        <v>0</v>
      </c>
      <c r="AW39">
        <f t="shared" si="22"/>
        <v>0</v>
      </c>
      <c r="AY39">
        <f t="shared" si="23"/>
        <v>0</v>
      </c>
      <c r="AZ39">
        <f t="shared" si="24"/>
        <v>0</v>
      </c>
      <c r="BA39" t="e">
        <f t="shared" si="25"/>
        <v>#DIV/0!</v>
      </c>
      <c r="BB39" t="e">
        <f t="shared" si="26"/>
        <v>#DIV/0!</v>
      </c>
      <c r="BC39">
        <f t="shared" si="27"/>
        <v>0</v>
      </c>
      <c r="BD39">
        <f t="shared" si="28"/>
        <v>0</v>
      </c>
      <c r="BE39" t="str">
        <f>IF(AJ39="","",BD39+BC39+'TRADE LOG'!AR38)</f>
        <v/>
      </c>
      <c r="BF39">
        <f t="shared" si="29"/>
        <v>0</v>
      </c>
      <c r="BG39">
        <f t="shared" si="30"/>
        <v>0</v>
      </c>
      <c r="BH39" t="e">
        <f t="shared" si="31"/>
        <v>#DIV/0!</v>
      </c>
      <c r="BI39" t="e">
        <f t="shared" si="32"/>
        <v>#DIV/0!</v>
      </c>
      <c r="BJ39">
        <f t="shared" si="33"/>
        <v>0</v>
      </c>
      <c r="BK39" t="e">
        <f t="shared" si="34"/>
        <v>#VALUE!</v>
      </c>
      <c r="BL39" t="e">
        <f t="shared" si="35"/>
        <v>#DIV/0!</v>
      </c>
      <c r="BM39" t="e">
        <f t="shared" si="36"/>
        <v>#DIV/0!</v>
      </c>
      <c r="BN39" t="e">
        <f t="shared" si="37"/>
        <v>#DIV/0!</v>
      </c>
      <c r="BO39" t="e">
        <f t="shared" si="38"/>
        <v>#DIV/0!</v>
      </c>
      <c r="BP39" t="e">
        <f t="shared" si="39"/>
        <v>#DIV/0!</v>
      </c>
      <c r="BQ39">
        <f t="shared" si="59"/>
        <v>0</v>
      </c>
      <c r="BR39">
        <f t="shared" si="63"/>
        <v>0</v>
      </c>
      <c r="BS39" t="e">
        <f t="shared" si="41"/>
        <v>#DIV/0!</v>
      </c>
      <c r="BT39" t="e">
        <f t="shared" si="42"/>
        <v>#DIV/0!</v>
      </c>
      <c r="BU39" t="e">
        <f t="shared" si="43"/>
        <v>#DIV/0!</v>
      </c>
      <c r="BV39">
        <f t="shared" si="60"/>
        <v>0</v>
      </c>
      <c r="BW39">
        <f t="shared" si="61"/>
        <v>0</v>
      </c>
      <c r="BX39" t="e">
        <f t="shared" si="44"/>
        <v>#DIV/0!</v>
      </c>
      <c r="BY39" t="e">
        <f t="shared" si="45"/>
        <v>#DIV/0!</v>
      </c>
      <c r="BZ39" t="e">
        <f t="shared" si="46"/>
        <v>#DIV/0!</v>
      </c>
    </row>
    <row r="40" spans="2:78" ht="21.95" customHeight="1">
      <c r="B40" s="344">
        <v>25</v>
      </c>
      <c r="C40" s="542" t="str">
        <f t="shared" si="47"/>
        <v/>
      </c>
      <c r="D40" s="599" t="str">
        <f t="shared" si="2"/>
        <v/>
      </c>
      <c r="E40" s="543" t="str">
        <f t="shared" si="48"/>
        <v/>
      </c>
      <c r="F40" s="544" t="str">
        <f t="shared" si="49"/>
        <v/>
      </c>
      <c r="G40" s="545" t="str">
        <f t="shared" si="50"/>
        <v/>
      </c>
      <c r="H40" s="608" t="str">
        <f t="shared" si="51"/>
        <v/>
      </c>
      <c r="I40" s="547"/>
      <c r="J40" s="604" t="str">
        <f t="shared" si="3"/>
        <v/>
      </c>
      <c r="K40" s="543" t="str">
        <f t="shared" si="62"/>
        <v/>
      </c>
      <c r="L40" s="544" t="str">
        <f t="shared" si="52"/>
        <v/>
      </c>
      <c r="M40" s="544" t="str">
        <f t="shared" si="53"/>
        <v/>
      </c>
      <c r="N40" s="608" t="str">
        <f t="shared" si="54"/>
        <v/>
      </c>
      <c r="O40" s="547"/>
      <c r="P40" s="604" t="str">
        <f t="shared" si="4"/>
        <v/>
      </c>
      <c r="Q40" s="543" t="str">
        <f t="shared" si="55"/>
        <v/>
      </c>
      <c r="R40" s="544" t="str">
        <f t="shared" si="56"/>
        <v/>
      </c>
      <c r="S40" s="544" t="str">
        <f t="shared" si="57"/>
        <v/>
      </c>
      <c r="T40" s="608" t="str">
        <f t="shared" si="58"/>
        <v/>
      </c>
      <c r="U40" s="499"/>
      <c r="V40" s="289"/>
      <c r="Z40" t="e">
        <f t="shared" si="5"/>
        <v>#NUM!</v>
      </c>
      <c r="AA40" t="e">
        <f t="shared" si="6"/>
        <v>#NUM!</v>
      </c>
      <c r="AB40" t="e">
        <f t="shared" si="7"/>
        <v>#NUM!</v>
      </c>
      <c r="AC40" s="16" t="e">
        <f t="shared" si="8"/>
        <v>#NUM!</v>
      </c>
      <c r="AD40" s="16" t="e">
        <f t="shared" si="9"/>
        <v>#NUM!</v>
      </c>
      <c r="AE40" s="21"/>
      <c r="AF40" s="21"/>
      <c r="AG40" s="16"/>
      <c r="AH40" s="16"/>
      <c r="AI40" t="e">
        <f>SMALL('TRADE LOG'!$AQ$15:$AQ$9733,'TRADE LOG'!B39)</f>
        <v>#NUM!</v>
      </c>
      <c r="AJ40" t="str">
        <f t="shared" si="10"/>
        <v/>
      </c>
      <c r="AK40">
        <f t="shared" si="11"/>
        <v>0</v>
      </c>
      <c r="AL40">
        <f t="shared" si="12"/>
        <v>0</v>
      </c>
      <c r="AM40">
        <f t="shared" si="13"/>
        <v>0</v>
      </c>
      <c r="AN40">
        <f t="shared" si="14"/>
        <v>0</v>
      </c>
      <c r="AP40">
        <f t="shared" si="15"/>
        <v>0</v>
      </c>
      <c r="AQ40">
        <f t="shared" si="16"/>
        <v>0</v>
      </c>
      <c r="AR40" t="e">
        <f t="shared" si="17"/>
        <v>#DIV/0!</v>
      </c>
      <c r="AS40" t="e">
        <f t="shared" si="18"/>
        <v>#DIV/0!</v>
      </c>
      <c r="AT40">
        <f t="shared" si="19"/>
        <v>0</v>
      </c>
      <c r="AU40">
        <f t="shared" si="20"/>
        <v>0</v>
      </c>
      <c r="AV40">
        <f t="shared" si="21"/>
        <v>0</v>
      </c>
      <c r="AW40">
        <f t="shared" si="22"/>
        <v>0</v>
      </c>
      <c r="AY40">
        <f t="shared" si="23"/>
        <v>0</v>
      </c>
      <c r="AZ40">
        <f t="shared" si="24"/>
        <v>0</v>
      </c>
      <c r="BA40" t="e">
        <f t="shared" si="25"/>
        <v>#DIV/0!</v>
      </c>
      <c r="BB40" t="e">
        <f t="shared" si="26"/>
        <v>#DIV/0!</v>
      </c>
      <c r="BC40">
        <f t="shared" si="27"/>
        <v>0</v>
      </c>
      <c r="BD40">
        <f t="shared" si="28"/>
        <v>0</v>
      </c>
      <c r="BE40" t="str">
        <f>IF(AJ40="","",BD40+BC40+'TRADE LOG'!AR39)</f>
        <v/>
      </c>
      <c r="BF40">
        <f t="shared" si="29"/>
        <v>0</v>
      </c>
      <c r="BG40">
        <f t="shared" si="30"/>
        <v>0</v>
      </c>
      <c r="BH40" t="e">
        <f t="shared" si="31"/>
        <v>#DIV/0!</v>
      </c>
      <c r="BI40" t="e">
        <f t="shared" si="32"/>
        <v>#DIV/0!</v>
      </c>
      <c r="BJ40">
        <f t="shared" si="33"/>
        <v>0</v>
      </c>
      <c r="BK40" t="e">
        <f t="shared" si="34"/>
        <v>#VALUE!</v>
      </c>
      <c r="BL40" t="e">
        <f t="shared" si="35"/>
        <v>#DIV/0!</v>
      </c>
      <c r="BM40" t="e">
        <f t="shared" si="36"/>
        <v>#DIV/0!</v>
      </c>
      <c r="BN40" t="e">
        <f t="shared" si="37"/>
        <v>#DIV/0!</v>
      </c>
      <c r="BO40" t="e">
        <f t="shared" si="38"/>
        <v>#DIV/0!</v>
      </c>
      <c r="BP40" t="e">
        <f t="shared" si="39"/>
        <v>#DIV/0!</v>
      </c>
      <c r="BQ40">
        <f t="shared" si="59"/>
        <v>0</v>
      </c>
      <c r="BR40">
        <f t="shared" si="63"/>
        <v>0</v>
      </c>
      <c r="BS40" t="e">
        <f t="shared" si="41"/>
        <v>#DIV/0!</v>
      </c>
      <c r="BT40" t="e">
        <f t="shared" si="42"/>
        <v>#DIV/0!</v>
      </c>
      <c r="BU40" t="e">
        <f t="shared" si="43"/>
        <v>#DIV/0!</v>
      </c>
      <c r="BV40">
        <f t="shared" si="60"/>
        <v>0</v>
      </c>
      <c r="BW40">
        <f t="shared" si="61"/>
        <v>0</v>
      </c>
      <c r="BX40" t="e">
        <f t="shared" si="44"/>
        <v>#DIV/0!</v>
      </c>
      <c r="BY40" t="e">
        <f t="shared" si="45"/>
        <v>#DIV/0!</v>
      </c>
      <c r="BZ40" t="e">
        <f t="shared" si="46"/>
        <v>#DIV/0!</v>
      </c>
    </row>
    <row r="41" spans="2:78" ht="21.95" customHeight="1">
      <c r="B41" s="344">
        <v>26</v>
      </c>
      <c r="C41" s="542" t="str">
        <f t="shared" si="47"/>
        <v/>
      </c>
      <c r="D41" s="599" t="str">
        <f t="shared" si="2"/>
        <v/>
      </c>
      <c r="E41" s="543" t="str">
        <f t="shared" si="48"/>
        <v/>
      </c>
      <c r="F41" s="544" t="str">
        <f t="shared" si="49"/>
        <v/>
      </c>
      <c r="G41" s="545" t="str">
        <f t="shared" si="50"/>
        <v/>
      </c>
      <c r="H41" s="608" t="str">
        <f t="shared" si="51"/>
        <v/>
      </c>
      <c r="I41" s="547"/>
      <c r="J41" s="604" t="str">
        <f t="shared" si="3"/>
        <v/>
      </c>
      <c r="K41" s="543" t="str">
        <f t="shared" si="62"/>
        <v/>
      </c>
      <c r="L41" s="544" t="str">
        <f t="shared" si="52"/>
        <v/>
      </c>
      <c r="M41" s="544" t="str">
        <f t="shared" si="53"/>
        <v/>
      </c>
      <c r="N41" s="608" t="str">
        <f t="shared" si="54"/>
        <v/>
      </c>
      <c r="O41" s="547"/>
      <c r="P41" s="604" t="str">
        <f t="shared" si="4"/>
        <v/>
      </c>
      <c r="Q41" s="543" t="str">
        <f t="shared" si="55"/>
        <v/>
      </c>
      <c r="R41" s="544" t="str">
        <f t="shared" si="56"/>
        <v/>
      </c>
      <c r="S41" s="544" t="str">
        <f t="shared" si="57"/>
        <v/>
      </c>
      <c r="T41" s="608" t="str">
        <f t="shared" si="58"/>
        <v/>
      </c>
      <c r="U41" s="499"/>
      <c r="V41" s="289"/>
      <c r="Z41" t="e">
        <f t="shared" si="5"/>
        <v>#NUM!</v>
      </c>
      <c r="AA41" t="e">
        <f t="shared" si="6"/>
        <v>#NUM!</v>
      </c>
      <c r="AB41" t="e">
        <f t="shared" si="7"/>
        <v>#NUM!</v>
      </c>
      <c r="AC41" s="16" t="e">
        <f t="shared" si="8"/>
        <v>#NUM!</v>
      </c>
      <c r="AD41" s="16" t="e">
        <f t="shared" si="9"/>
        <v>#NUM!</v>
      </c>
      <c r="AE41" s="21"/>
      <c r="AF41" s="21"/>
      <c r="AG41" s="16"/>
      <c r="AH41" s="16"/>
      <c r="AI41" t="e">
        <f>SMALL('TRADE LOG'!$AQ$15:$AQ$9733,'TRADE LOG'!B40)</f>
        <v>#NUM!</v>
      </c>
      <c r="AJ41" t="str">
        <f t="shared" si="10"/>
        <v/>
      </c>
      <c r="AK41">
        <f t="shared" si="11"/>
        <v>0</v>
      </c>
      <c r="AL41">
        <f t="shared" si="12"/>
        <v>0</v>
      </c>
      <c r="AM41">
        <f t="shared" si="13"/>
        <v>0</v>
      </c>
      <c r="AN41">
        <f t="shared" si="14"/>
        <v>0</v>
      </c>
      <c r="AP41">
        <f t="shared" si="15"/>
        <v>0</v>
      </c>
      <c r="AQ41">
        <f t="shared" si="16"/>
        <v>0</v>
      </c>
      <c r="AR41" t="e">
        <f t="shared" si="17"/>
        <v>#DIV/0!</v>
      </c>
      <c r="AS41" t="e">
        <f t="shared" si="18"/>
        <v>#DIV/0!</v>
      </c>
      <c r="AT41">
        <f t="shared" si="19"/>
        <v>0</v>
      </c>
      <c r="AU41">
        <f t="shared" si="20"/>
        <v>0</v>
      </c>
      <c r="AV41">
        <f t="shared" si="21"/>
        <v>0</v>
      </c>
      <c r="AW41">
        <f t="shared" si="22"/>
        <v>0</v>
      </c>
      <c r="AY41">
        <f t="shared" si="23"/>
        <v>0</v>
      </c>
      <c r="AZ41">
        <f t="shared" si="24"/>
        <v>0</v>
      </c>
      <c r="BA41" t="e">
        <f t="shared" si="25"/>
        <v>#DIV/0!</v>
      </c>
      <c r="BB41" t="e">
        <f t="shared" si="26"/>
        <v>#DIV/0!</v>
      </c>
      <c r="BC41">
        <f t="shared" si="27"/>
        <v>0</v>
      </c>
      <c r="BD41">
        <f t="shared" si="28"/>
        <v>0</v>
      </c>
      <c r="BE41" t="str">
        <f>IF(AJ41="","",BD41+BC41+'TRADE LOG'!AR40)</f>
        <v/>
      </c>
      <c r="BF41">
        <f t="shared" si="29"/>
        <v>0</v>
      </c>
      <c r="BG41">
        <f t="shared" si="30"/>
        <v>0</v>
      </c>
      <c r="BH41" t="e">
        <f t="shared" si="31"/>
        <v>#DIV/0!</v>
      </c>
      <c r="BI41" t="e">
        <f t="shared" si="32"/>
        <v>#DIV/0!</v>
      </c>
      <c r="BJ41">
        <f t="shared" si="33"/>
        <v>0</v>
      </c>
      <c r="BK41" t="e">
        <f t="shared" si="34"/>
        <v>#VALUE!</v>
      </c>
      <c r="BL41" t="e">
        <f t="shared" si="35"/>
        <v>#DIV/0!</v>
      </c>
      <c r="BM41" t="e">
        <f t="shared" si="36"/>
        <v>#DIV/0!</v>
      </c>
      <c r="BN41" t="e">
        <f t="shared" si="37"/>
        <v>#DIV/0!</v>
      </c>
      <c r="BO41" t="e">
        <f t="shared" si="38"/>
        <v>#DIV/0!</v>
      </c>
      <c r="BP41" t="e">
        <f t="shared" si="39"/>
        <v>#DIV/0!</v>
      </c>
      <c r="BQ41">
        <f t="shared" si="59"/>
        <v>0</v>
      </c>
      <c r="BR41">
        <f t="shared" si="63"/>
        <v>0</v>
      </c>
      <c r="BS41" t="e">
        <f t="shared" si="41"/>
        <v>#DIV/0!</v>
      </c>
      <c r="BT41" t="e">
        <f t="shared" si="42"/>
        <v>#DIV/0!</v>
      </c>
      <c r="BU41" t="e">
        <f t="shared" si="43"/>
        <v>#DIV/0!</v>
      </c>
      <c r="BV41">
        <f t="shared" si="60"/>
        <v>0</v>
      </c>
      <c r="BW41">
        <f t="shared" si="61"/>
        <v>0</v>
      </c>
      <c r="BX41" t="e">
        <f t="shared" si="44"/>
        <v>#DIV/0!</v>
      </c>
      <c r="BY41" t="e">
        <f t="shared" si="45"/>
        <v>#DIV/0!</v>
      </c>
      <c r="BZ41" t="e">
        <f t="shared" si="46"/>
        <v>#DIV/0!</v>
      </c>
    </row>
    <row r="42" spans="2:78" ht="21.95" customHeight="1">
      <c r="B42" s="344">
        <v>27</v>
      </c>
      <c r="C42" s="542" t="str">
        <f t="shared" si="47"/>
        <v/>
      </c>
      <c r="D42" s="599" t="str">
        <f t="shared" si="2"/>
        <v/>
      </c>
      <c r="E42" s="543" t="str">
        <f t="shared" si="48"/>
        <v/>
      </c>
      <c r="F42" s="544" t="str">
        <f t="shared" si="49"/>
        <v/>
      </c>
      <c r="G42" s="545" t="str">
        <f t="shared" si="50"/>
        <v/>
      </c>
      <c r="H42" s="608" t="str">
        <f t="shared" si="51"/>
        <v/>
      </c>
      <c r="I42" s="547"/>
      <c r="J42" s="604" t="str">
        <f t="shared" si="3"/>
        <v/>
      </c>
      <c r="K42" s="543" t="str">
        <f t="shared" si="62"/>
        <v/>
      </c>
      <c r="L42" s="544" t="str">
        <f t="shared" si="52"/>
        <v/>
      </c>
      <c r="M42" s="544" t="str">
        <f t="shared" si="53"/>
        <v/>
      </c>
      <c r="N42" s="608" t="str">
        <f t="shared" si="54"/>
        <v/>
      </c>
      <c r="O42" s="547"/>
      <c r="P42" s="604" t="str">
        <f t="shared" si="4"/>
        <v/>
      </c>
      <c r="Q42" s="543" t="str">
        <f t="shared" si="55"/>
        <v/>
      </c>
      <c r="R42" s="544" t="str">
        <f t="shared" si="56"/>
        <v/>
      </c>
      <c r="S42" s="544" t="str">
        <f t="shared" si="57"/>
        <v/>
      </c>
      <c r="T42" s="608" t="str">
        <f t="shared" si="58"/>
        <v/>
      </c>
      <c r="U42" s="499"/>
      <c r="V42" s="289"/>
      <c r="Z42" t="e">
        <f t="shared" si="5"/>
        <v>#NUM!</v>
      </c>
      <c r="AA42" t="e">
        <f t="shared" si="6"/>
        <v>#NUM!</v>
      </c>
      <c r="AB42" t="e">
        <f t="shared" si="7"/>
        <v>#NUM!</v>
      </c>
      <c r="AC42" s="16" t="e">
        <f t="shared" si="8"/>
        <v>#NUM!</v>
      </c>
      <c r="AD42" s="16" t="e">
        <f t="shared" si="9"/>
        <v>#NUM!</v>
      </c>
      <c r="AE42" s="21"/>
      <c r="AF42" s="21"/>
      <c r="AG42" s="16"/>
      <c r="AH42" s="16"/>
      <c r="AI42" t="e">
        <f>SMALL('TRADE LOG'!$AQ$15:$AQ$9733,'TRADE LOG'!B41)</f>
        <v>#NUM!</v>
      </c>
      <c r="AJ42" t="str">
        <f t="shared" si="10"/>
        <v/>
      </c>
      <c r="AK42">
        <f t="shared" si="11"/>
        <v>0</v>
      </c>
      <c r="AL42">
        <f t="shared" si="12"/>
        <v>0</v>
      </c>
      <c r="AM42">
        <f t="shared" si="13"/>
        <v>0</v>
      </c>
      <c r="AN42">
        <f t="shared" si="14"/>
        <v>0</v>
      </c>
      <c r="AP42">
        <f t="shared" si="15"/>
        <v>0</v>
      </c>
      <c r="AQ42">
        <f t="shared" si="16"/>
        <v>0</v>
      </c>
      <c r="AR42" t="e">
        <f t="shared" si="17"/>
        <v>#DIV/0!</v>
      </c>
      <c r="AS42" t="e">
        <f t="shared" si="18"/>
        <v>#DIV/0!</v>
      </c>
      <c r="AT42">
        <f t="shared" si="19"/>
        <v>0</v>
      </c>
      <c r="AU42">
        <f t="shared" si="20"/>
        <v>0</v>
      </c>
      <c r="AV42">
        <f t="shared" si="21"/>
        <v>0</v>
      </c>
      <c r="AW42">
        <f t="shared" si="22"/>
        <v>0</v>
      </c>
      <c r="AY42">
        <f t="shared" si="23"/>
        <v>0</v>
      </c>
      <c r="AZ42">
        <f t="shared" si="24"/>
        <v>0</v>
      </c>
      <c r="BA42" t="e">
        <f t="shared" si="25"/>
        <v>#DIV/0!</v>
      </c>
      <c r="BB42" t="e">
        <f t="shared" si="26"/>
        <v>#DIV/0!</v>
      </c>
      <c r="BC42">
        <f t="shared" si="27"/>
        <v>0</v>
      </c>
      <c r="BD42">
        <f t="shared" si="28"/>
        <v>0</v>
      </c>
      <c r="BE42" t="str">
        <f>IF(AJ42="","",BD42+BC42+'TRADE LOG'!AR41)</f>
        <v/>
      </c>
      <c r="BF42">
        <f t="shared" si="29"/>
        <v>0</v>
      </c>
      <c r="BG42">
        <f t="shared" si="30"/>
        <v>0</v>
      </c>
      <c r="BH42" t="e">
        <f t="shared" si="31"/>
        <v>#DIV/0!</v>
      </c>
      <c r="BI42" t="e">
        <f t="shared" si="32"/>
        <v>#DIV/0!</v>
      </c>
      <c r="BJ42">
        <f t="shared" si="33"/>
        <v>0</v>
      </c>
      <c r="BK42" t="e">
        <f t="shared" si="34"/>
        <v>#VALUE!</v>
      </c>
      <c r="BL42" t="e">
        <f t="shared" si="35"/>
        <v>#DIV/0!</v>
      </c>
      <c r="BM42" t="e">
        <f t="shared" si="36"/>
        <v>#DIV/0!</v>
      </c>
      <c r="BN42" t="e">
        <f t="shared" si="37"/>
        <v>#DIV/0!</v>
      </c>
      <c r="BO42" t="e">
        <f t="shared" si="38"/>
        <v>#DIV/0!</v>
      </c>
      <c r="BP42" t="e">
        <f t="shared" si="39"/>
        <v>#DIV/0!</v>
      </c>
      <c r="BQ42">
        <f t="shared" si="59"/>
        <v>0</v>
      </c>
      <c r="BR42">
        <f t="shared" si="63"/>
        <v>0</v>
      </c>
      <c r="BS42" t="e">
        <f t="shared" si="41"/>
        <v>#DIV/0!</v>
      </c>
      <c r="BT42" t="e">
        <f t="shared" si="42"/>
        <v>#DIV/0!</v>
      </c>
      <c r="BU42" t="e">
        <f t="shared" si="43"/>
        <v>#DIV/0!</v>
      </c>
      <c r="BV42">
        <f t="shared" si="60"/>
        <v>0</v>
      </c>
      <c r="BW42">
        <f t="shared" si="61"/>
        <v>0</v>
      </c>
      <c r="BX42" t="e">
        <f t="shared" si="44"/>
        <v>#DIV/0!</v>
      </c>
      <c r="BY42" t="e">
        <f t="shared" si="45"/>
        <v>#DIV/0!</v>
      </c>
      <c r="BZ42" t="e">
        <f t="shared" si="46"/>
        <v>#DIV/0!</v>
      </c>
    </row>
    <row r="43" spans="2:78" ht="21.95" customHeight="1">
      <c r="B43" s="344">
        <v>28</v>
      </c>
      <c r="C43" s="542" t="str">
        <f t="shared" si="47"/>
        <v/>
      </c>
      <c r="D43" s="599" t="str">
        <f t="shared" si="2"/>
        <v/>
      </c>
      <c r="E43" s="543" t="str">
        <f t="shared" si="48"/>
        <v/>
      </c>
      <c r="F43" s="544" t="str">
        <f t="shared" si="49"/>
        <v/>
      </c>
      <c r="G43" s="545" t="str">
        <f t="shared" si="50"/>
        <v/>
      </c>
      <c r="H43" s="608" t="str">
        <f t="shared" si="51"/>
        <v/>
      </c>
      <c r="I43" s="547"/>
      <c r="J43" s="604" t="str">
        <f t="shared" si="3"/>
        <v/>
      </c>
      <c r="K43" s="543" t="str">
        <f t="shared" si="62"/>
        <v/>
      </c>
      <c r="L43" s="544" t="str">
        <f t="shared" si="52"/>
        <v/>
      </c>
      <c r="M43" s="544" t="str">
        <f t="shared" si="53"/>
        <v/>
      </c>
      <c r="N43" s="608" t="str">
        <f t="shared" si="54"/>
        <v/>
      </c>
      <c r="O43" s="547"/>
      <c r="P43" s="604" t="str">
        <f t="shared" si="4"/>
        <v/>
      </c>
      <c r="Q43" s="543" t="str">
        <f t="shared" si="55"/>
        <v/>
      </c>
      <c r="R43" s="544" t="str">
        <f t="shared" si="56"/>
        <v/>
      </c>
      <c r="S43" s="544" t="str">
        <f t="shared" si="57"/>
        <v/>
      </c>
      <c r="T43" s="608" t="str">
        <f t="shared" si="58"/>
        <v/>
      </c>
      <c r="U43" s="499"/>
      <c r="V43" s="289"/>
      <c r="Z43" t="e">
        <f t="shared" si="5"/>
        <v>#NUM!</v>
      </c>
      <c r="AA43" t="e">
        <f t="shared" si="6"/>
        <v>#NUM!</v>
      </c>
      <c r="AB43" t="e">
        <f t="shared" si="7"/>
        <v>#NUM!</v>
      </c>
      <c r="AC43" s="16" t="e">
        <f t="shared" si="8"/>
        <v>#NUM!</v>
      </c>
      <c r="AD43" s="16" t="e">
        <f t="shared" si="9"/>
        <v>#NUM!</v>
      </c>
      <c r="AE43" s="21"/>
      <c r="AF43" s="21"/>
      <c r="AG43" s="16"/>
      <c r="AH43" s="16"/>
      <c r="AI43" t="e">
        <f>SMALL('TRADE LOG'!$AQ$15:$AQ$9733,'TRADE LOG'!B42)</f>
        <v>#NUM!</v>
      </c>
      <c r="AJ43" t="str">
        <f t="shared" si="10"/>
        <v/>
      </c>
      <c r="AK43">
        <f t="shared" si="11"/>
        <v>0</v>
      </c>
      <c r="AL43">
        <f t="shared" si="12"/>
        <v>0</v>
      </c>
      <c r="AM43">
        <f t="shared" si="13"/>
        <v>0</v>
      </c>
      <c r="AN43">
        <f t="shared" si="14"/>
        <v>0</v>
      </c>
      <c r="AP43">
        <f t="shared" si="15"/>
        <v>0</v>
      </c>
      <c r="AQ43">
        <f t="shared" si="16"/>
        <v>0</v>
      </c>
      <c r="AR43" t="e">
        <f t="shared" si="17"/>
        <v>#DIV/0!</v>
      </c>
      <c r="AS43" t="e">
        <f t="shared" si="18"/>
        <v>#DIV/0!</v>
      </c>
      <c r="AT43">
        <f t="shared" si="19"/>
        <v>0</v>
      </c>
      <c r="AU43">
        <f t="shared" si="20"/>
        <v>0</v>
      </c>
      <c r="AV43">
        <f t="shared" si="21"/>
        <v>0</v>
      </c>
      <c r="AW43">
        <f t="shared" si="22"/>
        <v>0</v>
      </c>
      <c r="AY43">
        <f t="shared" si="23"/>
        <v>0</v>
      </c>
      <c r="AZ43">
        <f t="shared" si="24"/>
        <v>0</v>
      </c>
      <c r="BA43" t="e">
        <f t="shared" si="25"/>
        <v>#DIV/0!</v>
      </c>
      <c r="BB43" t="e">
        <f t="shared" si="26"/>
        <v>#DIV/0!</v>
      </c>
      <c r="BC43">
        <f t="shared" si="27"/>
        <v>0</v>
      </c>
      <c r="BD43">
        <f t="shared" si="28"/>
        <v>0</v>
      </c>
      <c r="BE43" t="str">
        <f>IF(AJ43="","",BD43+BC43+'TRADE LOG'!AR42)</f>
        <v/>
      </c>
      <c r="BF43">
        <f t="shared" si="29"/>
        <v>0</v>
      </c>
      <c r="BG43">
        <f t="shared" si="30"/>
        <v>0</v>
      </c>
      <c r="BH43" t="e">
        <f t="shared" si="31"/>
        <v>#DIV/0!</v>
      </c>
      <c r="BI43" t="e">
        <f t="shared" si="32"/>
        <v>#DIV/0!</v>
      </c>
      <c r="BJ43">
        <f t="shared" si="33"/>
        <v>0</v>
      </c>
      <c r="BK43" t="e">
        <f t="shared" si="34"/>
        <v>#VALUE!</v>
      </c>
      <c r="BL43" t="e">
        <f t="shared" si="35"/>
        <v>#DIV/0!</v>
      </c>
      <c r="BM43" t="e">
        <f t="shared" si="36"/>
        <v>#DIV/0!</v>
      </c>
      <c r="BN43" t="e">
        <f t="shared" si="37"/>
        <v>#DIV/0!</v>
      </c>
      <c r="BO43" t="e">
        <f t="shared" si="38"/>
        <v>#DIV/0!</v>
      </c>
      <c r="BP43" t="e">
        <f t="shared" si="39"/>
        <v>#DIV/0!</v>
      </c>
      <c r="BQ43">
        <f t="shared" si="59"/>
        <v>0</v>
      </c>
      <c r="BR43">
        <f t="shared" si="63"/>
        <v>0</v>
      </c>
      <c r="BS43" t="e">
        <f t="shared" si="41"/>
        <v>#DIV/0!</v>
      </c>
      <c r="BT43" t="e">
        <f t="shared" si="42"/>
        <v>#DIV/0!</v>
      </c>
      <c r="BU43" t="e">
        <f t="shared" si="43"/>
        <v>#DIV/0!</v>
      </c>
      <c r="BV43">
        <f t="shared" si="60"/>
        <v>0</v>
      </c>
      <c r="BW43">
        <f t="shared" si="61"/>
        <v>0</v>
      </c>
      <c r="BX43" t="e">
        <f t="shared" si="44"/>
        <v>#DIV/0!</v>
      </c>
      <c r="BY43" t="e">
        <f t="shared" si="45"/>
        <v>#DIV/0!</v>
      </c>
      <c r="BZ43" t="e">
        <f t="shared" si="46"/>
        <v>#DIV/0!</v>
      </c>
    </row>
    <row r="44" spans="2:78" ht="21.95" customHeight="1">
      <c r="B44" s="344">
        <v>29</v>
      </c>
      <c r="C44" s="542" t="str">
        <f t="shared" si="47"/>
        <v/>
      </c>
      <c r="D44" s="599" t="str">
        <f t="shared" si="2"/>
        <v/>
      </c>
      <c r="E44" s="543" t="str">
        <f t="shared" si="48"/>
        <v/>
      </c>
      <c r="F44" s="544" t="str">
        <f t="shared" si="49"/>
        <v/>
      </c>
      <c r="G44" s="545" t="str">
        <f t="shared" si="50"/>
        <v/>
      </c>
      <c r="H44" s="608" t="str">
        <f t="shared" si="51"/>
        <v/>
      </c>
      <c r="I44" s="547"/>
      <c r="J44" s="604" t="str">
        <f t="shared" si="3"/>
        <v/>
      </c>
      <c r="K44" s="543" t="str">
        <f t="shared" si="62"/>
        <v/>
      </c>
      <c r="L44" s="544" t="str">
        <f t="shared" si="52"/>
        <v/>
      </c>
      <c r="M44" s="544" t="str">
        <f t="shared" si="53"/>
        <v/>
      </c>
      <c r="N44" s="608" t="str">
        <f t="shared" si="54"/>
        <v/>
      </c>
      <c r="O44" s="547"/>
      <c r="P44" s="604" t="str">
        <f t="shared" si="4"/>
        <v/>
      </c>
      <c r="Q44" s="543" t="str">
        <f t="shared" si="55"/>
        <v/>
      </c>
      <c r="R44" s="544" t="str">
        <f t="shared" si="56"/>
        <v/>
      </c>
      <c r="S44" s="544" t="str">
        <f t="shared" si="57"/>
        <v/>
      </c>
      <c r="T44" s="608" t="str">
        <f t="shared" si="58"/>
        <v/>
      </c>
      <c r="U44" s="499"/>
      <c r="V44" s="289"/>
      <c r="Z44" t="e">
        <f t="shared" si="5"/>
        <v>#NUM!</v>
      </c>
      <c r="AA44" t="e">
        <f t="shared" si="6"/>
        <v>#NUM!</v>
      </c>
      <c r="AB44" t="e">
        <f t="shared" si="7"/>
        <v>#NUM!</v>
      </c>
      <c r="AC44" s="16" t="e">
        <f t="shared" si="8"/>
        <v>#NUM!</v>
      </c>
      <c r="AD44" s="16" t="e">
        <f t="shared" si="9"/>
        <v>#NUM!</v>
      </c>
      <c r="AE44" s="21"/>
      <c r="AF44" s="21"/>
      <c r="AG44" s="16"/>
      <c r="AH44" s="16"/>
      <c r="AI44" t="e">
        <f>SMALL('TRADE LOG'!$AQ$15:$AQ$9733,'TRADE LOG'!B43)</f>
        <v>#NUM!</v>
      </c>
      <c r="AJ44" t="str">
        <f t="shared" si="10"/>
        <v/>
      </c>
      <c r="AK44">
        <f t="shared" si="11"/>
        <v>0</v>
      </c>
      <c r="AL44">
        <f t="shared" si="12"/>
        <v>0</v>
      </c>
      <c r="AM44">
        <f t="shared" si="13"/>
        <v>0</v>
      </c>
      <c r="AN44">
        <f t="shared" si="14"/>
        <v>0</v>
      </c>
      <c r="AP44">
        <f t="shared" si="15"/>
        <v>0</v>
      </c>
      <c r="AQ44">
        <f t="shared" si="16"/>
        <v>0</v>
      </c>
      <c r="AR44" t="e">
        <f t="shared" si="17"/>
        <v>#DIV/0!</v>
      </c>
      <c r="AS44" t="e">
        <f t="shared" si="18"/>
        <v>#DIV/0!</v>
      </c>
      <c r="AT44">
        <f t="shared" si="19"/>
        <v>0</v>
      </c>
      <c r="AU44">
        <f t="shared" si="20"/>
        <v>0</v>
      </c>
      <c r="AV44">
        <f t="shared" si="21"/>
        <v>0</v>
      </c>
      <c r="AW44">
        <f t="shared" si="22"/>
        <v>0</v>
      </c>
      <c r="AY44">
        <f t="shared" si="23"/>
        <v>0</v>
      </c>
      <c r="AZ44">
        <f t="shared" si="24"/>
        <v>0</v>
      </c>
      <c r="BA44" t="e">
        <f t="shared" si="25"/>
        <v>#DIV/0!</v>
      </c>
      <c r="BB44" t="e">
        <f t="shared" si="26"/>
        <v>#DIV/0!</v>
      </c>
      <c r="BC44">
        <f t="shared" si="27"/>
        <v>0</v>
      </c>
      <c r="BD44">
        <f t="shared" si="28"/>
        <v>0</v>
      </c>
      <c r="BE44" t="str">
        <f>IF(AJ44="","",BD44+BC44+'TRADE LOG'!AR43)</f>
        <v/>
      </c>
      <c r="BF44">
        <f t="shared" si="29"/>
        <v>0</v>
      </c>
      <c r="BG44">
        <f t="shared" si="30"/>
        <v>0</v>
      </c>
      <c r="BH44" t="e">
        <f t="shared" si="31"/>
        <v>#DIV/0!</v>
      </c>
      <c r="BI44" t="e">
        <f t="shared" si="32"/>
        <v>#DIV/0!</v>
      </c>
      <c r="BJ44">
        <f t="shared" si="33"/>
        <v>0</v>
      </c>
      <c r="BK44" t="e">
        <f t="shared" si="34"/>
        <v>#VALUE!</v>
      </c>
      <c r="BL44" t="e">
        <f t="shared" si="35"/>
        <v>#DIV/0!</v>
      </c>
      <c r="BM44" t="e">
        <f t="shared" si="36"/>
        <v>#DIV/0!</v>
      </c>
      <c r="BN44" t="e">
        <f t="shared" si="37"/>
        <v>#DIV/0!</v>
      </c>
      <c r="BO44" t="e">
        <f t="shared" si="38"/>
        <v>#DIV/0!</v>
      </c>
      <c r="BP44" t="e">
        <f t="shared" si="39"/>
        <v>#DIV/0!</v>
      </c>
      <c r="BQ44">
        <f t="shared" si="59"/>
        <v>0</v>
      </c>
      <c r="BR44">
        <f t="shared" si="63"/>
        <v>0</v>
      </c>
      <c r="BS44" t="e">
        <f t="shared" si="41"/>
        <v>#DIV/0!</v>
      </c>
      <c r="BT44" t="e">
        <f t="shared" si="42"/>
        <v>#DIV/0!</v>
      </c>
      <c r="BU44" t="e">
        <f t="shared" si="43"/>
        <v>#DIV/0!</v>
      </c>
      <c r="BV44">
        <f t="shared" si="60"/>
        <v>0</v>
      </c>
      <c r="BW44">
        <f t="shared" si="61"/>
        <v>0</v>
      </c>
      <c r="BX44" t="e">
        <f t="shared" si="44"/>
        <v>#DIV/0!</v>
      </c>
      <c r="BY44" t="e">
        <f t="shared" si="45"/>
        <v>#DIV/0!</v>
      </c>
      <c r="BZ44" t="e">
        <f t="shared" si="46"/>
        <v>#DIV/0!</v>
      </c>
    </row>
    <row r="45" spans="2:78" ht="21.95" customHeight="1">
      <c r="B45" s="344">
        <v>30</v>
      </c>
      <c r="C45" s="542" t="str">
        <f t="shared" si="47"/>
        <v/>
      </c>
      <c r="D45" s="599" t="str">
        <f t="shared" si="2"/>
        <v/>
      </c>
      <c r="E45" s="543" t="str">
        <f t="shared" si="48"/>
        <v/>
      </c>
      <c r="F45" s="544" t="str">
        <f t="shared" si="49"/>
        <v/>
      </c>
      <c r="G45" s="545" t="str">
        <f t="shared" si="50"/>
        <v/>
      </c>
      <c r="H45" s="608" t="str">
        <f t="shared" si="51"/>
        <v/>
      </c>
      <c r="I45" s="547"/>
      <c r="J45" s="604" t="str">
        <f t="shared" si="3"/>
        <v/>
      </c>
      <c r="K45" s="543" t="str">
        <f t="shared" si="62"/>
        <v/>
      </c>
      <c r="L45" s="544" t="str">
        <f t="shared" si="52"/>
        <v/>
      </c>
      <c r="M45" s="544" t="str">
        <f t="shared" si="53"/>
        <v/>
      </c>
      <c r="N45" s="608" t="str">
        <f t="shared" si="54"/>
        <v/>
      </c>
      <c r="O45" s="547"/>
      <c r="P45" s="604" t="str">
        <f t="shared" si="4"/>
        <v/>
      </c>
      <c r="Q45" s="543" t="str">
        <f t="shared" si="55"/>
        <v/>
      </c>
      <c r="R45" s="544" t="str">
        <f t="shared" si="56"/>
        <v/>
      </c>
      <c r="S45" s="544" t="str">
        <f t="shared" si="57"/>
        <v/>
      </c>
      <c r="T45" s="608" t="str">
        <f t="shared" si="58"/>
        <v/>
      </c>
      <c r="U45" s="499"/>
      <c r="V45" s="289"/>
      <c r="Z45" t="e">
        <f t="shared" si="5"/>
        <v>#NUM!</v>
      </c>
      <c r="AA45" t="e">
        <f t="shared" si="6"/>
        <v>#NUM!</v>
      </c>
      <c r="AB45" t="e">
        <f t="shared" si="7"/>
        <v>#NUM!</v>
      </c>
      <c r="AC45" s="16" t="e">
        <f t="shared" si="8"/>
        <v>#NUM!</v>
      </c>
      <c r="AD45" s="16" t="e">
        <f t="shared" si="9"/>
        <v>#NUM!</v>
      </c>
      <c r="AE45" s="21"/>
      <c r="AF45" s="21"/>
      <c r="AG45" s="16"/>
      <c r="AH45" s="16"/>
      <c r="AI45" t="e">
        <f>SMALL('TRADE LOG'!$AQ$15:$AQ$9733,'TRADE LOG'!B44)</f>
        <v>#NUM!</v>
      </c>
      <c r="AJ45" t="str">
        <f t="shared" si="10"/>
        <v/>
      </c>
      <c r="AK45">
        <f t="shared" si="11"/>
        <v>0</v>
      </c>
      <c r="AL45">
        <f t="shared" si="12"/>
        <v>0</v>
      </c>
      <c r="AM45">
        <f t="shared" si="13"/>
        <v>0</v>
      </c>
      <c r="AN45">
        <f t="shared" si="14"/>
        <v>0</v>
      </c>
      <c r="AP45">
        <f t="shared" si="15"/>
        <v>0</v>
      </c>
      <c r="AQ45">
        <f t="shared" si="16"/>
        <v>0</v>
      </c>
      <c r="AR45" t="e">
        <f t="shared" si="17"/>
        <v>#DIV/0!</v>
      </c>
      <c r="AS45" t="e">
        <f t="shared" si="18"/>
        <v>#DIV/0!</v>
      </c>
      <c r="AT45">
        <f t="shared" si="19"/>
        <v>0</v>
      </c>
      <c r="AU45">
        <f t="shared" si="20"/>
        <v>0</v>
      </c>
      <c r="AV45">
        <f t="shared" si="21"/>
        <v>0</v>
      </c>
      <c r="AW45">
        <f t="shared" si="22"/>
        <v>0</v>
      </c>
      <c r="AY45">
        <f t="shared" si="23"/>
        <v>0</v>
      </c>
      <c r="AZ45">
        <f t="shared" si="24"/>
        <v>0</v>
      </c>
      <c r="BA45" t="e">
        <f t="shared" si="25"/>
        <v>#DIV/0!</v>
      </c>
      <c r="BB45" t="e">
        <f t="shared" si="26"/>
        <v>#DIV/0!</v>
      </c>
      <c r="BC45">
        <f t="shared" si="27"/>
        <v>0</v>
      </c>
      <c r="BD45">
        <f t="shared" si="28"/>
        <v>0</v>
      </c>
      <c r="BE45" t="str">
        <f>IF(AJ45="","",BD45+BC45+'TRADE LOG'!AR44)</f>
        <v/>
      </c>
      <c r="BF45">
        <f t="shared" si="29"/>
        <v>0</v>
      </c>
      <c r="BG45">
        <f t="shared" si="30"/>
        <v>0</v>
      </c>
      <c r="BH45" t="e">
        <f t="shared" si="31"/>
        <v>#DIV/0!</v>
      </c>
      <c r="BI45" t="e">
        <f t="shared" si="32"/>
        <v>#DIV/0!</v>
      </c>
      <c r="BJ45">
        <f t="shared" si="33"/>
        <v>0</v>
      </c>
      <c r="BK45" t="e">
        <f t="shared" si="34"/>
        <v>#VALUE!</v>
      </c>
      <c r="BL45" t="e">
        <f t="shared" si="35"/>
        <v>#DIV/0!</v>
      </c>
      <c r="BM45" t="e">
        <f t="shared" si="36"/>
        <v>#DIV/0!</v>
      </c>
      <c r="BN45" t="e">
        <f t="shared" si="37"/>
        <v>#DIV/0!</v>
      </c>
      <c r="BO45" t="e">
        <f t="shared" si="38"/>
        <v>#DIV/0!</v>
      </c>
      <c r="BP45" t="e">
        <f t="shared" si="39"/>
        <v>#DIV/0!</v>
      </c>
      <c r="BQ45">
        <f t="shared" si="59"/>
        <v>0</v>
      </c>
      <c r="BR45">
        <f t="shared" si="63"/>
        <v>0</v>
      </c>
      <c r="BS45" t="e">
        <f t="shared" si="41"/>
        <v>#DIV/0!</v>
      </c>
      <c r="BT45" t="e">
        <f t="shared" si="42"/>
        <v>#DIV/0!</v>
      </c>
      <c r="BU45" t="e">
        <f t="shared" si="43"/>
        <v>#DIV/0!</v>
      </c>
      <c r="BV45">
        <f t="shared" si="60"/>
        <v>0</v>
      </c>
      <c r="BW45">
        <f t="shared" si="61"/>
        <v>0</v>
      </c>
      <c r="BX45" t="e">
        <f t="shared" si="44"/>
        <v>#DIV/0!</v>
      </c>
      <c r="BY45" t="e">
        <f t="shared" si="45"/>
        <v>#DIV/0!</v>
      </c>
      <c r="BZ45" t="e">
        <f t="shared" si="46"/>
        <v>#DIV/0!</v>
      </c>
    </row>
    <row r="46" spans="2:78" ht="21.95" customHeight="1">
      <c r="B46" s="344">
        <v>31</v>
      </c>
      <c r="C46" s="542" t="str">
        <f t="shared" si="47"/>
        <v/>
      </c>
      <c r="D46" s="599" t="str">
        <f t="shared" si="2"/>
        <v/>
      </c>
      <c r="E46" s="543" t="str">
        <f t="shared" si="48"/>
        <v/>
      </c>
      <c r="F46" s="544" t="str">
        <f t="shared" si="49"/>
        <v/>
      </c>
      <c r="G46" s="545" t="str">
        <f t="shared" si="50"/>
        <v/>
      </c>
      <c r="H46" s="608" t="str">
        <f t="shared" si="51"/>
        <v/>
      </c>
      <c r="I46" s="547"/>
      <c r="J46" s="604" t="str">
        <f t="shared" si="3"/>
        <v/>
      </c>
      <c r="K46" s="543" t="str">
        <f t="shared" si="62"/>
        <v/>
      </c>
      <c r="L46" s="544" t="str">
        <f t="shared" si="52"/>
        <v/>
      </c>
      <c r="M46" s="544" t="str">
        <f t="shared" si="53"/>
        <v/>
      </c>
      <c r="N46" s="608" t="str">
        <f t="shared" si="54"/>
        <v/>
      </c>
      <c r="O46" s="547"/>
      <c r="P46" s="604" t="str">
        <f t="shared" si="4"/>
        <v/>
      </c>
      <c r="Q46" s="543" t="str">
        <f t="shared" si="55"/>
        <v/>
      </c>
      <c r="R46" s="544" t="str">
        <f t="shared" si="56"/>
        <v/>
      </c>
      <c r="S46" s="544" t="str">
        <f t="shared" si="57"/>
        <v/>
      </c>
      <c r="T46" s="608" t="str">
        <f t="shared" si="58"/>
        <v/>
      </c>
      <c r="U46" s="499"/>
      <c r="V46" s="289"/>
      <c r="Z46" t="e">
        <f t="shared" si="5"/>
        <v>#NUM!</v>
      </c>
      <c r="AA46" t="e">
        <f t="shared" si="6"/>
        <v>#NUM!</v>
      </c>
      <c r="AB46" t="e">
        <f t="shared" si="7"/>
        <v>#NUM!</v>
      </c>
      <c r="AC46" s="16" t="e">
        <f t="shared" si="8"/>
        <v>#NUM!</v>
      </c>
      <c r="AD46" s="16" t="e">
        <f t="shared" si="9"/>
        <v>#NUM!</v>
      </c>
      <c r="AE46" s="21"/>
      <c r="AF46" s="21"/>
      <c r="AG46" s="16"/>
      <c r="AH46" s="16"/>
      <c r="AI46" t="e">
        <f>SMALL('TRADE LOG'!$AQ$15:$AQ$9733,'TRADE LOG'!B45)</f>
        <v>#NUM!</v>
      </c>
      <c r="AJ46" t="str">
        <f t="shared" si="10"/>
        <v/>
      </c>
      <c r="AK46">
        <f t="shared" si="11"/>
        <v>0</v>
      </c>
      <c r="AL46">
        <f t="shared" si="12"/>
        <v>0</v>
      </c>
      <c r="AM46">
        <f t="shared" si="13"/>
        <v>0</v>
      </c>
      <c r="AN46">
        <f t="shared" si="14"/>
        <v>0</v>
      </c>
      <c r="AP46">
        <f t="shared" si="15"/>
        <v>0</v>
      </c>
      <c r="AQ46">
        <f t="shared" si="16"/>
        <v>0</v>
      </c>
      <c r="AR46" t="e">
        <f t="shared" si="17"/>
        <v>#DIV/0!</v>
      </c>
      <c r="AS46" t="e">
        <f t="shared" si="18"/>
        <v>#DIV/0!</v>
      </c>
      <c r="AT46">
        <f t="shared" si="19"/>
        <v>0</v>
      </c>
      <c r="AU46">
        <f t="shared" si="20"/>
        <v>0</v>
      </c>
      <c r="AV46">
        <f t="shared" si="21"/>
        <v>0</v>
      </c>
      <c r="AW46">
        <f t="shared" si="22"/>
        <v>0</v>
      </c>
      <c r="AY46">
        <f t="shared" si="23"/>
        <v>0</v>
      </c>
      <c r="AZ46">
        <f t="shared" si="24"/>
        <v>0</v>
      </c>
      <c r="BA46" t="e">
        <f t="shared" si="25"/>
        <v>#DIV/0!</v>
      </c>
      <c r="BB46" t="e">
        <f t="shared" si="26"/>
        <v>#DIV/0!</v>
      </c>
      <c r="BC46">
        <f t="shared" si="27"/>
        <v>0</v>
      </c>
      <c r="BD46">
        <f t="shared" si="28"/>
        <v>0</v>
      </c>
      <c r="BE46" t="str">
        <f>IF(AJ46="","",BD46+BC46+'TRADE LOG'!AR45)</f>
        <v/>
      </c>
      <c r="BF46">
        <f t="shared" si="29"/>
        <v>0</v>
      </c>
      <c r="BG46">
        <f t="shared" si="30"/>
        <v>0</v>
      </c>
      <c r="BH46" t="e">
        <f t="shared" si="31"/>
        <v>#DIV/0!</v>
      </c>
      <c r="BI46" t="e">
        <f t="shared" si="32"/>
        <v>#DIV/0!</v>
      </c>
      <c r="BJ46">
        <f t="shared" si="33"/>
        <v>0</v>
      </c>
      <c r="BK46" t="e">
        <f t="shared" si="34"/>
        <v>#VALUE!</v>
      </c>
      <c r="BL46" t="e">
        <f t="shared" si="35"/>
        <v>#DIV/0!</v>
      </c>
      <c r="BM46" t="e">
        <f t="shared" si="36"/>
        <v>#DIV/0!</v>
      </c>
      <c r="BN46" t="e">
        <f t="shared" si="37"/>
        <v>#DIV/0!</v>
      </c>
      <c r="BO46" t="e">
        <f t="shared" si="38"/>
        <v>#DIV/0!</v>
      </c>
      <c r="BP46" t="e">
        <f t="shared" si="39"/>
        <v>#DIV/0!</v>
      </c>
      <c r="BQ46">
        <f t="shared" si="59"/>
        <v>0</v>
      </c>
      <c r="BR46">
        <f t="shared" si="63"/>
        <v>0</v>
      </c>
      <c r="BS46" t="e">
        <f t="shared" si="41"/>
        <v>#DIV/0!</v>
      </c>
      <c r="BT46" t="e">
        <f t="shared" si="42"/>
        <v>#DIV/0!</v>
      </c>
      <c r="BU46" t="e">
        <f t="shared" si="43"/>
        <v>#DIV/0!</v>
      </c>
      <c r="BV46">
        <f t="shared" si="60"/>
        <v>0</v>
      </c>
      <c r="BW46">
        <f t="shared" si="61"/>
        <v>0</v>
      </c>
      <c r="BX46" t="e">
        <f t="shared" si="44"/>
        <v>#DIV/0!</v>
      </c>
      <c r="BY46" t="e">
        <f t="shared" si="45"/>
        <v>#DIV/0!</v>
      </c>
      <c r="BZ46" t="e">
        <f t="shared" si="46"/>
        <v>#DIV/0!</v>
      </c>
    </row>
    <row r="47" spans="2:78" ht="21.95" customHeight="1">
      <c r="B47" s="344">
        <v>32</v>
      </c>
      <c r="C47" s="542" t="str">
        <f t="shared" si="47"/>
        <v/>
      </c>
      <c r="D47" s="599" t="str">
        <f t="shared" si="2"/>
        <v/>
      </c>
      <c r="E47" s="543" t="str">
        <f t="shared" si="48"/>
        <v/>
      </c>
      <c r="F47" s="544" t="str">
        <f t="shared" si="49"/>
        <v/>
      </c>
      <c r="G47" s="545" t="str">
        <f t="shared" si="50"/>
        <v/>
      </c>
      <c r="H47" s="608" t="str">
        <f t="shared" si="51"/>
        <v/>
      </c>
      <c r="I47" s="547"/>
      <c r="J47" s="604" t="str">
        <f t="shared" si="3"/>
        <v/>
      </c>
      <c r="K47" s="543" t="str">
        <f t="shared" si="62"/>
        <v/>
      </c>
      <c r="L47" s="544" t="str">
        <f t="shared" si="52"/>
        <v/>
      </c>
      <c r="M47" s="544" t="str">
        <f t="shared" si="53"/>
        <v/>
      </c>
      <c r="N47" s="608" t="str">
        <f t="shared" si="54"/>
        <v/>
      </c>
      <c r="O47" s="547"/>
      <c r="P47" s="604" t="str">
        <f t="shared" si="4"/>
        <v/>
      </c>
      <c r="Q47" s="543" t="str">
        <f t="shared" si="55"/>
        <v/>
      </c>
      <c r="R47" s="544" t="str">
        <f t="shared" si="56"/>
        <v/>
      </c>
      <c r="S47" s="544" t="str">
        <f t="shared" si="57"/>
        <v/>
      </c>
      <c r="T47" s="608" t="str">
        <f t="shared" si="58"/>
        <v/>
      </c>
      <c r="U47" s="499"/>
      <c r="V47" s="289"/>
      <c r="Z47" t="e">
        <f t="shared" si="5"/>
        <v>#NUM!</v>
      </c>
      <c r="AA47" t="e">
        <f t="shared" si="6"/>
        <v>#NUM!</v>
      </c>
      <c r="AB47" t="e">
        <f t="shared" si="7"/>
        <v>#NUM!</v>
      </c>
      <c r="AC47" s="16" t="e">
        <f t="shared" si="8"/>
        <v>#NUM!</v>
      </c>
      <c r="AD47" s="16" t="e">
        <f t="shared" si="9"/>
        <v>#NUM!</v>
      </c>
      <c r="AE47" s="21"/>
      <c r="AF47" s="21"/>
      <c r="AG47" s="16"/>
      <c r="AH47" s="16"/>
      <c r="AI47" t="e">
        <f>SMALL('TRADE LOG'!$AQ$15:$AQ$9733,'TRADE LOG'!B46)</f>
        <v>#NUM!</v>
      </c>
      <c r="AJ47" t="str">
        <f t="shared" si="10"/>
        <v/>
      </c>
      <c r="AK47">
        <f t="shared" si="11"/>
        <v>0</v>
      </c>
      <c r="AL47">
        <f t="shared" si="12"/>
        <v>0</v>
      </c>
      <c r="AM47">
        <f t="shared" si="13"/>
        <v>0</v>
      </c>
      <c r="AN47">
        <f t="shared" si="14"/>
        <v>0</v>
      </c>
      <c r="AP47">
        <f t="shared" si="15"/>
        <v>0</v>
      </c>
      <c r="AQ47">
        <f t="shared" si="16"/>
        <v>0</v>
      </c>
      <c r="AR47" t="e">
        <f t="shared" si="17"/>
        <v>#DIV/0!</v>
      </c>
      <c r="AS47" t="e">
        <f t="shared" si="18"/>
        <v>#DIV/0!</v>
      </c>
      <c r="AT47">
        <f t="shared" si="19"/>
        <v>0</v>
      </c>
      <c r="AU47">
        <f t="shared" si="20"/>
        <v>0</v>
      </c>
      <c r="AV47">
        <f t="shared" si="21"/>
        <v>0</v>
      </c>
      <c r="AW47">
        <f t="shared" si="22"/>
        <v>0</v>
      </c>
      <c r="AY47">
        <f t="shared" si="23"/>
        <v>0</v>
      </c>
      <c r="AZ47">
        <f t="shared" si="24"/>
        <v>0</v>
      </c>
      <c r="BA47" t="e">
        <f t="shared" si="25"/>
        <v>#DIV/0!</v>
      </c>
      <c r="BB47" t="e">
        <f t="shared" si="26"/>
        <v>#DIV/0!</v>
      </c>
      <c r="BC47">
        <f t="shared" si="27"/>
        <v>0</v>
      </c>
      <c r="BD47">
        <f t="shared" si="28"/>
        <v>0</v>
      </c>
      <c r="BE47" t="str">
        <f>IF(AJ47="","",BD47+BC47+'TRADE LOG'!AR46)</f>
        <v/>
      </c>
      <c r="BF47">
        <f t="shared" si="29"/>
        <v>0</v>
      </c>
      <c r="BG47">
        <f t="shared" si="30"/>
        <v>0</v>
      </c>
      <c r="BH47" t="e">
        <f t="shared" si="31"/>
        <v>#DIV/0!</v>
      </c>
      <c r="BI47" t="e">
        <f t="shared" si="32"/>
        <v>#DIV/0!</v>
      </c>
      <c r="BJ47">
        <f t="shared" si="33"/>
        <v>0</v>
      </c>
      <c r="BK47" t="e">
        <f t="shared" si="34"/>
        <v>#VALUE!</v>
      </c>
      <c r="BL47" t="e">
        <f t="shared" si="35"/>
        <v>#DIV/0!</v>
      </c>
      <c r="BM47" t="e">
        <f t="shared" si="36"/>
        <v>#DIV/0!</v>
      </c>
      <c r="BN47" t="e">
        <f t="shared" si="37"/>
        <v>#DIV/0!</v>
      </c>
      <c r="BO47" t="e">
        <f t="shared" si="38"/>
        <v>#DIV/0!</v>
      </c>
      <c r="BP47" t="e">
        <f t="shared" si="39"/>
        <v>#DIV/0!</v>
      </c>
      <c r="BQ47">
        <f t="shared" si="59"/>
        <v>0</v>
      </c>
      <c r="BR47">
        <f t="shared" si="63"/>
        <v>0</v>
      </c>
      <c r="BS47" t="e">
        <f t="shared" si="41"/>
        <v>#DIV/0!</v>
      </c>
      <c r="BT47" t="e">
        <f t="shared" si="42"/>
        <v>#DIV/0!</v>
      </c>
      <c r="BU47" t="e">
        <f t="shared" si="43"/>
        <v>#DIV/0!</v>
      </c>
      <c r="BV47">
        <f t="shared" si="60"/>
        <v>0</v>
      </c>
      <c r="BW47">
        <f t="shared" si="61"/>
        <v>0</v>
      </c>
      <c r="BX47" t="e">
        <f t="shared" si="44"/>
        <v>#DIV/0!</v>
      </c>
      <c r="BY47" t="e">
        <f t="shared" si="45"/>
        <v>#DIV/0!</v>
      </c>
      <c r="BZ47" t="e">
        <f t="shared" si="46"/>
        <v>#DIV/0!</v>
      </c>
    </row>
    <row r="48" spans="2:78" ht="21.95" customHeight="1">
      <c r="B48" s="344">
        <v>33</v>
      </c>
      <c r="C48" s="542" t="str">
        <f t="shared" si="47"/>
        <v/>
      </c>
      <c r="D48" s="599" t="str">
        <f t="shared" ref="D48:D65" si="64">IFERROR(P48+J48,"")</f>
        <v/>
      </c>
      <c r="E48" s="543" t="str">
        <f t="shared" si="48"/>
        <v/>
      </c>
      <c r="F48" s="544" t="str">
        <f t="shared" si="49"/>
        <v/>
      </c>
      <c r="G48" s="545" t="str">
        <f t="shared" si="50"/>
        <v/>
      </c>
      <c r="H48" s="608" t="str">
        <f t="shared" si="51"/>
        <v/>
      </c>
      <c r="I48" s="547"/>
      <c r="J48" s="604" t="str">
        <f t="shared" ref="J48:J65" si="65">IFERROR(AC48,"")</f>
        <v/>
      </c>
      <c r="K48" s="543" t="str">
        <f t="shared" si="62"/>
        <v/>
      </c>
      <c r="L48" s="544" t="str">
        <f t="shared" si="52"/>
        <v/>
      </c>
      <c r="M48" s="544" t="str">
        <f t="shared" si="53"/>
        <v/>
      </c>
      <c r="N48" s="608" t="str">
        <f t="shared" si="54"/>
        <v/>
      </c>
      <c r="O48" s="547"/>
      <c r="P48" s="604" t="str">
        <f t="shared" ref="P48:P65" si="66">IFERROR(AD48,"")</f>
        <v/>
      </c>
      <c r="Q48" s="543" t="str">
        <f t="shared" si="55"/>
        <v/>
      </c>
      <c r="R48" s="544" t="str">
        <f t="shared" si="56"/>
        <v/>
      </c>
      <c r="S48" s="544" t="str">
        <f t="shared" si="57"/>
        <v/>
      </c>
      <c r="T48" s="608" t="str">
        <f t="shared" si="58"/>
        <v/>
      </c>
      <c r="U48" s="499"/>
      <c r="V48" s="289"/>
      <c r="Z48" t="e">
        <f t="shared" ref="Z48:Z66" si="67">LARGE($BE$16:$BE$66,B48)</f>
        <v>#NUM!</v>
      </c>
      <c r="AA48" t="e">
        <f t="shared" ref="AA48:AA66" si="68">MATCH(Z48,$BE$16:$BE$66,0)</f>
        <v>#NUM!</v>
      </c>
      <c r="AB48" t="e">
        <f t="shared" ref="AB48:AB66" si="69">INDEX($AJ$16:$AJ$66,AA48)</f>
        <v>#NUM!</v>
      </c>
      <c r="AC48" s="16" t="e">
        <f t="shared" ref="AC48:AC66" si="70">INDEX($AN$16:$AN$66,AA48)</f>
        <v>#NUM!</v>
      </c>
      <c r="AD48" s="16" t="e">
        <f t="shared" ref="AD48:AD66" si="71">INDEX($AW$16:$AW$66,AA48)</f>
        <v>#NUM!</v>
      </c>
      <c r="AE48" s="21"/>
      <c r="AF48" s="21"/>
      <c r="AG48" s="16"/>
      <c r="AH48" s="16"/>
      <c r="AI48" t="e">
        <f>SMALL('TRADE LOG'!$AQ$15:$AQ$9733,'TRADE LOG'!B47)</f>
        <v>#NUM!</v>
      </c>
      <c r="AJ48" t="str">
        <f t="shared" ref="AJ48:AJ66" si="72">IFERROR(INDEX(StockLog,AI48),"")</f>
        <v/>
      </c>
      <c r="AK48">
        <f t="shared" ref="AK48:AK66" si="73">(SUMIFS(BuyAmount,StockLog,AJ48,ActionLog,"buy"))</f>
        <v>0</v>
      </c>
      <c r="AL48">
        <f t="shared" ref="AL48:AL66" si="74">SUMIFS(PNLwFees,StockLog,AJ48,ActionLog,"BUY",WL,"W")</f>
        <v>0</v>
      </c>
      <c r="AM48">
        <f t="shared" ref="AM48:AM66" si="75">SUMIFS(PNLwFees,StockLog,AJ48,ActionLog,"BUY",WL,"L")</f>
        <v>0</v>
      </c>
      <c r="AN48">
        <f t="shared" ref="AN48:AN66" si="76">AL48+AM48</f>
        <v>0</v>
      </c>
      <c r="AP48">
        <f t="shared" ref="AP48:AP66" si="77">(COUNTIFS(StockLog,AJ48,ActionLog,"buy",StockLog,"&lt;&gt;0"))</f>
        <v>0</v>
      </c>
      <c r="AQ48">
        <f t="shared" ref="AQ48:AQ66" si="78">(COUNTIFS(StockLog,AJ48,PNLwFees,"&gt;0",ActionLog,"buy"))</f>
        <v>0</v>
      </c>
      <c r="AR48" t="e">
        <f t="shared" ref="AR48:AR66" si="79">AQ48/AP48</f>
        <v>#DIV/0!</v>
      </c>
      <c r="AS48" t="e">
        <f t="shared" ref="AS48:AS66" si="80">CONCATENATE(AP48," (",TEXT(AR48,"0.0%"),")")</f>
        <v>#DIV/0!</v>
      </c>
      <c r="AT48">
        <f t="shared" ref="AT48:AT66" si="81">SUMIFS(NetAmount,StockLog,AJ48,ActionLog,"sell")</f>
        <v>0</v>
      </c>
      <c r="AU48">
        <f t="shared" ref="AU48:AU66" si="82">SUMIFS(PNLwFees,StockLog,AJ48,ActionLog,"sell",WL,"W")</f>
        <v>0</v>
      </c>
      <c r="AV48">
        <f t="shared" ref="AV48:AV66" si="83">SUMIFS(PNLwFees,StockLog,AJ48,ActionLog,"sell",WL,"L")</f>
        <v>0</v>
      </c>
      <c r="AW48">
        <f t="shared" ref="AW48:AW66" si="84">AU48+AV48</f>
        <v>0</v>
      </c>
      <c r="AY48">
        <f t="shared" ref="AY48:AY66" si="85">(COUNTIFS(StockLog,AJ48,ActionLog,"sell",StockLog,"&lt;&gt;0"))</f>
        <v>0</v>
      </c>
      <c r="AZ48">
        <f t="shared" ref="AZ48:AZ66" si="86">(COUNTIFS(StockLog,AJ48,WL,"W",ActionLog,"sell"))</f>
        <v>0</v>
      </c>
      <c r="BA48" t="e">
        <f t="shared" ref="BA48:BA66" si="87">AZ48/AY48</f>
        <v>#DIV/0!</v>
      </c>
      <c r="BB48" t="e">
        <f t="shared" ref="BB48:BB66" si="88">CONCATENATE(AY48," (",TEXT(BA48,"0.0%"),")")</f>
        <v>#DIV/0!</v>
      </c>
      <c r="BC48">
        <f t="shared" ref="BC48:BC66" si="89">AL48+AU48</f>
        <v>0</v>
      </c>
      <c r="BD48">
        <f t="shared" ref="BD48:BD66" si="90">AV48+AM48</f>
        <v>0</v>
      </c>
      <c r="BE48" t="str">
        <f>IF(AJ48="","",BD48+BC48+'TRADE LOG'!AR47)</f>
        <v/>
      </c>
      <c r="BF48">
        <f t="shared" ref="BF48:BF66" si="91">AP48+AY48</f>
        <v>0</v>
      </c>
      <c r="BG48">
        <f t="shared" ref="BG48:BG66" si="92">AQ48+AZ48</f>
        <v>0</v>
      </c>
      <c r="BH48" t="e">
        <f t="shared" ref="BH48:BH66" si="93">BG48/BF48</f>
        <v>#DIV/0!</v>
      </c>
      <c r="BI48" t="e">
        <f t="shared" ref="BI48:BI66" si="94">CONCATENATE(BF48," (",TEXT(BH48,"0.0%"),")")</f>
        <v>#DIV/0!</v>
      </c>
      <c r="BJ48">
        <f t="shared" ref="BJ48:BJ66" si="95">AK48+AT48</f>
        <v>0</v>
      </c>
      <c r="BK48" t="e">
        <f t="shared" ref="BK48:BK66" si="96">BE48/BJ48</f>
        <v>#VALUE!</v>
      </c>
      <c r="BL48" t="e">
        <f t="shared" ref="BL48:BL66" si="97">BC48/BG48</f>
        <v>#DIV/0!</v>
      </c>
      <c r="BM48" t="e">
        <f t="shared" ref="BM48:BM66" si="98">BD48/(BF48-BG48)</f>
        <v>#DIV/0!</v>
      </c>
      <c r="BN48" t="e">
        <f t="shared" ref="BN48:BN66" si="99">(BL48*BH48)-((1-BH48)*-BM48)</f>
        <v>#DIV/0!</v>
      </c>
      <c r="BO48" t="e">
        <f t="shared" ref="BO48:BO66" si="100">BL48/-BM48</f>
        <v>#DIV/0!</v>
      </c>
      <c r="BP48" t="e">
        <f t="shared" ref="BP48:BP66" si="101">(BL48*BH48)/((1-BH48)*-BM48)</f>
        <v>#DIV/0!</v>
      </c>
      <c r="BQ48">
        <f t="shared" si="59"/>
        <v>0</v>
      </c>
      <c r="BR48">
        <f t="shared" si="63"/>
        <v>0</v>
      </c>
      <c r="BS48" t="e">
        <f t="shared" ref="BS48:BS66" si="102">(BQ48*AR48)-((1-AR48)*-BR48)</f>
        <v>#DIV/0!</v>
      </c>
      <c r="BT48" t="e">
        <f t="shared" ref="BT48:BT66" si="103">BQ48/-BR48</f>
        <v>#DIV/0!</v>
      </c>
      <c r="BU48" t="e">
        <f t="shared" ref="BU48:BU66" si="104">(BQ48*AR48)/((1-AR48)*-BR48)</f>
        <v>#DIV/0!</v>
      </c>
      <c r="BV48">
        <f t="shared" si="60"/>
        <v>0</v>
      </c>
      <c r="BW48">
        <f t="shared" si="61"/>
        <v>0</v>
      </c>
      <c r="BX48" t="e">
        <f t="shared" ref="BX48:BX66" si="105">(BV48*BA48)-((1-BA48)*-BW48)</f>
        <v>#DIV/0!</v>
      </c>
      <c r="BY48" t="e">
        <f t="shared" ref="BY48:BY66" si="106">BV48/-BW48</f>
        <v>#DIV/0!</v>
      </c>
      <c r="BZ48" t="e">
        <f t="shared" ref="BZ48:BZ66" si="107">(BV48*BA48)/((1-BA48)*-BW48)</f>
        <v>#DIV/0!</v>
      </c>
    </row>
    <row r="49" spans="2:78" ht="21.95" customHeight="1">
      <c r="B49" s="344">
        <v>34</v>
      </c>
      <c r="C49" s="542" t="str">
        <f t="shared" si="47"/>
        <v/>
      </c>
      <c r="D49" s="599" t="str">
        <f t="shared" si="64"/>
        <v/>
      </c>
      <c r="E49" s="543" t="str">
        <f t="shared" si="48"/>
        <v/>
      </c>
      <c r="F49" s="544" t="str">
        <f t="shared" si="49"/>
        <v/>
      </c>
      <c r="G49" s="545" t="str">
        <f t="shared" si="50"/>
        <v/>
      </c>
      <c r="H49" s="608" t="str">
        <f t="shared" si="51"/>
        <v/>
      </c>
      <c r="I49" s="547"/>
      <c r="J49" s="604" t="str">
        <f t="shared" si="65"/>
        <v/>
      </c>
      <c r="K49" s="543" t="str">
        <f t="shared" si="62"/>
        <v/>
      </c>
      <c r="L49" s="544" t="str">
        <f t="shared" si="52"/>
        <v/>
      </c>
      <c r="M49" s="544" t="str">
        <f t="shared" si="53"/>
        <v/>
      </c>
      <c r="N49" s="608" t="str">
        <f t="shared" si="54"/>
        <v/>
      </c>
      <c r="O49" s="547"/>
      <c r="P49" s="604" t="str">
        <f t="shared" si="66"/>
        <v/>
      </c>
      <c r="Q49" s="543" t="str">
        <f t="shared" si="55"/>
        <v/>
      </c>
      <c r="R49" s="544" t="str">
        <f t="shared" si="56"/>
        <v/>
      </c>
      <c r="S49" s="544" t="str">
        <f t="shared" si="57"/>
        <v/>
      </c>
      <c r="T49" s="608" t="str">
        <f t="shared" si="58"/>
        <v/>
      </c>
      <c r="U49" s="499"/>
      <c r="V49" s="289"/>
      <c r="Z49" t="e">
        <f t="shared" si="67"/>
        <v>#NUM!</v>
      </c>
      <c r="AA49" t="e">
        <f t="shared" si="68"/>
        <v>#NUM!</v>
      </c>
      <c r="AB49" t="e">
        <f t="shared" si="69"/>
        <v>#NUM!</v>
      </c>
      <c r="AC49" s="16" t="e">
        <f t="shared" si="70"/>
        <v>#NUM!</v>
      </c>
      <c r="AD49" s="16" t="e">
        <f t="shared" si="71"/>
        <v>#NUM!</v>
      </c>
      <c r="AE49" s="21"/>
      <c r="AF49" s="21"/>
      <c r="AG49" s="16"/>
      <c r="AH49" s="16"/>
      <c r="AI49" t="e">
        <f>SMALL('TRADE LOG'!$AQ$15:$AQ$9733,'TRADE LOG'!B48)</f>
        <v>#NUM!</v>
      </c>
      <c r="AJ49" t="str">
        <f t="shared" si="72"/>
        <v/>
      </c>
      <c r="AK49">
        <f t="shared" si="73"/>
        <v>0</v>
      </c>
      <c r="AL49">
        <f t="shared" si="74"/>
        <v>0</v>
      </c>
      <c r="AM49">
        <f t="shared" si="75"/>
        <v>0</v>
      </c>
      <c r="AN49">
        <f t="shared" si="76"/>
        <v>0</v>
      </c>
      <c r="AP49">
        <f t="shared" si="77"/>
        <v>0</v>
      </c>
      <c r="AQ49">
        <f t="shared" si="78"/>
        <v>0</v>
      </c>
      <c r="AR49" t="e">
        <f t="shared" si="79"/>
        <v>#DIV/0!</v>
      </c>
      <c r="AS49" t="e">
        <f t="shared" si="80"/>
        <v>#DIV/0!</v>
      </c>
      <c r="AT49">
        <f t="shared" si="81"/>
        <v>0</v>
      </c>
      <c r="AU49">
        <f t="shared" si="82"/>
        <v>0</v>
      </c>
      <c r="AV49">
        <f t="shared" si="83"/>
        <v>0</v>
      </c>
      <c r="AW49">
        <f t="shared" si="84"/>
        <v>0</v>
      </c>
      <c r="AY49">
        <f t="shared" si="85"/>
        <v>0</v>
      </c>
      <c r="AZ49">
        <f t="shared" si="86"/>
        <v>0</v>
      </c>
      <c r="BA49" t="e">
        <f t="shared" si="87"/>
        <v>#DIV/0!</v>
      </c>
      <c r="BB49" t="e">
        <f t="shared" si="88"/>
        <v>#DIV/0!</v>
      </c>
      <c r="BC49">
        <f t="shared" si="89"/>
        <v>0</v>
      </c>
      <c r="BD49">
        <f t="shared" si="90"/>
        <v>0</v>
      </c>
      <c r="BE49" t="str">
        <f>IF(AJ49="","",BD49+BC49+'TRADE LOG'!AR48)</f>
        <v/>
      </c>
      <c r="BF49">
        <f t="shared" si="91"/>
        <v>0</v>
      </c>
      <c r="BG49">
        <f t="shared" si="92"/>
        <v>0</v>
      </c>
      <c r="BH49" t="e">
        <f t="shared" si="93"/>
        <v>#DIV/0!</v>
      </c>
      <c r="BI49" t="e">
        <f t="shared" si="94"/>
        <v>#DIV/0!</v>
      </c>
      <c r="BJ49">
        <f t="shared" si="95"/>
        <v>0</v>
      </c>
      <c r="BK49" t="e">
        <f t="shared" si="96"/>
        <v>#VALUE!</v>
      </c>
      <c r="BL49" t="e">
        <f t="shared" si="97"/>
        <v>#DIV/0!</v>
      </c>
      <c r="BM49" t="e">
        <f t="shared" si="98"/>
        <v>#DIV/0!</v>
      </c>
      <c r="BN49" t="e">
        <f t="shared" si="99"/>
        <v>#DIV/0!</v>
      </c>
      <c r="BO49" t="e">
        <f t="shared" si="100"/>
        <v>#DIV/0!</v>
      </c>
      <c r="BP49" t="e">
        <f t="shared" si="101"/>
        <v>#DIV/0!</v>
      </c>
      <c r="BQ49">
        <f t="shared" si="59"/>
        <v>0</v>
      </c>
      <c r="BR49">
        <f t="shared" si="63"/>
        <v>0</v>
      </c>
      <c r="BS49" t="e">
        <f t="shared" si="102"/>
        <v>#DIV/0!</v>
      </c>
      <c r="BT49" t="e">
        <f t="shared" si="103"/>
        <v>#DIV/0!</v>
      </c>
      <c r="BU49" t="e">
        <f t="shared" si="104"/>
        <v>#DIV/0!</v>
      </c>
      <c r="BV49">
        <f t="shared" si="60"/>
        <v>0</v>
      </c>
      <c r="BW49">
        <f t="shared" si="61"/>
        <v>0</v>
      </c>
      <c r="BX49" t="e">
        <f t="shared" si="105"/>
        <v>#DIV/0!</v>
      </c>
      <c r="BY49" t="e">
        <f t="shared" si="106"/>
        <v>#DIV/0!</v>
      </c>
      <c r="BZ49" t="e">
        <f t="shared" si="107"/>
        <v>#DIV/0!</v>
      </c>
    </row>
    <row r="50" spans="2:78" ht="21.95" customHeight="1">
      <c r="B50" s="344">
        <v>35</v>
      </c>
      <c r="C50" s="542" t="str">
        <f t="shared" si="47"/>
        <v/>
      </c>
      <c r="D50" s="599" t="str">
        <f t="shared" si="64"/>
        <v/>
      </c>
      <c r="E50" s="543" t="str">
        <f t="shared" si="48"/>
        <v/>
      </c>
      <c r="F50" s="544" t="str">
        <f t="shared" si="49"/>
        <v/>
      </c>
      <c r="G50" s="545" t="str">
        <f t="shared" si="50"/>
        <v/>
      </c>
      <c r="H50" s="608" t="str">
        <f t="shared" si="51"/>
        <v/>
      </c>
      <c r="I50" s="547"/>
      <c r="J50" s="604" t="str">
        <f t="shared" si="65"/>
        <v/>
      </c>
      <c r="K50" s="543" t="str">
        <f t="shared" si="62"/>
        <v/>
      </c>
      <c r="L50" s="544" t="str">
        <f t="shared" si="52"/>
        <v/>
      </c>
      <c r="M50" s="544" t="str">
        <f t="shared" si="53"/>
        <v/>
      </c>
      <c r="N50" s="608" t="str">
        <f t="shared" si="54"/>
        <v/>
      </c>
      <c r="O50" s="547"/>
      <c r="P50" s="604" t="str">
        <f t="shared" si="66"/>
        <v/>
      </c>
      <c r="Q50" s="543" t="str">
        <f t="shared" si="55"/>
        <v/>
      </c>
      <c r="R50" s="544" t="str">
        <f t="shared" si="56"/>
        <v/>
      </c>
      <c r="S50" s="544" t="str">
        <f t="shared" si="57"/>
        <v/>
      </c>
      <c r="T50" s="608" t="str">
        <f t="shared" si="58"/>
        <v/>
      </c>
      <c r="U50" s="499"/>
      <c r="V50" s="289"/>
      <c r="Z50" t="e">
        <f t="shared" si="67"/>
        <v>#NUM!</v>
      </c>
      <c r="AA50" t="e">
        <f t="shared" si="68"/>
        <v>#NUM!</v>
      </c>
      <c r="AB50" t="e">
        <f t="shared" si="69"/>
        <v>#NUM!</v>
      </c>
      <c r="AC50" s="16" t="e">
        <f t="shared" si="70"/>
        <v>#NUM!</v>
      </c>
      <c r="AD50" s="16" t="e">
        <f t="shared" si="71"/>
        <v>#NUM!</v>
      </c>
      <c r="AE50" s="21"/>
      <c r="AF50" s="21"/>
      <c r="AG50" s="16"/>
      <c r="AH50" s="16"/>
      <c r="AI50" t="e">
        <f>SMALL('TRADE LOG'!$AQ$15:$AQ$9733,'TRADE LOG'!B49)</f>
        <v>#NUM!</v>
      </c>
      <c r="AJ50" t="str">
        <f t="shared" si="72"/>
        <v/>
      </c>
      <c r="AK50">
        <f t="shared" si="73"/>
        <v>0</v>
      </c>
      <c r="AL50">
        <f t="shared" si="74"/>
        <v>0</v>
      </c>
      <c r="AM50">
        <f t="shared" si="75"/>
        <v>0</v>
      </c>
      <c r="AN50">
        <f t="shared" si="76"/>
        <v>0</v>
      </c>
      <c r="AP50">
        <f t="shared" si="77"/>
        <v>0</v>
      </c>
      <c r="AQ50">
        <f t="shared" si="78"/>
        <v>0</v>
      </c>
      <c r="AR50" t="e">
        <f t="shared" si="79"/>
        <v>#DIV/0!</v>
      </c>
      <c r="AS50" t="e">
        <f t="shared" si="80"/>
        <v>#DIV/0!</v>
      </c>
      <c r="AT50">
        <f t="shared" si="81"/>
        <v>0</v>
      </c>
      <c r="AU50">
        <f t="shared" si="82"/>
        <v>0</v>
      </c>
      <c r="AV50">
        <f t="shared" si="83"/>
        <v>0</v>
      </c>
      <c r="AW50">
        <f t="shared" si="84"/>
        <v>0</v>
      </c>
      <c r="AY50">
        <f t="shared" si="85"/>
        <v>0</v>
      </c>
      <c r="AZ50">
        <f t="shared" si="86"/>
        <v>0</v>
      </c>
      <c r="BA50" t="e">
        <f t="shared" si="87"/>
        <v>#DIV/0!</v>
      </c>
      <c r="BB50" t="e">
        <f t="shared" si="88"/>
        <v>#DIV/0!</v>
      </c>
      <c r="BC50">
        <f t="shared" si="89"/>
        <v>0</v>
      </c>
      <c r="BD50">
        <f t="shared" si="90"/>
        <v>0</v>
      </c>
      <c r="BE50" t="str">
        <f>IF(AJ50="","",BD50+BC50+'TRADE LOG'!AR49)</f>
        <v/>
      </c>
      <c r="BF50">
        <f t="shared" si="91"/>
        <v>0</v>
      </c>
      <c r="BG50">
        <f t="shared" si="92"/>
        <v>0</v>
      </c>
      <c r="BH50" t="e">
        <f t="shared" si="93"/>
        <v>#DIV/0!</v>
      </c>
      <c r="BI50" t="e">
        <f t="shared" si="94"/>
        <v>#DIV/0!</v>
      </c>
      <c r="BJ50">
        <f t="shared" si="95"/>
        <v>0</v>
      </c>
      <c r="BK50" t="e">
        <f t="shared" si="96"/>
        <v>#VALUE!</v>
      </c>
      <c r="BL50" t="e">
        <f t="shared" si="97"/>
        <v>#DIV/0!</v>
      </c>
      <c r="BM50" t="e">
        <f t="shared" si="98"/>
        <v>#DIV/0!</v>
      </c>
      <c r="BN50" t="e">
        <f t="shared" si="99"/>
        <v>#DIV/0!</v>
      </c>
      <c r="BO50" t="e">
        <f t="shared" si="100"/>
        <v>#DIV/0!</v>
      </c>
      <c r="BP50" t="e">
        <f t="shared" si="101"/>
        <v>#DIV/0!</v>
      </c>
      <c r="BQ50">
        <f t="shared" si="59"/>
        <v>0</v>
      </c>
      <c r="BR50">
        <f t="shared" si="63"/>
        <v>0</v>
      </c>
      <c r="BS50" t="e">
        <f t="shared" si="102"/>
        <v>#DIV/0!</v>
      </c>
      <c r="BT50" t="e">
        <f t="shared" si="103"/>
        <v>#DIV/0!</v>
      </c>
      <c r="BU50" t="e">
        <f t="shared" si="104"/>
        <v>#DIV/0!</v>
      </c>
      <c r="BV50">
        <f t="shared" si="60"/>
        <v>0</v>
      </c>
      <c r="BW50">
        <f t="shared" si="61"/>
        <v>0</v>
      </c>
      <c r="BX50" t="e">
        <f t="shared" si="105"/>
        <v>#DIV/0!</v>
      </c>
      <c r="BY50" t="e">
        <f t="shared" si="106"/>
        <v>#DIV/0!</v>
      </c>
      <c r="BZ50" t="e">
        <f t="shared" si="107"/>
        <v>#DIV/0!</v>
      </c>
    </row>
    <row r="51" spans="2:78" ht="21.95" customHeight="1">
      <c r="B51" s="344">
        <v>36</v>
      </c>
      <c r="C51" s="542" t="str">
        <f t="shared" si="47"/>
        <v/>
      </c>
      <c r="D51" s="599" t="str">
        <f t="shared" si="64"/>
        <v/>
      </c>
      <c r="E51" s="543" t="str">
        <f t="shared" si="48"/>
        <v/>
      </c>
      <c r="F51" s="544" t="str">
        <f t="shared" si="49"/>
        <v/>
      </c>
      <c r="G51" s="545" t="str">
        <f t="shared" si="50"/>
        <v/>
      </c>
      <c r="H51" s="608" t="str">
        <f t="shared" si="51"/>
        <v/>
      </c>
      <c r="I51" s="547"/>
      <c r="J51" s="604" t="str">
        <f t="shared" si="65"/>
        <v/>
      </c>
      <c r="K51" s="543" t="str">
        <f t="shared" si="62"/>
        <v/>
      </c>
      <c r="L51" s="544" t="str">
        <f t="shared" si="52"/>
        <v/>
      </c>
      <c r="M51" s="544" t="str">
        <f t="shared" si="53"/>
        <v/>
      </c>
      <c r="N51" s="608" t="str">
        <f t="shared" si="54"/>
        <v/>
      </c>
      <c r="O51" s="547"/>
      <c r="P51" s="604" t="str">
        <f t="shared" si="66"/>
        <v/>
      </c>
      <c r="Q51" s="543" t="str">
        <f t="shared" si="55"/>
        <v/>
      </c>
      <c r="R51" s="544" t="str">
        <f t="shared" si="56"/>
        <v/>
      </c>
      <c r="S51" s="544" t="str">
        <f t="shared" si="57"/>
        <v/>
      </c>
      <c r="T51" s="608" t="str">
        <f t="shared" si="58"/>
        <v/>
      </c>
      <c r="U51" s="499"/>
      <c r="V51" s="289"/>
      <c r="Z51" t="e">
        <f t="shared" si="67"/>
        <v>#NUM!</v>
      </c>
      <c r="AA51" t="e">
        <f t="shared" si="68"/>
        <v>#NUM!</v>
      </c>
      <c r="AB51" t="e">
        <f t="shared" si="69"/>
        <v>#NUM!</v>
      </c>
      <c r="AC51" s="16" t="e">
        <f t="shared" si="70"/>
        <v>#NUM!</v>
      </c>
      <c r="AD51" s="16" t="e">
        <f t="shared" si="71"/>
        <v>#NUM!</v>
      </c>
      <c r="AE51" s="21"/>
      <c r="AF51" s="21"/>
      <c r="AG51" s="16"/>
      <c r="AH51" s="16"/>
      <c r="AI51" t="e">
        <f>SMALL('TRADE LOG'!$AQ$15:$AQ$9733,'TRADE LOG'!B50)</f>
        <v>#NUM!</v>
      </c>
      <c r="AJ51" t="str">
        <f t="shared" si="72"/>
        <v/>
      </c>
      <c r="AK51">
        <f t="shared" si="73"/>
        <v>0</v>
      </c>
      <c r="AL51">
        <f t="shared" si="74"/>
        <v>0</v>
      </c>
      <c r="AM51">
        <f t="shared" si="75"/>
        <v>0</v>
      </c>
      <c r="AN51">
        <f t="shared" si="76"/>
        <v>0</v>
      </c>
      <c r="AP51">
        <f t="shared" si="77"/>
        <v>0</v>
      </c>
      <c r="AQ51">
        <f t="shared" si="78"/>
        <v>0</v>
      </c>
      <c r="AR51" t="e">
        <f t="shared" si="79"/>
        <v>#DIV/0!</v>
      </c>
      <c r="AS51" t="e">
        <f t="shared" si="80"/>
        <v>#DIV/0!</v>
      </c>
      <c r="AT51">
        <f t="shared" si="81"/>
        <v>0</v>
      </c>
      <c r="AU51">
        <f t="shared" si="82"/>
        <v>0</v>
      </c>
      <c r="AV51">
        <f t="shared" si="83"/>
        <v>0</v>
      </c>
      <c r="AW51">
        <f t="shared" si="84"/>
        <v>0</v>
      </c>
      <c r="AY51">
        <f t="shared" si="85"/>
        <v>0</v>
      </c>
      <c r="AZ51">
        <f t="shared" si="86"/>
        <v>0</v>
      </c>
      <c r="BA51" t="e">
        <f t="shared" si="87"/>
        <v>#DIV/0!</v>
      </c>
      <c r="BB51" t="e">
        <f t="shared" si="88"/>
        <v>#DIV/0!</v>
      </c>
      <c r="BC51">
        <f t="shared" si="89"/>
        <v>0</v>
      </c>
      <c r="BD51">
        <f t="shared" si="90"/>
        <v>0</v>
      </c>
      <c r="BE51" t="str">
        <f>IF(AJ51="","",BD51+BC51+'TRADE LOG'!AR50)</f>
        <v/>
      </c>
      <c r="BF51">
        <f t="shared" si="91"/>
        <v>0</v>
      </c>
      <c r="BG51">
        <f t="shared" si="92"/>
        <v>0</v>
      </c>
      <c r="BH51" t="e">
        <f t="shared" si="93"/>
        <v>#DIV/0!</v>
      </c>
      <c r="BI51" t="e">
        <f t="shared" si="94"/>
        <v>#DIV/0!</v>
      </c>
      <c r="BJ51">
        <f t="shared" si="95"/>
        <v>0</v>
      </c>
      <c r="BK51" t="e">
        <f t="shared" si="96"/>
        <v>#VALUE!</v>
      </c>
      <c r="BL51" t="e">
        <f t="shared" si="97"/>
        <v>#DIV/0!</v>
      </c>
      <c r="BM51" t="e">
        <f t="shared" si="98"/>
        <v>#DIV/0!</v>
      </c>
      <c r="BN51" t="e">
        <f t="shared" si="99"/>
        <v>#DIV/0!</v>
      </c>
      <c r="BO51" t="e">
        <f t="shared" si="100"/>
        <v>#DIV/0!</v>
      </c>
      <c r="BP51" t="e">
        <f t="shared" si="101"/>
        <v>#DIV/0!</v>
      </c>
      <c r="BQ51">
        <f t="shared" si="59"/>
        <v>0</v>
      </c>
      <c r="BR51">
        <f t="shared" si="63"/>
        <v>0</v>
      </c>
      <c r="BS51" t="e">
        <f t="shared" si="102"/>
        <v>#DIV/0!</v>
      </c>
      <c r="BT51" t="e">
        <f t="shared" si="103"/>
        <v>#DIV/0!</v>
      </c>
      <c r="BU51" t="e">
        <f t="shared" si="104"/>
        <v>#DIV/0!</v>
      </c>
      <c r="BV51">
        <f t="shared" si="60"/>
        <v>0</v>
      </c>
      <c r="BW51">
        <f t="shared" si="61"/>
        <v>0</v>
      </c>
      <c r="BX51" t="e">
        <f t="shared" si="105"/>
        <v>#DIV/0!</v>
      </c>
      <c r="BY51" t="e">
        <f t="shared" si="106"/>
        <v>#DIV/0!</v>
      </c>
      <c r="BZ51" t="e">
        <f t="shared" si="107"/>
        <v>#DIV/0!</v>
      </c>
    </row>
    <row r="52" spans="2:78" ht="21.95" customHeight="1">
      <c r="B52" s="344">
        <v>37</v>
      </c>
      <c r="C52" s="542" t="str">
        <f t="shared" si="47"/>
        <v/>
      </c>
      <c r="D52" s="599" t="str">
        <f t="shared" si="64"/>
        <v/>
      </c>
      <c r="E52" s="543" t="str">
        <f t="shared" si="48"/>
        <v/>
      </c>
      <c r="F52" s="544" t="str">
        <f t="shared" si="49"/>
        <v/>
      </c>
      <c r="G52" s="545" t="str">
        <f t="shared" si="50"/>
        <v/>
      </c>
      <c r="H52" s="608" t="str">
        <f t="shared" si="51"/>
        <v/>
      </c>
      <c r="I52" s="547"/>
      <c r="J52" s="604" t="str">
        <f t="shared" si="65"/>
        <v/>
      </c>
      <c r="K52" s="543" t="str">
        <f t="shared" si="62"/>
        <v/>
      </c>
      <c r="L52" s="544" t="str">
        <f t="shared" si="52"/>
        <v/>
      </c>
      <c r="M52" s="544" t="str">
        <f t="shared" si="53"/>
        <v/>
      </c>
      <c r="N52" s="608" t="str">
        <f t="shared" si="54"/>
        <v/>
      </c>
      <c r="O52" s="547"/>
      <c r="P52" s="604" t="str">
        <f t="shared" si="66"/>
        <v/>
      </c>
      <c r="Q52" s="543" t="str">
        <f t="shared" si="55"/>
        <v/>
      </c>
      <c r="R52" s="544" t="str">
        <f t="shared" si="56"/>
        <v/>
      </c>
      <c r="S52" s="544" t="str">
        <f t="shared" si="57"/>
        <v/>
      </c>
      <c r="T52" s="608" t="str">
        <f t="shared" si="58"/>
        <v/>
      </c>
      <c r="U52" s="499"/>
      <c r="V52" s="289"/>
      <c r="Z52" t="e">
        <f t="shared" si="67"/>
        <v>#NUM!</v>
      </c>
      <c r="AA52" t="e">
        <f t="shared" si="68"/>
        <v>#NUM!</v>
      </c>
      <c r="AB52" t="e">
        <f t="shared" si="69"/>
        <v>#NUM!</v>
      </c>
      <c r="AC52" s="16" t="e">
        <f t="shared" si="70"/>
        <v>#NUM!</v>
      </c>
      <c r="AD52" s="16" t="e">
        <f t="shared" si="71"/>
        <v>#NUM!</v>
      </c>
      <c r="AE52" s="21"/>
      <c r="AF52" s="21"/>
      <c r="AG52" s="16"/>
      <c r="AH52" s="16"/>
      <c r="AI52" t="e">
        <f>SMALL('TRADE LOG'!$AQ$15:$AQ$9733,'TRADE LOG'!B51)</f>
        <v>#NUM!</v>
      </c>
      <c r="AJ52" t="str">
        <f t="shared" si="72"/>
        <v/>
      </c>
      <c r="AK52">
        <f t="shared" si="73"/>
        <v>0</v>
      </c>
      <c r="AL52">
        <f t="shared" si="74"/>
        <v>0</v>
      </c>
      <c r="AM52">
        <f t="shared" si="75"/>
        <v>0</v>
      </c>
      <c r="AN52">
        <f t="shared" si="76"/>
        <v>0</v>
      </c>
      <c r="AP52">
        <f t="shared" si="77"/>
        <v>0</v>
      </c>
      <c r="AQ52">
        <f t="shared" si="78"/>
        <v>0</v>
      </c>
      <c r="AR52" t="e">
        <f t="shared" si="79"/>
        <v>#DIV/0!</v>
      </c>
      <c r="AS52" t="e">
        <f t="shared" si="80"/>
        <v>#DIV/0!</v>
      </c>
      <c r="AT52">
        <f t="shared" si="81"/>
        <v>0</v>
      </c>
      <c r="AU52">
        <f t="shared" si="82"/>
        <v>0</v>
      </c>
      <c r="AV52">
        <f t="shared" si="83"/>
        <v>0</v>
      </c>
      <c r="AW52">
        <f t="shared" si="84"/>
        <v>0</v>
      </c>
      <c r="AY52">
        <f t="shared" si="85"/>
        <v>0</v>
      </c>
      <c r="AZ52">
        <f t="shared" si="86"/>
        <v>0</v>
      </c>
      <c r="BA52" t="e">
        <f t="shared" si="87"/>
        <v>#DIV/0!</v>
      </c>
      <c r="BB52" t="e">
        <f t="shared" si="88"/>
        <v>#DIV/0!</v>
      </c>
      <c r="BC52">
        <f t="shared" si="89"/>
        <v>0</v>
      </c>
      <c r="BD52">
        <f t="shared" si="90"/>
        <v>0</v>
      </c>
      <c r="BE52" t="str">
        <f>IF(AJ52="","",BD52+BC52+'TRADE LOG'!AR51)</f>
        <v/>
      </c>
      <c r="BF52">
        <f t="shared" si="91"/>
        <v>0</v>
      </c>
      <c r="BG52">
        <f t="shared" si="92"/>
        <v>0</v>
      </c>
      <c r="BH52" t="e">
        <f t="shared" si="93"/>
        <v>#DIV/0!</v>
      </c>
      <c r="BI52" t="e">
        <f t="shared" si="94"/>
        <v>#DIV/0!</v>
      </c>
      <c r="BJ52">
        <f t="shared" si="95"/>
        <v>0</v>
      </c>
      <c r="BK52" t="e">
        <f t="shared" si="96"/>
        <v>#VALUE!</v>
      </c>
      <c r="BL52" t="e">
        <f t="shared" si="97"/>
        <v>#DIV/0!</v>
      </c>
      <c r="BM52" t="e">
        <f t="shared" si="98"/>
        <v>#DIV/0!</v>
      </c>
      <c r="BN52" t="e">
        <f t="shared" si="99"/>
        <v>#DIV/0!</v>
      </c>
      <c r="BO52" t="e">
        <f t="shared" si="100"/>
        <v>#DIV/0!</v>
      </c>
      <c r="BP52" t="e">
        <f t="shared" si="101"/>
        <v>#DIV/0!</v>
      </c>
      <c r="BQ52">
        <f t="shared" si="59"/>
        <v>0</v>
      </c>
      <c r="BR52">
        <f t="shared" si="63"/>
        <v>0</v>
      </c>
      <c r="BS52" t="e">
        <f t="shared" si="102"/>
        <v>#DIV/0!</v>
      </c>
      <c r="BT52" t="e">
        <f t="shared" si="103"/>
        <v>#DIV/0!</v>
      </c>
      <c r="BU52" t="e">
        <f t="shared" si="104"/>
        <v>#DIV/0!</v>
      </c>
      <c r="BV52">
        <f t="shared" si="60"/>
        <v>0</v>
      </c>
      <c r="BW52">
        <f t="shared" si="61"/>
        <v>0</v>
      </c>
      <c r="BX52" t="e">
        <f t="shared" si="105"/>
        <v>#DIV/0!</v>
      </c>
      <c r="BY52" t="e">
        <f t="shared" si="106"/>
        <v>#DIV/0!</v>
      </c>
      <c r="BZ52" t="e">
        <f t="shared" si="107"/>
        <v>#DIV/0!</v>
      </c>
    </row>
    <row r="53" spans="2:78" ht="21.95" customHeight="1">
      <c r="B53" s="344">
        <v>38</v>
      </c>
      <c r="C53" s="542" t="str">
        <f t="shared" si="47"/>
        <v/>
      </c>
      <c r="D53" s="599" t="str">
        <f t="shared" si="64"/>
        <v/>
      </c>
      <c r="E53" s="543" t="str">
        <f t="shared" si="48"/>
        <v/>
      </c>
      <c r="F53" s="544" t="str">
        <f t="shared" si="49"/>
        <v/>
      </c>
      <c r="G53" s="545" t="str">
        <f t="shared" si="50"/>
        <v/>
      </c>
      <c r="H53" s="608" t="str">
        <f t="shared" si="51"/>
        <v/>
      </c>
      <c r="I53" s="547"/>
      <c r="J53" s="604" t="str">
        <f t="shared" si="65"/>
        <v/>
      </c>
      <c r="K53" s="543" t="str">
        <f t="shared" si="62"/>
        <v/>
      </c>
      <c r="L53" s="544" t="str">
        <f t="shared" si="52"/>
        <v/>
      </c>
      <c r="M53" s="544" t="str">
        <f t="shared" si="53"/>
        <v/>
      </c>
      <c r="N53" s="608" t="str">
        <f t="shared" si="54"/>
        <v/>
      </c>
      <c r="O53" s="547"/>
      <c r="P53" s="604" t="str">
        <f t="shared" si="66"/>
        <v/>
      </c>
      <c r="Q53" s="543" t="str">
        <f t="shared" si="55"/>
        <v/>
      </c>
      <c r="R53" s="544" t="str">
        <f t="shared" si="56"/>
        <v/>
      </c>
      <c r="S53" s="544" t="str">
        <f t="shared" si="57"/>
        <v/>
      </c>
      <c r="T53" s="608" t="str">
        <f t="shared" si="58"/>
        <v/>
      </c>
      <c r="U53" s="499"/>
      <c r="V53" s="289"/>
      <c r="Z53" t="e">
        <f t="shared" si="67"/>
        <v>#NUM!</v>
      </c>
      <c r="AA53" t="e">
        <f t="shared" si="68"/>
        <v>#NUM!</v>
      </c>
      <c r="AB53" t="e">
        <f t="shared" si="69"/>
        <v>#NUM!</v>
      </c>
      <c r="AC53" s="16" t="e">
        <f t="shared" si="70"/>
        <v>#NUM!</v>
      </c>
      <c r="AD53" s="16" t="e">
        <f t="shared" si="71"/>
        <v>#NUM!</v>
      </c>
      <c r="AE53" s="21"/>
      <c r="AF53" s="21"/>
      <c r="AG53" s="16"/>
      <c r="AH53" s="16"/>
      <c r="AI53" t="e">
        <f>SMALL('TRADE LOG'!$AQ$15:$AQ$9733,'TRADE LOG'!B52)</f>
        <v>#NUM!</v>
      </c>
      <c r="AJ53" t="str">
        <f t="shared" si="72"/>
        <v/>
      </c>
      <c r="AK53">
        <f t="shared" si="73"/>
        <v>0</v>
      </c>
      <c r="AL53">
        <f t="shared" si="74"/>
        <v>0</v>
      </c>
      <c r="AM53">
        <f t="shared" si="75"/>
        <v>0</v>
      </c>
      <c r="AN53">
        <f t="shared" si="76"/>
        <v>0</v>
      </c>
      <c r="AP53">
        <f t="shared" si="77"/>
        <v>0</v>
      </c>
      <c r="AQ53">
        <f t="shared" si="78"/>
        <v>0</v>
      </c>
      <c r="AR53" t="e">
        <f t="shared" si="79"/>
        <v>#DIV/0!</v>
      </c>
      <c r="AS53" t="e">
        <f t="shared" si="80"/>
        <v>#DIV/0!</v>
      </c>
      <c r="AT53">
        <f t="shared" si="81"/>
        <v>0</v>
      </c>
      <c r="AU53">
        <f t="shared" si="82"/>
        <v>0</v>
      </c>
      <c r="AV53">
        <f t="shared" si="83"/>
        <v>0</v>
      </c>
      <c r="AW53">
        <f t="shared" si="84"/>
        <v>0</v>
      </c>
      <c r="AY53">
        <f t="shared" si="85"/>
        <v>0</v>
      </c>
      <c r="AZ53">
        <f t="shared" si="86"/>
        <v>0</v>
      </c>
      <c r="BA53" t="e">
        <f t="shared" si="87"/>
        <v>#DIV/0!</v>
      </c>
      <c r="BB53" t="e">
        <f t="shared" si="88"/>
        <v>#DIV/0!</v>
      </c>
      <c r="BC53">
        <f t="shared" si="89"/>
        <v>0</v>
      </c>
      <c r="BD53">
        <f t="shared" si="90"/>
        <v>0</v>
      </c>
      <c r="BE53" t="str">
        <f>IF(AJ53="","",BD53+BC53+'TRADE LOG'!AR52)</f>
        <v/>
      </c>
      <c r="BF53">
        <f t="shared" si="91"/>
        <v>0</v>
      </c>
      <c r="BG53">
        <f t="shared" si="92"/>
        <v>0</v>
      </c>
      <c r="BH53" t="e">
        <f t="shared" si="93"/>
        <v>#DIV/0!</v>
      </c>
      <c r="BI53" t="e">
        <f t="shared" si="94"/>
        <v>#DIV/0!</v>
      </c>
      <c r="BJ53">
        <f t="shared" si="95"/>
        <v>0</v>
      </c>
      <c r="BK53" t="e">
        <f t="shared" si="96"/>
        <v>#VALUE!</v>
      </c>
      <c r="BL53" t="e">
        <f t="shared" si="97"/>
        <v>#DIV/0!</v>
      </c>
      <c r="BM53" t="e">
        <f t="shared" si="98"/>
        <v>#DIV/0!</v>
      </c>
      <c r="BN53" t="e">
        <f t="shared" si="99"/>
        <v>#DIV/0!</v>
      </c>
      <c r="BO53" t="e">
        <f t="shared" si="100"/>
        <v>#DIV/0!</v>
      </c>
      <c r="BP53" t="e">
        <f t="shared" si="101"/>
        <v>#DIV/0!</v>
      </c>
      <c r="BQ53">
        <f t="shared" si="59"/>
        <v>0</v>
      </c>
      <c r="BR53">
        <f t="shared" si="63"/>
        <v>0</v>
      </c>
      <c r="BS53" t="e">
        <f t="shared" si="102"/>
        <v>#DIV/0!</v>
      </c>
      <c r="BT53" t="e">
        <f t="shared" si="103"/>
        <v>#DIV/0!</v>
      </c>
      <c r="BU53" t="e">
        <f t="shared" si="104"/>
        <v>#DIV/0!</v>
      </c>
      <c r="BV53">
        <f t="shared" si="60"/>
        <v>0</v>
      </c>
      <c r="BW53">
        <f t="shared" si="61"/>
        <v>0</v>
      </c>
      <c r="BX53" t="e">
        <f t="shared" si="105"/>
        <v>#DIV/0!</v>
      </c>
      <c r="BY53" t="e">
        <f t="shared" si="106"/>
        <v>#DIV/0!</v>
      </c>
      <c r="BZ53" t="e">
        <f t="shared" si="107"/>
        <v>#DIV/0!</v>
      </c>
    </row>
    <row r="54" spans="2:78" ht="21.95" customHeight="1">
      <c r="B54" s="344">
        <v>39</v>
      </c>
      <c r="C54" s="542" t="str">
        <f t="shared" si="47"/>
        <v/>
      </c>
      <c r="D54" s="599" t="str">
        <f t="shared" si="64"/>
        <v/>
      </c>
      <c r="E54" s="543" t="str">
        <f t="shared" si="48"/>
        <v/>
      </c>
      <c r="F54" s="544" t="str">
        <f t="shared" si="49"/>
        <v/>
      </c>
      <c r="G54" s="545" t="str">
        <f t="shared" si="50"/>
        <v/>
      </c>
      <c r="H54" s="608" t="str">
        <f t="shared" si="51"/>
        <v/>
      </c>
      <c r="I54" s="547"/>
      <c r="J54" s="604" t="str">
        <f t="shared" si="65"/>
        <v/>
      </c>
      <c r="K54" s="543" t="str">
        <f t="shared" si="62"/>
        <v/>
      </c>
      <c r="L54" s="544" t="str">
        <f t="shared" si="52"/>
        <v/>
      </c>
      <c r="M54" s="544" t="str">
        <f t="shared" si="53"/>
        <v/>
      </c>
      <c r="N54" s="608" t="str">
        <f t="shared" si="54"/>
        <v/>
      </c>
      <c r="O54" s="547"/>
      <c r="P54" s="604" t="str">
        <f t="shared" si="66"/>
        <v/>
      </c>
      <c r="Q54" s="543" t="str">
        <f t="shared" si="55"/>
        <v/>
      </c>
      <c r="R54" s="544" t="str">
        <f t="shared" si="56"/>
        <v/>
      </c>
      <c r="S54" s="544" t="str">
        <f t="shared" si="57"/>
        <v/>
      </c>
      <c r="T54" s="608" t="str">
        <f t="shared" si="58"/>
        <v/>
      </c>
      <c r="U54" s="499"/>
      <c r="V54" s="289"/>
      <c r="Z54" t="e">
        <f t="shared" si="67"/>
        <v>#NUM!</v>
      </c>
      <c r="AA54" t="e">
        <f t="shared" si="68"/>
        <v>#NUM!</v>
      </c>
      <c r="AB54" t="e">
        <f t="shared" si="69"/>
        <v>#NUM!</v>
      </c>
      <c r="AC54" s="16" t="e">
        <f t="shared" si="70"/>
        <v>#NUM!</v>
      </c>
      <c r="AD54" s="16" t="e">
        <f t="shared" si="71"/>
        <v>#NUM!</v>
      </c>
      <c r="AE54" s="21"/>
      <c r="AF54" s="21"/>
      <c r="AG54" s="16"/>
      <c r="AH54" s="16"/>
      <c r="AI54" t="e">
        <f>SMALL('TRADE LOG'!$AQ$15:$AQ$9733,'TRADE LOG'!B53)</f>
        <v>#NUM!</v>
      </c>
      <c r="AJ54" t="str">
        <f t="shared" si="72"/>
        <v/>
      </c>
      <c r="AK54">
        <f t="shared" si="73"/>
        <v>0</v>
      </c>
      <c r="AL54">
        <f t="shared" si="74"/>
        <v>0</v>
      </c>
      <c r="AM54">
        <f t="shared" si="75"/>
        <v>0</v>
      </c>
      <c r="AN54">
        <f t="shared" si="76"/>
        <v>0</v>
      </c>
      <c r="AP54">
        <f t="shared" si="77"/>
        <v>0</v>
      </c>
      <c r="AQ54">
        <f t="shared" si="78"/>
        <v>0</v>
      </c>
      <c r="AR54" t="e">
        <f t="shared" si="79"/>
        <v>#DIV/0!</v>
      </c>
      <c r="AS54" t="e">
        <f t="shared" si="80"/>
        <v>#DIV/0!</v>
      </c>
      <c r="AT54">
        <f t="shared" si="81"/>
        <v>0</v>
      </c>
      <c r="AU54">
        <f t="shared" si="82"/>
        <v>0</v>
      </c>
      <c r="AV54">
        <f t="shared" si="83"/>
        <v>0</v>
      </c>
      <c r="AW54">
        <f t="shared" si="84"/>
        <v>0</v>
      </c>
      <c r="AY54">
        <f t="shared" si="85"/>
        <v>0</v>
      </c>
      <c r="AZ54">
        <f t="shared" si="86"/>
        <v>0</v>
      </c>
      <c r="BA54" t="e">
        <f t="shared" si="87"/>
        <v>#DIV/0!</v>
      </c>
      <c r="BB54" t="e">
        <f t="shared" si="88"/>
        <v>#DIV/0!</v>
      </c>
      <c r="BC54">
        <f t="shared" si="89"/>
        <v>0</v>
      </c>
      <c r="BD54">
        <f t="shared" si="90"/>
        <v>0</v>
      </c>
      <c r="BE54" t="str">
        <f>IF(AJ54="","",BD54+BC54+'TRADE LOG'!AR53)</f>
        <v/>
      </c>
      <c r="BF54">
        <f t="shared" si="91"/>
        <v>0</v>
      </c>
      <c r="BG54">
        <f t="shared" si="92"/>
        <v>0</v>
      </c>
      <c r="BH54" t="e">
        <f t="shared" si="93"/>
        <v>#DIV/0!</v>
      </c>
      <c r="BI54" t="e">
        <f t="shared" si="94"/>
        <v>#DIV/0!</v>
      </c>
      <c r="BJ54">
        <f t="shared" si="95"/>
        <v>0</v>
      </c>
      <c r="BK54" t="e">
        <f t="shared" si="96"/>
        <v>#VALUE!</v>
      </c>
      <c r="BL54" t="e">
        <f t="shared" si="97"/>
        <v>#DIV/0!</v>
      </c>
      <c r="BM54" t="e">
        <f t="shared" si="98"/>
        <v>#DIV/0!</v>
      </c>
      <c r="BN54" t="e">
        <f t="shared" si="99"/>
        <v>#DIV/0!</v>
      </c>
      <c r="BO54" t="e">
        <f t="shared" si="100"/>
        <v>#DIV/0!</v>
      </c>
      <c r="BP54" t="e">
        <f t="shared" si="101"/>
        <v>#DIV/0!</v>
      </c>
      <c r="BQ54">
        <f t="shared" si="59"/>
        <v>0</v>
      </c>
      <c r="BR54">
        <f t="shared" si="63"/>
        <v>0</v>
      </c>
      <c r="BS54" t="e">
        <f t="shared" si="102"/>
        <v>#DIV/0!</v>
      </c>
      <c r="BT54" t="e">
        <f t="shared" si="103"/>
        <v>#DIV/0!</v>
      </c>
      <c r="BU54" t="e">
        <f t="shared" si="104"/>
        <v>#DIV/0!</v>
      </c>
      <c r="BV54">
        <f t="shared" si="60"/>
        <v>0</v>
      </c>
      <c r="BW54">
        <f t="shared" si="61"/>
        <v>0</v>
      </c>
      <c r="BX54" t="e">
        <f t="shared" si="105"/>
        <v>#DIV/0!</v>
      </c>
      <c r="BY54" t="e">
        <f t="shared" si="106"/>
        <v>#DIV/0!</v>
      </c>
      <c r="BZ54" t="e">
        <f t="shared" si="107"/>
        <v>#DIV/0!</v>
      </c>
    </row>
    <row r="55" spans="2:78" ht="21.95" customHeight="1">
      <c r="B55" s="344">
        <v>40</v>
      </c>
      <c r="C55" s="542" t="str">
        <f t="shared" si="47"/>
        <v/>
      </c>
      <c r="D55" s="599" t="str">
        <f t="shared" si="64"/>
        <v/>
      </c>
      <c r="E55" s="543" t="str">
        <f t="shared" si="48"/>
        <v/>
      </c>
      <c r="F55" s="544" t="str">
        <f t="shared" si="49"/>
        <v/>
      </c>
      <c r="G55" s="545" t="str">
        <f t="shared" si="50"/>
        <v/>
      </c>
      <c r="H55" s="608" t="str">
        <f t="shared" si="51"/>
        <v/>
      </c>
      <c r="I55" s="547"/>
      <c r="J55" s="604" t="str">
        <f t="shared" si="65"/>
        <v/>
      </c>
      <c r="K55" s="543" t="str">
        <f t="shared" si="62"/>
        <v/>
      </c>
      <c r="L55" s="544" t="str">
        <f t="shared" si="52"/>
        <v/>
      </c>
      <c r="M55" s="544" t="str">
        <f t="shared" si="53"/>
        <v/>
      </c>
      <c r="N55" s="608" t="str">
        <f t="shared" si="54"/>
        <v/>
      </c>
      <c r="O55" s="547"/>
      <c r="P55" s="604" t="str">
        <f t="shared" si="66"/>
        <v/>
      </c>
      <c r="Q55" s="543" t="str">
        <f t="shared" si="55"/>
        <v/>
      </c>
      <c r="R55" s="544" t="str">
        <f t="shared" si="56"/>
        <v/>
      </c>
      <c r="S55" s="544" t="str">
        <f t="shared" si="57"/>
        <v/>
      </c>
      <c r="T55" s="608" t="str">
        <f t="shared" si="58"/>
        <v/>
      </c>
      <c r="U55" s="499"/>
      <c r="V55" s="289"/>
      <c r="Z55" t="e">
        <f t="shared" si="67"/>
        <v>#NUM!</v>
      </c>
      <c r="AA55" t="e">
        <f t="shared" si="68"/>
        <v>#NUM!</v>
      </c>
      <c r="AB55" t="e">
        <f t="shared" si="69"/>
        <v>#NUM!</v>
      </c>
      <c r="AC55" s="16" t="e">
        <f t="shared" si="70"/>
        <v>#NUM!</v>
      </c>
      <c r="AD55" s="16" t="e">
        <f t="shared" si="71"/>
        <v>#NUM!</v>
      </c>
      <c r="AE55" s="21"/>
      <c r="AF55" s="21"/>
      <c r="AG55" s="16"/>
      <c r="AH55" s="16"/>
      <c r="AI55" t="e">
        <f>SMALL('TRADE LOG'!$AQ$15:$AQ$9733,'TRADE LOG'!B54)</f>
        <v>#NUM!</v>
      </c>
      <c r="AJ55" t="str">
        <f t="shared" si="72"/>
        <v/>
      </c>
      <c r="AK55">
        <f t="shared" si="73"/>
        <v>0</v>
      </c>
      <c r="AL55">
        <f t="shared" si="74"/>
        <v>0</v>
      </c>
      <c r="AM55">
        <f t="shared" si="75"/>
        <v>0</v>
      </c>
      <c r="AN55">
        <f t="shared" si="76"/>
        <v>0</v>
      </c>
      <c r="AP55">
        <f t="shared" si="77"/>
        <v>0</v>
      </c>
      <c r="AQ55">
        <f t="shared" si="78"/>
        <v>0</v>
      </c>
      <c r="AR55" t="e">
        <f t="shared" si="79"/>
        <v>#DIV/0!</v>
      </c>
      <c r="AS55" t="e">
        <f t="shared" si="80"/>
        <v>#DIV/0!</v>
      </c>
      <c r="AT55">
        <f t="shared" si="81"/>
        <v>0</v>
      </c>
      <c r="AU55">
        <f t="shared" si="82"/>
        <v>0</v>
      </c>
      <c r="AV55">
        <f t="shared" si="83"/>
        <v>0</v>
      </c>
      <c r="AW55">
        <f t="shared" si="84"/>
        <v>0</v>
      </c>
      <c r="AY55">
        <f t="shared" si="85"/>
        <v>0</v>
      </c>
      <c r="AZ55">
        <f t="shared" si="86"/>
        <v>0</v>
      </c>
      <c r="BA55" t="e">
        <f t="shared" si="87"/>
        <v>#DIV/0!</v>
      </c>
      <c r="BB55" t="e">
        <f t="shared" si="88"/>
        <v>#DIV/0!</v>
      </c>
      <c r="BC55">
        <f t="shared" si="89"/>
        <v>0</v>
      </c>
      <c r="BD55">
        <f t="shared" si="90"/>
        <v>0</v>
      </c>
      <c r="BE55" t="str">
        <f>IF(AJ55="","",BD55+BC55+'TRADE LOG'!AR54)</f>
        <v/>
      </c>
      <c r="BF55">
        <f t="shared" si="91"/>
        <v>0</v>
      </c>
      <c r="BG55">
        <f t="shared" si="92"/>
        <v>0</v>
      </c>
      <c r="BH55" t="e">
        <f t="shared" si="93"/>
        <v>#DIV/0!</v>
      </c>
      <c r="BI55" t="e">
        <f t="shared" si="94"/>
        <v>#DIV/0!</v>
      </c>
      <c r="BJ55">
        <f t="shared" si="95"/>
        <v>0</v>
      </c>
      <c r="BK55" t="e">
        <f t="shared" si="96"/>
        <v>#VALUE!</v>
      </c>
      <c r="BL55" t="e">
        <f t="shared" si="97"/>
        <v>#DIV/0!</v>
      </c>
      <c r="BM55" t="e">
        <f t="shared" si="98"/>
        <v>#DIV/0!</v>
      </c>
      <c r="BN55" t="e">
        <f t="shared" si="99"/>
        <v>#DIV/0!</v>
      </c>
      <c r="BO55" t="e">
        <f t="shared" si="100"/>
        <v>#DIV/0!</v>
      </c>
      <c r="BP55" t="e">
        <f t="shared" si="101"/>
        <v>#DIV/0!</v>
      </c>
      <c r="BQ55">
        <f t="shared" si="59"/>
        <v>0</v>
      </c>
      <c r="BR55">
        <f t="shared" si="63"/>
        <v>0</v>
      </c>
      <c r="BS55" t="e">
        <f t="shared" si="102"/>
        <v>#DIV/0!</v>
      </c>
      <c r="BT55" t="e">
        <f t="shared" si="103"/>
        <v>#DIV/0!</v>
      </c>
      <c r="BU55" t="e">
        <f t="shared" si="104"/>
        <v>#DIV/0!</v>
      </c>
      <c r="BV55">
        <f t="shared" si="60"/>
        <v>0</v>
      </c>
      <c r="BW55">
        <f t="shared" si="61"/>
        <v>0</v>
      </c>
      <c r="BX55" t="e">
        <f t="shared" si="105"/>
        <v>#DIV/0!</v>
      </c>
      <c r="BY55" t="e">
        <f t="shared" si="106"/>
        <v>#DIV/0!</v>
      </c>
      <c r="BZ55" t="e">
        <f t="shared" si="107"/>
        <v>#DIV/0!</v>
      </c>
    </row>
    <row r="56" spans="2:78" ht="21.95" customHeight="1">
      <c r="B56" s="344">
        <v>41</v>
      </c>
      <c r="C56" s="542" t="str">
        <f t="shared" si="47"/>
        <v/>
      </c>
      <c r="D56" s="599" t="str">
        <f t="shared" si="64"/>
        <v/>
      </c>
      <c r="E56" s="543" t="str">
        <f t="shared" si="48"/>
        <v/>
      </c>
      <c r="F56" s="544" t="str">
        <f t="shared" si="49"/>
        <v/>
      </c>
      <c r="G56" s="545" t="str">
        <f t="shared" si="50"/>
        <v/>
      </c>
      <c r="H56" s="608" t="str">
        <f t="shared" si="51"/>
        <v/>
      </c>
      <c r="I56" s="547"/>
      <c r="J56" s="604" t="str">
        <f t="shared" si="65"/>
        <v/>
      </c>
      <c r="K56" s="543" t="str">
        <f t="shared" si="62"/>
        <v/>
      </c>
      <c r="L56" s="544" t="str">
        <f t="shared" si="52"/>
        <v/>
      </c>
      <c r="M56" s="544" t="str">
        <f t="shared" si="53"/>
        <v/>
      </c>
      <c r="N56" s="608" t="str">
        <f t="shared" si="54"/>
        <v/>
      </c>
      <c r="O56" s="547"/>
      <c r="P56" s="604" t="str">
        <f t="shared" si="66"/>
        <v/>
      </c>
      <c r="Q56" s="543" t="str">
        <f t="shared" si="55"/>
        <v/>
      </c>
      <c r="R56" s="544" t="str">
        <f t="shared" si="56"/>
        <v/>
      </c>
      <c r="S56" s="544" t="str">
        <f t="shared" si="57"/>
        <v/>
      </c>
      <c r="T56" s="608" t="str">
        <f t="shared" si="58"/>
        <v/>
      </c>
      <c r="U56" s="499"/>
      <c r="V56" s="289"/>
      <c r="Z56" t="e">
        <f t="shared" si="67"/>
        <v>#NUM!</v>
      </c>
      <c r="AA56" t="e">
        <f t="shared" si="68"/>
        <v>#NUM!</v>
      </c>
      <c r="AB56" t="e">
        <f t="shared" si="69"/>
        <v>#NUM!</v>
      </c>
      <c r="AC56" s="16" t="e">
        <f t="shared" si="70"/>
        <v>#NUM!</v>
      </c>
      <c r="AD56" s="16" t="e">
        <f t="shared" si="71"/>
        <v>#NUM!</v>
      </c>
      <c r="AE56" s="21"/>
      <c r="AF56" s="21"/>
      <c r="AG56" s="16"/>
      <c r="AH56" s="16"/>
      <c r="AI56" t="e">
        <f>SMALL('TRADE LOG'!$AQ$15:$AQ$9733,'TRADE LOG'!B55)</f>
        <v>#NUM!</v>
      </c>
      <c r="AJ56" t="str">
        <f t="shared" si="72"/>
        <v/>
      </c>
      <c r="AK56">
        <f t="shared" si="73"/>
        <v>0</v>
      </c>
      <c r="AL56">
        <f t="shared" si="74"/>
        <v>0</v>
      </c>
      <c r="AM56">
        <f t="shared" si="75"/>
        <v>0</v>
      </c>
      <c r="AN56">
        <f t="shared" si="76"/>
        <v>0</v>
      </c>
      <c r="AP56">
        <f t="shared" si="77"/>
        <v>0</v>
      </c>
      <c r="AQ56">
        <f t="shared" si="78"/>
        <v>0</v>
      </c>
      <c r="AR56" t="e">
        <f t="shared" si="79"/>
        <v>#DIV/0!</v>
      </c>
      <c r="AS56" t="e">
        <f t="shared" si="80"/>
        <v>#DIV/0!</v>
      </c>
      <c r="AT56">
        <f t="shared" si="81"/>
        <v>0</v>
      </c>
      <c r="AU56">
        <f t="shared" si="82"/>
        <v>0</v>
      </c>
      <c r="AV56">
        <f t="shared" si="83"/>
        <v>0</v>
      </c>
      <c r="AW56">
        <f t="shared" si="84"/>
        <v>0</v>
      </c>
      <c r="AY56">
        <f t="shared" si="85"/>
        <v>0</v>
      </c>
      <c r="AZ56">
        <f t="shared" si="86"/>
        <v>0</v>
      </c>
      <c r="BA56" t="e">
        <f t="shared" si="87"/>
        <v>#DIV/0!</v>
      </c>
      <c r="BB56" t="e">
        <f t="shared" si="88"/>
        <v>#DIV/0!</v>
      </c>
      <c r="BC56">
        <f t="shared" si="89"/>
        <v>0</v>
      </c>
      <c r="BD56">
        <f t="shared" si="90"/>
        <v>0</v>
      </c>
      <c r="BE56" t="str">
        <f>IF(AJ56="","",BD56+BC56+'TRADE LOG'!AR55)</f>
        <v/>
      </c>
      <c r="BF56">
        <f t="shared" si="91"/>
        <v>0</v>
      </c>
      <c r="BG56">
        <f t="shared" si="92"/>
        <v>0</v>
      </c>
      <c r="BH56" t="e">
        <f t="shared" si="93"/>
        <v>#DIV/0!</v>
      </c>
      <c r="BI56" t="e">
        <f t="shared" si="94"/>
        <v>#DIV/0!</v>
      </c>
      <c r="BJ56">
        <f t="shared" si="95"/>
        <v>0</v>
      </c>
      <c r="BK56" t="e">
        <f t="shared" si="96"/>
        <v>#VALUE!</v>
      </c>
      <c r="BL56" t="e">
        <f t="shared" si="97"/>
        <v>#DIV/0!</v>
      </c>
      <c r="BM56" t="e">
        <f t="shared" si="98"/>
        <v>#DIV/0!</v>
      </c>
      <c r="BN56" t="e">
        <f t="shared" si="99"/>
        <v>#DIV/0!</v>
      </c>
      <c r="BO56" t="e">
        <f t="shared" si="100"/>
        <v>#DIV/0!</v>
      </c>
      <c r="BP56" t="e">
        <f t="shared" si="101"/>
        <v>#DIV/0!</v>
      </c>
      <c r="BQ56">
        <f t="shared" si="59"/>
        <v>0</v>
      </c>
      <c r="BR56">
        <f t="shared" si="63"/>
        <v>0</v>
      </c>
      <c r="BS56" t="e">
        <f t="shared" si="102"/>
        <v>#DIV/0!</v>
      </c>
      <c r="BT56" t="e">
        <f t="shared" si="103"/>
        <v>#DIV/0!</v>
      </c>
      <c r="BU56" t="e">
        <f t="shared" si="104"/>
        <v>#DIV/0!</v>
      </c>
      <c r="BV56">
        <f t="shared" si="60"/>
        <v>0</v>
      </c>
      <c r="BW56">
        <f t="shared" si="61"/>
        <v>0</v>
      </c>
      <c r="BX56" t="e">
        <f t="shared" si="105"/>
        <v>#DIV/0!</v>
      </c>
      <c r="BY56" t="e">
        <f t="shared" si="106"/>
        <v>#DIV/0!</v>
      </c>
      <c r="BZ56" t="e">
        <f t="shared" si="107"/>
        <v>#DIV/0!</v>
      </c>
    </row>
    <row r="57" spans="2:78" ht="21.95" customHeight="1">
      <c r="B57" s="344">
        <v>42</v>
      </c>
      <c r="C57" s="542" t="str">
        <f t="shared" si="47"/>
        <v/>
      </c>
      <c r="D57" s="599" t="str">
        <f t="shared" si="64"/>
        <v/>
      </c>
      <c r="E57" s="543" t="str">
        <f t="shared" si="48"/>
        <v/>
      </c>
      <c r="F57" s="544" t="str">
        <f t="shared" si="49"/>
        <v/>
      </c>
      <c r="G57" s="545" t="str">
        <f t="shared" si="50"/>
        <v/>
      </c>
      <c r="H57" s="608" t="str">
        <f t="shared" si="51"/>
        <v/>
      </c>
      <c r="I57" s="547"/>
      <c r="J57" s="604" t="str">
        <f t="shared" si="65"/>
        <v/>
      </c>
      <c r="K57" s="543" t="str">
        <f t="shared" si="62"/>
        <v/>
      </c>
      <c r="L57" s="544" t="str">
        <f t="shared" si="52"/>
        <v/>
      </c>
      <c r="M57" s="544" t="str">
        <f t="shared" si="53"/>
        <v/>
      </c>
      <c r="N57" s="608" t="str">
        <f t="shared" si="54"/>
        <v/>
      </c>
      <c r="O57" s="547"/>
      <c r="P57" s="604" t="str">
        <f t="shared" si="66"/>
        <v/>
      </c>
      <c r="Q57" s="543" t="str">
        <f t="shared" si="55"/>
        <v/>
      </c>
      <c r="R57" s="544" t="str">
        <f t="shared" si="56"/>
        <v/>
      </c>
      <c r="S57" s="544" t="str">
        <f t="shared" si="57"/>
        <v/>
      </c>
      <c r="T57" s="608" t="str">
        <f t="shared" si="58"/>
        <v/>
      </c>
      <c r="U57" s="499"/>
      <c r="V57" s="289"/>
      <c r="Z57" t="e">
        <f t="shared" si="67"/>
        <v>#NUM!</v>
      </c>
      <c r="AA57" t="e">
        <f t="shared" si="68"/>
        <v>#NUM!</v>
      </c>
      <c r="AB57" t="e">
        <f t="shared" si="69"/>
        <v>#NUM!</v>
      </c>
      <c r="AC57" s="16" t="e">
        <f t="shared" si="70"/>
        <v>#NUM!</v>
      </c>
      <c r="AD57" s="16" t="e">
        <f t="shared" si="71"/>
        <v>#NUM!</v>
      </c>
      <c r="AE57" s="21"/>
      <c r="AF57" s="21"/>
      <c r="AG57" s="16"/>
      <c r="AH57" s="16"/>
      <c r="AI57" t="e">
        <f>SMALL('TRADE LOG'!$AQ$15:$AQ$9733,'TRADE LOG'!B56)</f>
        <v>#NUM!</v>
      </c>
      <c r="AJ57" t="str">
        <f t="shared" si="72"/>
        <v/>
      </c>
      <c r="AK57">
        <f t="shared" si="73"/>
        <v>0</v>
      </c>
      <c r="AL57">
        <f t="shared" si="74"/>
        <v>0</v>
      </c>
      <c r="AM57">
        <f t="shared" si="75"/>
        <v>0</v>
      </c>
      <c r="AN57">
        <f t="shared" si="76"/>
        <v>0</v>
      </c>
      <c r="AP57">
        <f t="shared" si="77"/>
        <v>0</v>
      </c>
      <c r="AQ57">
        <f t="shared" si="78"/>
        <v>0</v>
      </c>
      <c r="AR57" t="e">
        <f t="shared" si="79"/>
        <v>#DIV/0!</v>
      </c>
      <c r="AS57" t="e">
        <f t="shared" si="80"/>
        <v>#DIV/0!</v>
      </c>
      <c r="AT57">
        <f t="shared" si="81"/>
        <v>0</v>
      </c>
      <c r="AU57">
        <f t="shared" si="82"/>
        <v>0</v>
      </c>
      <c r="AV57">
        <f t="shared" si="83"/>
        <v>0</v>
      </c>
      <c r="AW57">
        <f t="shared" si="84"/>
        <v>0</v>
      </c>
      <c r="AY57">
        <f t="shared" si="85"/>
        <v>0</v>
      </c>
      <c r="AZ57">
        <f t="shared" si="86"/>
        <v>0</v>
      </c>
      <c r="BA57" t="e">
        <f t="shared" si="87"/>
        <v>#DIV/0!</v>
      </c>
      <c r="BB57" t="e">
        <f t="shared" si="88"/>
        <v>#DIV/0!</v>
      </c>
      <c r="BC57">
        <f t="shared" si="89"/>
        <v>0</v>
      </c>
      <c r="BD57">
        <f t="shared" si="90"/>
        <v>0</v>
      </c>
      <c r="BE57" t="str">
        <f>IF(AJ57="","",BD57+BC57+'TRADE LOG'!AR56)</f>
        <v/>
      </c>
      <c r="BF57">
        <f t="shared" si="91"/>
        <v>0</v>
      </c>
      <c r="BG57">
        <f t="shared" si="92"/>
        <v>0</v>
      </c>
      <c r="BH57" t="e">
        <f t="shared" si="93"/>
        <v>#DIV/0!</v>
      </c>
      <c r="BI57" t="e">
        <f t="shared" si="94"/>
        <v>#DIV/0!</v>
      </c>
      <c r="BJ57">
        <f t="shared" si="95"/>
        <v>0</v>
      </c>
      <c r="BK57" t="e">
        <f t="shared" si="96"/>
        <v>#VALUE!</v>
      </c>
      <c r="BL57" t="e">
        <f t="shared" si="97"/>
        <v>#DIV/0!</v>
      </c>
      <c r="BM57" t="e">
        <f t="shared" si="98"/>
        <v>#DIV/0!</v>
      </c>
      <c r="BN57" t="e">
        <f t="shared" si="99"/>
        <v>#DIV/0!</v>
      </c>
      <c r="BO57" t="e">
        <f t="shared" si="100"/>
        <v>#DIV/0!</v>
      </c>
      <c r="BP57" t="e">
        <f t="shared" si="101"/>
        <v>#DIV/0!</v>
      </c>
      <c r="BQ57">
        <f t="shared" si="59"/>
        <v>0</v>
      </c>
      <c r="BR57">
        <f t="shared" si="63"/>
        <v>0</v>
      </c>
      <c r="BS57" t="e">
        <f t="shared" si="102"/>
        <v>#DIV/0!</v>
      </c>
      <c r="BT57" t="e">
        <f t="shared" si="103"/>
        <v>#DIV/0!</v>
      </c>
      <c r="BU57" t="e">
        <f t="shared" si="104"/>
        <v>#DIV/0!</v>
      </c>
      <c r="BV57">
        <f t="shared" si="60"/>
        <v>0</v>
      </c>
      <c r="BW57">
        <f t="shared" si="61"/>
        <v>0</v>
      </c>
      <c r="BX57" t="e">
        <f t="shared" si="105"/>
        <v>#DIV/0!</v>
      </c>
      <c r="BY57" t="e">
        <f t="shared" si="106"/>
        <v>#DIV/0!</v>
      </c>
      <c r="BZ57" t="e">
        <f t="shared" si="107"/>
        <v>#DIV/0!</v>
      </c>
    </row>
    <row r="58" spans="2:78" ht="21.95" customHeight="1">
      <c r="B58" s="344">
        <v>43</v>
      </c>
      <c r="C58" s="542" t="str">
        <f t="shared" si="47"/>
        <v/>
      </c>
      <c r="D58" s="599" t="str">
        <f t="shared" si="64"/>
        <v/>
      </c>
      <c r="E58" s="543" t="str">
        <f t="shared" si="48"/>
        <v/>
      </c>
      <c r="F58" s="544" t="str">
        <f t="shared" si="49"/>
        <v/>
      </c>
      <c r="G58" s="545" t="str">
        <f t="shared" si="50"/>
        <v/>
      </c>
      <c r="H58" s="608" t="str">
        <f t="shared" si="51"/>
        <v/>
      </c>
      <c r="I58" s="547"/>
      <c r="J58" s="604" t="str">
        <f t="shared" si="65"/>
        <v/>
      </c>
      <c r="K58" s="543" t="str">
        <f t="shared" si="62"/>
        <v/>
      </c>
      <c r="L58" s="544" t="str">
        <f t="shared" si="52"/>
        <v/>
      </c>
      <c r="M58" s="544" t="str">
        <f t="shared" si="53"/>
        <v/>
      </c>
      <c r="N58" s="608" t="str">
        <f t="shared" si="54"/>
        <v/>
      </c>
      <c r="O58" s="547"/>
      <c r="P58" s="604" t="str">
        <f t="shared" si="66"/>
        <v/>
      </c>
      <c r="Q58" s="543" t="str">
        <f t="shared" si="55"/>
        <v/>
      </c>
      <c r="R58" s="544" t="str">
        <f t="shared" si="56"/>
        <v/>
      </c>
      <c r="S58" s="544" t="str">
        <f t="shared" si="57"/>
        <v/>
      </c>
      <c r="T58" s="608" t="str">
        <f t="shared" si="58"/>
        <v/>
      </c>
      <c r="U58" s="499"/>
      <c r="V58" s="289"/>
      <c r="Z58" t="e">
        <f t="shared" si="67"/>
        <v>#NUM!</v>
      </c>
      <c r="AA58" t="e">
        <f t="shared" si="68"/>
        <v>#NUM!</v>
      </c>
      <c r="AB58" t="e">
        <f t="shared" si="69"/>
        <v>#NUM!</v>
      </c>
      <c r="AC58" s="16" t="e">
        <f t="shared" si="70"/>
        <v>#NUM!</v>
      </c>
      <c r="AD58" s="16" t="e">
        <f t="shared" si="71"/>
        <v>#NUM!</v>
      </c>
      <c r="AE58" s="21"/>
      <c r="AF58" s="21"/>
      <c r="AG58" s="16"/>
      <c r="AH58" s="16"/>
      <c r="AI58" t="e">
        <f>SMALL('TRADE LOG'!$AQ$15:$AQ$9733,'TRADE LOG'!B57)</f>
        <v>#NUM!</v>
      </c>
      <c r="AJ58" t="str">
        <f t="shared" si="72"/>
        <v/>
      </c>
      <c r="AK58">
        <f t="shared" si="73"/>
        <v>0</v>
      </c>
      <c r="AL58">
        <f t="shared" si="74"/>
        <v>0</v>
      </c>
      <c r="AM58">
        <f t="shared" si="75"/>
        <v>0</v>
      </c>
      <c r="AN58">
        <f t="shared" si="76"/>
        <v>0</v>
      </c>
      <c r="AP58">
        <f t="shared" si="77"/>
        <v>0</v>
      </c>
      <c r="AQ58">
        <f t="shared" si="78"/>
        <v>0</v>
      </c>
      <c r="AR58" t="e">
        <f t="shared" si="79"/>
        <v>#DIV/0!</v>
      </c>
      <c r="AS58" t="e">
        <f t="shared" si="80"/>
        <v>#DIV/0!</v>
      </c>
      <c r="AT58">
        <f t="shared" si="81"/>
        <v>0</v>
      </c>
      <c r="AU58">
        <f t="shared" si="82"/>
        <v>0</v>
      </c>
      <c r="AV58">
        <f t="shared" si="83"/>
        <v>0</v>
      </c>
      <c r="AW58">
        <f t="shared" si="84"/>
        <v>0</v>
      </c>
      <c r="AY58">
        <f t="shared" si="85"/>
        <v>0</v>
      </c>
      <c r="AZ58">
        <f t="shared" si="86"/>
        <v>0</v>
      </c>
      <c r="BA58" t="e">
        <f t="shared" si="87"/>
        <v>#DIV/0!</v>
      </c>
      <c r="BB58" t="e">
        <f t="shared" si="88"/>
        <v>#DIV/0!</v>
      </c>
      <c r="BC58">
        <f t="shared" si="89"/>
        <v>0</v>
      </c>
      <c r="BD58">
        <f t="shared" si="90"/>
        <v>0</v>
      </c>
      <c r="BE58" t="str">
        <f>IF(AJ58="","",BD58+BC58+'TRADE LOG'!AR57)</f>
        <v/>
      </c>
      <c r="BF58">
        <f t="shared" si="91"/>
        <v>0</v>
      </c>
      <c r="BG58">
        <f t="shared" si="92"/>
        <v>0</v>
      </c>
      <c r="BH58" t="e">
        <f t="shared" si="93"/>
        <v>#DIV/0!</v>
      </c>
      <c r="BI58" t="e">
        <f t="shared" si="94"/>
        <v>#DIV/0!</v>
      </c>
      <c r="BJ58">
        <f t="shared" si="95"/>
        <v>0</v>
      </c>
      <c r="BK58" t="e">
        <f t="shared" si="96"/>
        <v>#VALUE!</v>
      </c>
      <c r="BL58" t="e">
        <f t="shared" si="97"/>
        <v>#DIV/0!</v>
      </c>
      <c r="BM58" t="e">
        <f t="shared" si="98"/>
        <v>#DIV/0!</v>
      </c>
      <c r="BN58" t="e">
        <f t="shared" si="99"/>
        <v>#DIV/0!</v>
      </c>
      <c r="BO58" t="e">
        <f t="shared" si="100"/>
        <v>#DIV/0!</v>
      </c>
      <c r="BP58" t="e">
        <f t="shared" si="101"/>
        <v>#DIV/0!</v>
      </c>
      <c r="BQ58">
        <f t="shared" si="59"/>
        <v>0</v>
      </c>
      <c r="BR58">
        <f t="shared" si="63"/>
        <v>0</v>
      </c>
      <c r="BS58" t="e">
        <f t="shared" si="102"/>
        <v>#DIV/0!</v>
      </c>
      <c r="BT58" t="e">
        <f t="shared" si="103"/>
        <v>#DIV/0!</v>
      </c>
      <c r="BU58" t="e">
        <f t="shared" si="104"/>
        <v>#DIV/0!</v>
      </c>
      <c r="BV58">
        <f t="shared" si="60"/>
        <v>0</v>
      </c>
      <c r="BW58">
        <f t="shared" si="61"/>
        <v>0</v>
      </c>
      <c r="BX58" t="e">
        <f t="shared" si="105"/>
        <v>#DIV/0!</v>
      </c>
      <c r="BY58" t="e">
        <f t="shared" si="106"/>
        <v>#DIV/0!</v>
      </c>
      <c r="BZ58" t="e">
        <f t="shared" si="107"/>
        <v>#DIV/0!</v>
      </c>
    </row>
    <row r="59" spans="2:78" ht="21.95" customHeight="1">
      <c r="B59" s="344">
        <v>44</v>
      </c>
      <c r="C59" s="542" t="str">
        <f t="shared" si="47"/>
        <v/>
      </c>
      <c r="D59" s="599" t="str">
        <f t="shared" si="64"/>
        <v/>
      </c>
      <c r="E59" s="543" t="str">
        <f t="shared" si="48"/>
        <v/>
      </c>
      <c r="F59" s="544" t="str">
        <f t="shared" si="49"/>
        <v/>
      </c>
      <c r="G59" s="545" t="str">
        <f t="shared" si="50"/>
        <v/>
      </c>
      <c r="H59" s="608" t="str">
        <f t="shared" si="51"/>
        <v/>
      </c>
      <c r="I59" s="547"/>
      <c r="J59" s="604" t="str">
        <f t="shared" si="65"/>
        <v/>
      </c>
      <c r="K59" s="543" t="str">
        <f t="shared" si="62"/>
        <v/>
      </c>
      <c r="L59" s="544" t="str">
        <f t="shared" si="52"/>
        <v/>
      </c>
      <c r="M59" s="544" t="str">
        <f t="shared" si="53"/>
        <v/>
      </c>
      <c r="N59" s="608" t="str">
        <f t="shared" si="54"/>
        <v/>
      </c>
      <c r="O59" s="547"/>
      <c r="P59" s="604" t="str">
        <f t="shared" si="66"/>
        <v/>
      </c>
      <c r="Q59" s="543" t="str">
        <f t="shared" si="55"/>
        <v/>
      </c>
      <c r="R59" s="544" t="str">
        <f t="shared" si="56"/>
        <v/>
      </c>
      <c r="S59" s="544" t="str">
        <f t="shared" si="57"/>
        <v/>
      </c>
      <c r="T59" s="608" t="str">
        <f t="shared" si="58"/>
        <v/>
      </c>
      <c r="U59" s="499"/>
      <c r="V59" s="289"/>
      <c r="Z59" t="e">
        <f t="shared" si="67"/>
        <v>#NUM!</v>
      </c>
      <c r="AA59" t="e">
        <f t="shared" si="68"/>
        <v>#NUM!</v>
      </c>
      <c r="AB59" t="e">
        <f t="shared" si="69"/>
        <v>#NUM!</v>
      </c>
      <c r="AC59" s="16" t="e">
        <f t="shared" si="70"/>
        <v>#NUM!</v>
      </c>
      <c r="AD59" s="16" t="e">
        <f t="shared" si="71"/>
        <v>#NUM!</v>
      </c>
      <c r="AE59" s="21"/>
      <c r="AF59" s="21"/>
      <c r="AG59" s="16"/>
      <c r="AH59" s="16"/>
      <c r="AI59" t="e">
        <f>SMALL('TRADE LOG'!$AQ$15:$AQ$9733,'TRADE LOG'!B58)</f>
        <v>#NUM!</v>
      </c>
      <c r="AJ59" t="str">
        <f t="shared" si="72"/>
        <v/>
      </c>
      <c r="AK59">
        <f t="shared" si="73"/>
        <v>0</v>
      </c>
      <c r="AL59">
        <f t="shared" si="74"/>
        <v>0</v>
      </c>
      <c r="AM59">
        <f t="shared" si="75"/>
        <v>0</v>
      </c>
      <c r="AN59">
        <f t="shared" si="76"/>
        <v>0</v>
      </c>
      <c r="AP59">
        <f t="shared" si="77"/>
        <v>0</v>
      </c>
      <c r="AQ59">
        <f t="shared" si="78"/>
        <v>0</v>
      </c>
      <c r="AR59" t="e">
        <f t="shared" si="79"/>
        <v>#DIV/0!</v>
      </c>
      <c r="AS59" t="e">
        <f t="shared" si="80"/>
        <v>#DIV/0!</v>
      </c>
      <c r="AT59">
        <f t="shared" si="81"/>
        <v>0</v>
      </c>
      <c r="AU59">
        <f t="shared" si="82"/>
        <v>0</v>
      </c>
      <c r="AV59">
        <f t="shared" si="83"/>
        <v>0</v>
      </c>
      <c r="AW59">
        <f t="shared" si="84"/>
        <v>0</v>
      </c>
      <c r="AY59">
        <f t="shared" si="85"/>
        <v>0</v>
      </c>
      <c r="AZ59">
        <f t="shared" si="86"/>
        <v>0</v>
      </c>
      <c r="BA59" t="e">
        <f t="shared" si="87"/>
        <v>#DIV/0!</v>
      </c>
      <c r="BB59" t="e">
        <f t="shared" si="88"/>
        <v>#DIV/0!</v>
      </c>
      <c r="BC59">
        <f t="shared" si="89"/>
        <v>0</v>
      </c>
      <c r="BD59">
        <f t="shared" si="90"/>
        <v>0</v>
      </c>
      <c r="BE59" t="str">
        <f>IF(AJ59="","",BD59+BC59+'TRADE LOG'!AR58)</f>
        <v/>
      </c>
      <c r="BF59">
        <f t="shared" si="91"/>
        <v>0</v>
      </c>
      <c r="BG59">
        <f t="shared" si="92"/>
        <v>0</v>
      </c>
      <c r="BH59" t="e">
        <f t="shared" si="93"/>
        <v>#DIV/0!</v>
      </c>
      <c r="BI59" t="e">
        <f t="shared" si="94"/>
        <v>#DIV/0!</v>
      </c>
      <c r="BJ59">
        <f t="shared" si="95"/>
        <v>0</v>
      </c>
      <c r="BK59" t="e">
        <f t="shared" si="96"/>
        <v>#VALUE!</v>
      </c>
      <c r="BL59" t="e">
        <f t="shared" si="97"/>
        <v>#DIV/0!</v>
      </c>
      <c r="BM59" t="e">
        <f t="shared" si="98"/>
        <v>#DIV/0!</v>
      </c>
      <c r="BN59" t="e">
        <f t="shared" si="99"/>
        <v>#DIV/0!</v>
      </c>
      <c r="BO59" t="e">
        <f t="shared" si="100"/>
        <v>#DIV/0!</v>
      </c>
      <c r="BP59" t="e">
        <f t="shared" si="101"/>
        <v>#DIV/0!</v>
      </c>
      <c r="BQ59">
        <f t="shared" si="59"/>
        <v>0</v>
      </c>
      <c r="BR59">
        <f t="shared" si="63"/>
        <v>0</v>
      </c>
      <c r="BS59" t="e">
        <f t="shared" si="102"/>
        <v>#DIV/0!</v>
      </c>
      <c r="BT59" t="e">
        <f t="shared" si="103"/>
        <v>#DIV/0!</v>
      </c>
      <c r="BU59" t="e">
        <f t="shared" si="104"/>
        <v>#DIV/0!</v>
      </c>
      <c r="BV59">
        <f t="shared" si="60"/>
        <v>0</v>
      </c>
      <c r="BW59">
        <f t="shared" si="61"/>
        <v>0</v>
      </c>
      <c r="BX59" t="e">
        <f t="shared" si="105"/>
        <v>#DIV/0!</v>
      </c>
      <c r="BY59" t="e">
        <f t="shared" si="106"/>
        <v>#DIV/0!</v>
      </c>
      <c r="BZ59" t="e">
        <f t="shared" si="107"/>
        <v>#DIV/0!</v>
      </c>
    </row>
    <row r="60" spans="2:78" ht="21.95" customHeight="1">
      <c r="B60" s="344">
        <v>45</v>
      </c>
      <c r="C60" s="542" t="str">
        <f t="shared" si="47"/>
        <v/>
      </c>
      <c r="D60" s="599" t="str">
        <f t="shared" si="64"/>
        <v/>
      </c>
      <c r="E60" s="543" t="str">
        <f t="shared" si="48"/>
        <v/>
      </c>
      <c r="F60" s="544" t="str">
        <f t="shared" si="49"/>
        <v/>
      </c>
      <c r="G60" s="545" t="str">
        <f t="shared" si="50"/>
        <v/>
      </c>
      <c r="H60" s="608" t="str">
        <f t="shared" si="51"/>
        <v/>
      </c>
      <c r="I60" s="547"/>
      <c r="J60" s="604" t="str">
        <f t="shared" si="65"/>
        <v/>
      </c>
      <c r="K60" s="543" t="str">
        <f t="shared" si="62"/>
        <v/>
      </c>
      <c r="L60" s="544" t="str">
        <f t="shared" si="52"/>
        <v/>
      </c>
      <c r="M60" s="544" t="str">
        <f t="shared" si="53"/>
        <v/>
      </c>
      <c r="N60" s="608" t="str">
        <f t="shared" si="54"/>
        <v/>
      </c>
      <c r="O60" s="547"/>
      <c r="P60" s="604" t="str">
        <f t="shared" si="66"/>
        <v/>
      </c>
      <c r="Q60" s="543" t="str">
        <f t="shared" si="55"/>
        <v/>
      </c>
      <c r="R60" s="544" t="str">
        <f t="shared" si="56"/>
        <v/>
      </c>
      <c r="S60" s="544" t="str">
        <f t="shared" si="57"/>
        <v/>
      </c>
      <c r="T60" s="608" t="str">
        <f t="shared" si="58"/>
        <v/>
      </c>
      <c r="U60" s="499"/>
      <c r="V60" s="289"/>
      <c r="Z60" t="e">
        <f t="shared" si="67"/>
        <v>#NUM!</v>
      </c>
      <c r="AA60" t="e">
        <f t="shared" si="68"/>
        <v>#NUM!</v>
      </c>
      <c r="AB60" t="e">
        <f t="shared" si="69"/>
        <v>#NUM!</v>
      </c>
      <c r="AC60" s="16" t="e">
        <f t="shared" si="70"/>
        <v>#NUM!</v>
      </c>
      <c r="AD60" s="16" t="e">
        <f t="shared" si="71"/>
        <v>#NUM!</v>
      </c>
      <c r="AE60" s="21"/>
      <c r="AF60" s="21"/>
      <c r="AG60" s="16"/>
      <c r="AH60" s="16"/>
      <c r="AI60" t="e">
        <f>SMALL('TRADE LOG'!$AQ$15:$AQ$9733,'TRADE LOG'!B59)</f>
        <v>#NUM!</v>
      </c>
      <c r="AJ60" t="str">
        <f t="shared" si="72"/>
        <v/>
      </c>
      <c r="AK60">
        <f t="shared" si="73"/>
        <v>0</v>
      </c>
      <c r="AL60">
        <f t="shared" si="74"/>
        <v>0</v>
      </c>
      <c r="AM60">
        <f t="shared" si="75"/>
        <v>0</v>
      </c>
      <c r="AN60">
        <f t="shared" si="76"/>
        <v>0</v>
      </c>
      <c r="AP60">
        <f t="shared" si="77"/>
        <v>0</v>
      </c>
      <c r="AQ60">
        <f t="shared" si="78"/>
        <v>0</v>
      </c>
      <c r="AR60" t="e">
        <f t="shared" si="79"/>
        <v>#DIV/0!</v>
      </c>
      <c r="AS60" t="e">
        <f t="shared" si="80"/>
        <v>#DIV/0!</v>
      </c>
      <c r="AT60">
        <f t="shared" si="81"/>
        <v>0</v>
      </c>
      <c r="AU60">
        <f t="shared" si="82"/>
        <v>0</v>
      </c>
      <c r="AV60">
        <f t="shared" si="83"/>
        <v>0</v>
      </c>
      <c r="AW60">
        <f t="shared" si="84"/>
        <v>0</v>
      </c>
      <c r="AY60">
        <f t="shared" si="85"/>
        <v>0</v>
      </c>
      <c r="AZ60">
        <f t="shared" si="86"/>
        <v>0</v>
      </c>
      <c r="BA60" t="e">
        <f t="shared" si="87"/>
        <v>#DIV/0!</v>
      </c>
      <c r="BB60" t="e">
        <f t="shared" si="88"/>
        <v>#DIV/0!</v>
      </c>
      <c r="BC60">
        <f t="shared" si="89"/>
        <v>0</v>
      </c>
      <c r="BD60">
        <f t="shared" si="90"/>
        <v>0</v>
      </c>
      <c r="BE60" t="str">
        <f>IF(AJ60="","",BD60+BC60+'TRADE LOG'!AR59)</f>
        <v/>
      </c>
      <c r="BF60">
        <f t="shared" si="91"/>
        <v>0</v>
      </c>
      <c r="BG60">
        <f t="shared" si="92"/>
        <v>0</v>
      </c>
      <c r="BH60" t="e">
        <f t="shared" si="93"/>
        <v>#DIV/0!</v>
      </c>
      <c r="BI60" t="e">
        <f t="shared" si="94"/>
        <v>#DIV/0!</v>
      </c>
      <c r="BJ60">
        <f t="shared" si="95"/>
        <v>0</v>
      </c>
      <c r="BK60" t="e">
        <f t="shared" si="96"/>
        <v>#VALUE!</v>
      </c>
      <c r="BL60" t="e">
        <f t="shared" si="97"/>
        <v>#DIV/0!</v>
      </c>
      <c r="BM60" t="e">
        <f t="shared" si="98"/>
        <v>#DIV/0!</v>
      </c>
      <c r="BN60" t="e">
        <f t="shared" si="99"/>
        <v>#DIV/0!</v>
      </c>
      <c r="BO60" t="e">
        <f t="shared" si="100"/>
        <v>#DIV/0!</v>
      </c>
      <c r="BP60" t="e">
        <f t="shared" si="101"/>
        <v>#DIV/0!</v>
      </c>
      <c r="BQ60">
        <f t="shared" si="59"/>
        <v>0</v>
      </c>
      <c r="BR60">
        <f t="shared" si="63"/>
        <v>0</v>
      </c>
      <c r="BS60" t="e">
        <f t="shared" si="102"/>
        <v>#DIV/0!</v>
      </c>
      <c r="BT60" t="e">
        <f t="shared" si="103"/>
        <v>#DIV/0!</v>
      </c>
      <c r="BU60" t="e">
        <f t="shared" si="104"/>
        <v>#DIV/0!</v>
      </c>
      <c r="BV60">
        <f t="shared" si="60"/>
        <v>0</v>
      </c>
      <c r="BW60">
        <f t="shared" si="61"/>
        <v>0</v>
      </c>
      <c r="BX60" t="e">
        <f t="shared" si="105"/>
        <v>#DIV/0!</v>
      </c>
      <c r="BY60" t="e">
        <f t="shared" si="106"/>
        <v>#DIV/0!</v>
      </c>
      <c r="BZ60" t="e">
        <f t="shared" si="107"/>
        <v>#DIV/0!</v>
      </c>
    </row>
    <row r="61" spans="2:78" ht="21.95" customHeight="1">
      <c r="B61" s="344">
        <v>46</v>
      </c>
      <c r="C61" s="542" t="str">
        <f t="shared" si="47"/>
        <v/>
      </c>
      <c r="D61" s="599" t="str">
        <f t="shared" si="64"/>
        <v/>
      </c>
      <c r="E61" s="543" t="str">
        <f t="shared" si="48"/>
        <v/>
      </c>
      <c r="F61" s="544" t="str">
        <f t="shared" si="49"/>
        <v/>
      </c>
      <c r="G61" s="545" t="str">
        <f t="shared" si="50"/>
        <v/>
      </c>
      <c r="H61" s="608" t="str">
        <f t="shared" si="51"/>
        <v/>
      </c>
      <c r="I61" s="547"/>
      <c r="J61" s="604" t="str">
        <f t="shared" si="65"/>
        <v/>
      </c>
      <c r="K61" s="543" t="str">
        <f t="shared" si="62"/>
        <v/>
      </c>
      <c r="L61" s="544" t="str">
        <f t="shared" si="52"/>
        <v/>
      </c>
      <c r="M61" s="544" t="str">
        <f t="shared" si="53"/>
        <v/>
      </c>
      <c r="N61" s="608" t="str">
        <f t="shared" si="54"/>
        <v/>
      </c>
      <c r="O61" s="547"/>
      <c r="P61" s="604" t="str">
        <f t="shared" si="66"/>
        <v/>
      </c>
      <c r="Q61" s="543" t="str">
        <f t="shared" si="55"/>
        <v/>
      </c>
      <c r="R61" s="544" t="str">
        <f t="shared" si="56"/>
        <v/>
      </c>
      <c r="S61" s="544" t="str">
        <f t="shared" si="57"/>
        <v/>
      </c>
      <c r="T61" s="608" t="str">
        <f t="shared" si="58"/>
        <v/>
      </c>
      <c r="U61" s="499"/>
      <c r="V61" s="289"/>
      <c r="Z61" t="e">
        <f t="shared" si="67"/>
        <v>#NUM!</v>
      </c>
      <c r="AA61" t="e">
        <f t="shared" si="68"/>
        <v>#NUM!</v>
      </c>
      <c r="AB61" t="e">
        <f t="shared" si="69"/>
        <v>#NUM!</v>
      </c>
      <c r="AC61" s="16" t="e">
        <f t="shared" si="70"/>
        <v>#NUM!</v>
      </c>
      <c r="AD61" s="16" t="e">
        <f t="shared" si="71"/>
        <v>#NUM!</v>
      </c>
      <c r="AE61" s="21"/>
      <c r="AF61" s="21"/>
      <c r="AG61" s="16"/>
      <c r="AH61" s="16"/>
      <c r="AI61" t="e">
        <f>SMALL('TRADE LOG'!$AQ$15:$AQ$9733,'TRADE LOG'!B60)</f>
        <v>#NUM!</v>
      </c>
      <c r="AJ61" t="str">
        <f t="shared" si="72"/>
        <v/>
      </c>
      <c r="AK61">
        <f t="shared" si="73"/>
        <v>0</v>
      </c>
      <c r="AL61">
        <f t="shared" si="74"/>
        <v>0</v>
      </c>
      <c r="AM61">
        <f t="shared" si="75"/>
        <v>0</v>
      </c>
      <c r="AN61">
        <f t="shared" si="76"/>
        <v>0</v>
      </c>
      <c r="AP61">
        <f t="shared" si="77"/>
        <v>0</v>
      </c>
      <c r="AQ61">
        <f t="shared" si="78"/>
        <v>0</v>
      </c>
      <c r="AR61" t="e">
        <f t="shared" si="79"/>
        <v>#DIV/0!</v>
      </c>
      <c r="AS61" t="e">
        <f t="shared" si="80"/>
        <v>#DIV/0!</v>
      </c>
      <c r="AT61">
        <f t="shared" si="81"/>
        <v>0</v>
      </c>
      <c r="AU61">
        <f t="shared" si="82"/>
        <v>0</v>
      </c>
      <c r="AV61">
        <f t="shared" si="83"/>
        <v>0</v>
      </c>
      <c r="AW61">
        <f t="shared" si="84"/>
        <v>0</v>
      </c>
      <c r="AY61">
        <f t="shared" si="85"/>
        <v>0</v>
      </c>
      <c r="AZ61">
        <f t="shared" si="86"/>
        <v>0</v>
      </c>
      <c r="BA61" t="e">
        <f t="shared" si="87"/>
        <v>#DIV/0!</v>
      </c>
      <c r="BB61" t="e">
        <f t="shared" si="88"/>
        <v>#DIV/0!</v>
      </c>
      <c r="BC61">
        <f t="shared" si="89"/>
        <v>0</v>
      </c>
      <c r="BD61">
        <f t="shared" si="90"/>
        <v>0</v>
      </c>
      <c r="BE61" t="str">
        <f>IF(AJ61="","",BD61+BC61+'TRADE LOG'!AR60)</f>
        <v/>
      </c>
      <c r="BF61">
        <f t="shared" si="91"/>
        <v>0</v>
      </c>
      <c r="BG61">
        <f t="shared" si="92"/>
        <v>0</v>
      </c>
      <c r="BH61" t="e">
        <f t="shared" si="93"/>
        <v>#DIV/0!</v>
      </c>
      <c r="BI61" t="e">
        <f t="shared" si="94"/>
        <v>#DIV/0!</v>
      </c>
      <c r="BJ61">
        <f t="shared" si="95"/>
        <v>0</v>
      </c>
      <c r="BK61" t="e">
        <f t="shared" si="96"/>
        <v>#VALUE!</v>
      </c>
      <c r="BL61" t="e">
        <f t="shared" si="97"/>
        <v>#DIV/0!</v>
      </c>
      <c r="BM61" t="e">
        <f t="shared" si="98"/>
        <v>#DIV/0!</v>
      </c>
      <c r="BN61" t="e">
        <f t="shared" si="99"/>
        <v>#DIV/0!</v>
      </c>
      <c r="BO61" t="e">
        <f t="shared" si="100"/>
        <v>#DIV/0!</v>
      </c>
      <c r="BP61" t="e">
        <f t="shared" si="101"/>
        <v>#DIV/0!</v>
      </c>
      <c r="BQ61">
        <f t="shared" si="59"/>
        <v>0</v>
      </c>
      <c r="BR61">
        <f t="shared" si="63"/>
        <v>0</v>
      </c>
      <c r="BS61" t="e">
        <f t="shared" si="102"/>
        <v>#DIV/0!</v>
      </c>
      <c r="BT61" t="e">
        <f t="shared" si="103"/>
        <v>#DIV/0!</v>
      </c>
      <c r="BU61" t="e">
        <f t="shared" si="104"/>
        <v>#DIV/0!</v>
      </c>
      <c r="BV61">
        <f t="shared" si="60"/>
        <v>0</v>
      </c>
      <c r="BW61">
        <f t="shared" si="61"/>
        <v>0</v>
      </c>
      <c r="BX61" t="e">
        <f t="shared" si="105"/>
        <v>#DIV/0!</v>
      </c>
      <c r="BY61" t="e">
        <f t="shared" si="106"/>
        <v>#DIV/0!</v>
      </c>
      <c r="BZ61" t="e">
        <f t="shared" si="107"/>
        <v>#DIV/0!</v>
      </c>
    </row>
    <row r="62" spans="2:78" ht="21.95" customHeight="1">
      <c r="B62" s="344">
        <v>47</v>
      </c>
      <c r="C62" s="542" t="str">
        <f t="shared" si="47"/>
        <v/>
      </c>
      <c r="D62" s="599" t="str">
        <f t="shared" si="64"/>
        <v/>
      </c>
      <c r="E62" s="543" t="str">
        <f t="shared" si="48"/>
        <v/>
      </c>
      <c r="F62" s="544" t="str">
        <f t="shared" si="49"/>
        <v/>
      </c>
      <c r="G62" s="545" t="str">
        <f t="shared" si="50"/>
        <v/>
      </c>
      <c r="H62" s="608" t="str">
        <f t="shared" si="51"/>
        <v/>
      </c>
      <c r="I62" s="547"/>
      <c r="J62" s="604" t="str">
        <f t="shared" si="65"/>
        <v/>
      </c>
      <c r="K62" s="543" t="str">
        <f t="shared" si="62"/>
        <v/>
      </c>
      <c r="L62" s="544" t="str">
        <f t="shared" si="52"/>
        <v/>
      </c>
      <c r="M62" s="544" t="str">
        <f t="shared" si="53"/>
        <v/>
      </c>
      <c r="N62" s="608" t="str">
        <f t="shared" si="54"/>
        <v/>
      </c>
      <c r="O62" s="547"/>
      <c r="P62" s="604" t="str">
        <f t="shared" si="66"/>
        <v/>
      </c>
      <c r="Q62" s="543" t="str">
        <f t="shared" si="55"/>
        <v/>
      </c>
      <c r="R62" s="544" t="str">
        <f t="shared" si="56"/>
        <v/>
      </c>
      <c r="S62" s="544" t="str">
        <f t="shared" si="57"/>
        <v/>
      </c>
      <c r="T62" s="608" t="str">
        <f t="shared" si="58"/>
        <v/>
      </c>
      <c r="U62" s="499"/>
      <c r="V62" s="289"/>
      <c r="Z62" t="e">
        <f t="shared" si="67"/>
        <v>#NUM!</v>
      </c>
      <c r="AA62" t="e">
        <f t="shared" si="68"/>
        <v>#NUM!</v>
      </c>
      <c r="AB62" t="e">
        <f t="shared" si="69"/>
        <v>#NUM!</v>
      </c>
      <c r="AC62" s="16" t="e">
        <f t="shared" si="70"/>
        <v>#NUM!</v>
      </c>
      <c r="AD62" s="16" t="e">
        <f t="shared" si="71"/>
        <v>#NUM!</v>
      </c>
      <c r="AE62" s="21"/>
      <c r="AF62" s="21"/>
      <c r="AG62" s="16"/>
      <c r="AH62" s="16"/>
      <c r="AI62" t="e">
        <f>SMALL('TRADE LOG'!$AQ$15:$AQ$9733,'TRADE LOG'!B61)</f>
        <v>#NUM!</v>
      </c>
      <c r="AJ62" t="str">
        <f t="shared" si="72"/>
        <v/>
      </c>
      <c r="AK62">
        <f t="shared" si="73"/>
        <v>0</v>
      </c>
      <c r="AL62">
        <f t="shared" si="74"/>
        <v>0</v>
      </c>
      <c r="AM62">
        <f t="shared" si="75"/>
        <v>0</v>
      </c>
      <c r="AN62">
        <f t="shared" si="76"/>
        <v>0</v>
      </c>
      <c r="AP62">
        <f t="shared" si="77"/>
        <v>0</v>
      </c>
      <c r="AQ62">
        <f t="shared" si="78"/>
        <v>0</v>
      </c>
      <c r="AR62" t="e">
        <f t="shared" si="79"/>
        <v>#DIV/0!</v>
      </c>
      <c r="AS62" t="e">
        <f t="shared" si="80"/>
        <v>#DIV/0!</v>
      </c>
      <c r="AT62">
        <f t="shared" si="81"/>
        <v>0</v>
      </c>
      <c r="AU62">
        <f t="shared" si="82"/>
        <v>0</v>
      </c>
      <c r="AV62">
        <f t="shared" si="83"/>
        <v>0</v>
      </c>
      <c r="AW62">
        <f t="shared" si="84"/>
        <v>0</v>
      </c>
      <c r="AY62">
        <f t="shared" si="85"/>
        <v>0</v>
      </c>
      <c r="AZ62">
        <f t="shared" si="86"/>
        <v>0</v>
      </c>
      <c r="BA62" t="e">
        <f t="shared" si="87"/>
        <v>#DIV/0!</v>
      </c>
      <c r="BB62" t="e">
        <f t="shared" si="88"/>
        <v>#DIV/0!</v>
      </c>
      <c r="BC62">
        <f t="shared" si="89"/>
        <v>0</v>
      </c>
      <c r="BD62">
        <f t="shared" si="90"/>
        <v>0</v>
      </c>
      <c r="BE62" t="str">
        <f>IF(AJ62="","",BD62+BC62+'TRADE LOG'!AR61)</f>
        <v/>
      </c>
      <c r="BF62">
        <f t="shared" si="91"/>
        <v>0</v>
      </c>
      <c r="BG62">
        <f t="shared" si="92"/>
        <v>0</v>
      </c>
      <c r="BH62" t="e">
        <f t="shared" si="93"/>
        <v>#DIV/0!</v>
      </c>
      <c r="BI62" t="e">
        <f t="shared" si="94"/>
        <v>#DIV/0!</v>
      </c>
      <c r="BJ62">
        <f t="shared" si="95"/>
        <v>0</v>
      </c>
      <c r="BK62" t="e">
        <f t="shared" si="96"/>
        <v>#VALUE!</v>
      </c>
      <c r="BL62" t="e">
        <f t="shared" si="97"/>
        <v>#DIV/0!</v>
      </c>
      <c r="BM62" t="e">
        <f t="shared" si="98"/>
        <v>#DIV/0!</v>
      </c>
      <c r="BN62" t="e">
        <f t="shared" si="99"/>
        <v>#DIV/0!</v>
      </c>
      <c r="BO62" t="e">
        <f t="shared" si="100"/>
        <v>#DIV/0!</v>
      </c>
      <c r="BP62" t="e">
        <f t="shared" si="101"/>
        <v>#DIV/0!</v>
      </c>
      <c r="BQ62">
        <f t="shared" si="59"/>
        <v>0</v>
      </c>
      <c r="BR62">
        <f t="shared" si="63"/>
        <v>0</v>
      </c>
      <c r="BS62" t="e">
        <f t="shared" si="102"/>
        <v>#DIV/0!</v>
      </c>
      <c r="BT62" t="e">
        <f t="shared" si="103"/>
        <v>#DIV/0!</v>
      </c>
      <c r="BU62" t="e">
        <f t="shared" si="104"/>
        <v>#DIV/0!</v>
      </c>
      <c r="BV62">
        <f t="shared" si="60"/>
        <v>0</v>
      </c>
      <c r="BW62">
        <f t="shared" si="61"/>
        <v>0</v>
      </c>
      <c r="BX62" t="e">
        <f t="shared" si="105"/>
        <v>#DIV/0!</v>
      </c>
      <c r="BY62" t="e">
        <f t="shared" si="106"/>
        <v>#DIV/0!</v>
      </c>
      <c r="BZ62" t="e">
        <f t="shared" si="107"/>
        <v>#DIV/0!</v>
      </c>
    </row>
    <row r="63" spans="2:78" ht="21.95" customHeight="1">
      <c r="B63" s="344">
        <v>48</v>
      </c>
      <c r="C63" s="542" t="str">
        <f t="shared" si="47"/>
        <v/>
      </c>
      <c r="D63" s="599" t="str">
        <f t="shared" si="64"/>
        <v/>
      </c>
      <c r="E63" s="543" t="str">
        <f t="shared" si="48"/>
        <v/>
      </c>
      <c r="F63" s="544" t="str">
        <f t="shared" si="49"/>
        <v/>
      </c>
      <c r="G63" s="545" t="str">
        <f t="shared" si="50"/>
        <v/>
      </c>
      <c r="H63" s="608" t="str">
        <f t="shared" si="51"/>
        <v/>
      </c>
      <c r="I63" s="547"/>
      <c r="J63" s="604" t="str">
        <f t="shared" si="65"/>
        <v/>
      </c>
      <c r="K63" s="543" t="str">
        <f t="shared" si="62"/>
        <v/>
      </c>
      <c r="L63" s="544" t="str">
        <f t="shared" si="52"/>
        <v/>
      </c>
      <c r="M63" s="544" t="str">
        <f t="shared" si="53"/>
        <v/>
      </c>
      <c r="N63" s="608" t="str">
        <f t="shared" si="54"/>
        <v/>
      </c>
      <c r="O63" s="547"/>
      <c r="P63" s="604" t="str">
        <f t="shared" si="66"/>
        <v/>
      </c>
      <c r="Q63" s="543" t="str">
        <f t="shared" si="55"/>
        <v/>
      </c>
      <c r="R63" s="544" t="str">
        <f t="shared" si="56"/>
        <v/>
      </c>
      <c r="S63" s="544" t="str">
        <f t="shared" si="57"/>
        <v/>
      </c>
      <c r="T63" s="608" t="str">
        <f t="shared" si="58"/>
        <v/>
      </c>
      <c r="U63" s="499"/>
      <c r="V63" s="289"/>
      <c r="Z63" t="e">
        <f t="shared" si="67"/>
        <v>#NUM!</v>
      </c>
      <c r="AA63" t="e">
        <f t="shared" si="68"/>
        <v>#NUM!</v>
      </c>
      <c r="AB63" t="e">
        <f t="shared" si="69"/>
        <v>#NUM!</v>
      </c>
      <c r="AC63" s="16" t="e">
        <f t="shared" si="70"/>
        <v>#NUM!</v>
      </c>
      <c r="AD63" s="16" t="e">
        <f t="shared" si="71"/>
        <v>#NUM!</v>
      </c>
      <c r="AE63" s="21"/>
      <c r="AF63" s="21"/>
      <c r="AG63" s="16"/>
      <c r="AH63" s="16"/>
      <c r="AI63" t="e">
        <f>SMALL('TRADE LOG'!$AQ$15:$AQ$9733,'TRADE LOG'!B62)</f>
        <v>#NUM!</v>
      </c>
      <c r="AJ63" t="str">
        <f t="shared" si="72"/>
        <v/>
      </c>
      <c r="AK63">
        <f t="shared" si="73"/>
        <v>0</v>
      </c>
      <c r="AL63">
        <f t="shared" si="74"/>
        <v>0</v>
      </c>
      <c r="AM63">
        <f t="shared" si="75"/>
        <v>0</v>
      </c>
      <c r="AN63">
        <f t="shared" si="76"/>
        <v>0</v>
      </c>
      <c r="AP63">
        <f t="shared" si="77"/>
        <v>0</v>
      </c>
      <c r="AQ63">
        <f t="shared" si="78"/>
        <v>0</v>
      </c>
      <c r="AR63" t="e">
        <f t="shared" si="79"/>
        <v>#DIV/0!</v>
      </c>
      <c r="AS63" t="e">
        <f t="shared" si="80"/>
        <v>#DIV/0!</v>
      </c>
      <c r="AT63">
        <f t="shared" si="81"/>
        <v>0</v>
      </c>
      <c r="AU63">
        <f t="shared" si="82"/>
        <v>0</v>
      </c>
      <c r="AV63">
        <f t="shared" si="83"/>
        <v>0</v>
      </c>
      <c r="AW63">
        <f t="shared" si="84"/>
        <v>0</v>
      </c>
      <c r="AY63">
        <f t="shared" si="85"/>
        <v>0</v>
      </c>
      <c r="AZ63">
        <f t="shared" si="86"/>
        <v>0</v>
      </c>
      <c r="BA63" t="e">
        <f t="shared" si="87"/>
        <v>#DIV/0!</v>
      </c>
      <c r="BB63" t="e">
        <f t="shared" si="88"/>
        <v>#DIV/0!</v>
      </c>
      <c r="BC63">
        <f t="shared" si="89"/>
        <v>0</v>
      </c>
      <c r="BD63">
        <f t="shared" si="90"/>
        <v>0</v>
      </c>
      <c r="BE63" t="str">
        <f>IF(AJ63="","",BD63+BC63+'TRADE LOG'!AR62)</f>
        <v/>
      </c>
      <c r="BF63">
        <f t="shared" si="91"/>
        <v>0</v>
      </c>
      <c r="BG63">
        <f t="shared" si="92"/>
        <v>0</v>
      </c>
      <c r="BH63" t="e">
        <f t="shared" si="93"/>
        <v>#DIV/0!</v>
      </c>
      <c r="BI63" t="e">
        <f t="shared" si="94"/>
        <v>#DIV/0!</v>
      </c>
      <c r="BJ63">
        <f t="shared" si="95"/>
        <v>0</v>
      </c>
      <c r="BK63" t="e">
        <f t="shared" si="96"/>
        <v>#VALUE!</v>
      </c>
      <c r="BL63" t="e">
        <f t="shared" si="97"/>
        <v>#DIV/0!</v>
      </c>
      <c r="BM63" t="e">
        <f t="shared" si="98"/>
        <v>#DIV/0!</v>
      </c>
      <c r="BN63" t="e">
        <f t="shared" si="99"/>
        <v>#DIV/0!</v>
      </c>
      <c r="BO63" t="e">
        <f t="shared" si="100"/>
        <v>#DIV/0!</v>
      </c>
      <c r="BP63" t="e">
        <f t="shared" si="101"/>
        <v>#DIV/0!</v>
      </c>
      <c r="BQ63">
        <f t="shared" si="59"/>
        <v>0</v>
      </c>
      <c r="BR63">
        <f t="shared" si="63"/>
        <v>0</v>
      </c>
      <c r="BS63" t="e">
        <f t="shared" si="102"/>
        <v>#DIV/0!</v>
      </c>
      <c r="BT63" t="e">
        <f t="shared" si="103"/>
        <v>#DIV/0!</v>
      </c>
      <c r="BU63" t="e">
        <f t="shared" si="104"/>
        <v>#DIV/0!</v>
      </c>
      <c r="BV63">
        <f t="shared" si="60"/>
        <v>0</v>
      </c>
      <c r="BW63">
        <f t="shared" si="61"/>
        <v>0</v>
      </c>
      <c r="BX63" t="e">
        <f t="shared" si="105"/>
        <v>#DIV/0!</v>
      </c>
      <c r="BY63" t="e">
        <f t="shared" si="106"/>
        <v>#DIV/0!</v>
      </c>
      <c r="BZ63" t="e">
        <f t="shared" si="107"/>
        <v>#DIV/0!</v>
      </c>
    </row>
    <row r="64" spans="2:78" ht="21.95" customHeight="1">
      <c r="B64" s="344">
        <v>49</v>
      </c>
      <c r="C64" s="542" t="str">
        <f t="shared" si="47"/>
        <v/>
      </c>
      <c r="D64" s="599" t="str">
        <f t="shared" si="64"/>
        <v/>
      </c>
      <c r="E64" s="543" t="str">
        <f t="shared" si="48"/>
        <v/>
      </c>
      <c r="F64" s="544" t="str">
        <f t="shared" si="49"/>
        <v/>
      </c>
      <c r="G64" s="545" t="str">
        <f t="shared" si="50"/>
        <v/>
      </c>
      <c r="H64" s="608" t="str">
        <f t="shared" si="51"/>
        <v/>
      </c>
      <c r="I64" s="547"/>
      <c r="J64" s="604" t="str">
        <f t="shared" si="65"/>
        <v/>
      </c>
      <c r="K64" s="543" t="str">
        <f t="shared" si="62"/>
        <v/>
      </c>
      <c r="L64" s="544" t="str">
        <f t="shared" si="52"/>
        <v/>
      </c>
      <c r="M64" s="544" t="str">
        <f t="shared" si="53"/>
        <v/>
      </c>
      <c r="N64" s="608" t="str">
        <f t="shared" si="54"/>
        <v/>
      </c>
      <c r="O64" s="547"/>
      <c r="P64" s="604" t="str">
        <f t="shared" si="66"/>
        <v/>
      </c>
      <c r="Q64" s="543" t="str">
        <f t="shared" si="55"/>
        <v/>
      </c>
      <c r="R64" s="544" t="str">
        <f t="shared" si="56"/>
        <v/>
      </c>
      <c r="S64" s="544" t="str">
        <f t="shared" si="57"/>
        <v/>
      </c>
      <c r="T64" s="608" t="str">
        <f t="shared" si="58"/>
        <v/>
      </c>
      <c r="U64" s="499"/>
      <c r="V64" s="289"/>
      <c r="Z64" t="e">
        <f t="shared" si="67"/>
        <v>#NUM!</v>
      </c>
      <c r="AA64" t="e">
        <f t="shared" si="68"/>
        <v>#NUM!</v>
      </c>
      <c r="AB64" t="e">
        <f t="shared" si="69"/>
        <v>#NUM!</v>
      </c>
      <c r="AC64" s="16" t="e">
        <f t="shared" si="70"/>
        <v>#NUM!</v>
      </c>
      <c r="AD64" s="16" t="e">
        <f t="shared" si="71"/>
        <v>#NUM!</v>
      </c>
      <c r="AE64" s="21"/>
      <c r="AF64" s="21"/>
      <c r="AG64" s="16"/>
      <c r="AH64" s="16"/>
      <c r="AI64" t="e">
        <f>SMALL('TRADE LOG'!$AQ$15:$AQ$9733,'TRADE LOG'!B63)</f>
        <v>#NUM!</v>
      </c>
      <c r="AJ64" t="str">
        <f t="shared" si="72"/>
        <v/>
      </c>
      <c r="AK64">
        <f t="shared" si="73"/>
        <v>0</v>
      </c>
      <c r="AL64">
        <f t="shared" si="74"/>
        <v>0</v>
      </c>
      <c r="AM64">
        <f t="shared" si="75"/>
        <v>0</v>
      </c>
      <c r="AN64">
        <f t="shared" si="76"/>
        <v>0</v>
      </c>
      <c r="AP64">
        <f t="shared" si="77"/>
        <v>0</v>
      </c>
      <c r="AQ64">
        <f t="shared" si="78"/>
        <v>0</v>
      </c>
      <c r="AR64" t="e">
        <f t="shared" si="79"/>
        <v>#DIV/0!</v>
      </c>
      <c r="AS64" t="e">
        <f t="shared" si="80"/>
        <v>#DIV/0!</v>
      </c>
      <c r="AT64">
        <f t="shared" si="81"/>
        <v>0</v>
      </c>
      <c r="AU64">
        <f t="shared" si="82"/>
        <v>0</v>
      </c>
      <c r="AV64">
        <f t="shared" si="83"/>
        <v>0</v>
      </c>
      <c r="AW64">
        <f t="shared" si="84"/>
        <v>0</v>
      </c>
      <c r="AY64">
        <f t="shared" si="85"/>
        <v>0</v>
      </c>
      <c r="AZ64">
        <f t="shared" si="86"/>
        <v>0</v>
      </c>
      <c r="BA64" t="e">
        <f t="shared" si="87"/>
        <v>#DIV/0!</v>
      </c>
      <c r="BB64" t="e">
        <f t="shared" si="88"/>
        <v>#DIV/0!</v>
      </c>
      <c r="BC64">
        <f t="shared" si="89"/>
        <v>0</v>
      </c>
      <c r="BD64">
        <f t="shared" si="90"/>
        <v>0</v>
      </c>
      <c r="BE64" t="str">
        <f>IF(AJ64="","",BD64+BC64+'TRADE LOG'!AR63)</f>
        <v/>
      </c>
      <c r="BF64">
        <f t="shared" si="91"/>
        <v>0</v>
      </c>
      <c r="BG64">
        <f t="shared" si="92"/>
        <v>0</v>
      </c>
      <c r="BH64" t="e">
        <f t="shared" si="93"/>
        <v>#DIV/0!</v>
      </c>
      <c r="BI64" t="e">
        <f t="shared" si="94"/>
        <v>#DIV/0!</v>
      </c>
      <c r="BJ64">
        <f t="shared" si="95"/>
        <v>0</v>
      </c>
      <c r="BK64" t="e">
        <f t="shared" si="96"/>
        <v>#VALUE!</v>
      </c>
      <c r="BL64" t="e">
        <f t="shared" si="97"/>
        <v>#DIV/0!</v>
      </c>
      <c r="BM64" t="e">
        <f t="shared" si="98"/>
        <v>#DIV/0!</v>
      </c>
      <c r="BN64" t="e">
        <f t="shared" si="99"/>
        <v>#DIV/0!</v>
      </c>
      <c r="BO64" t="e">
        <f t="shared" si="100"/>
        <v>#DIV/0!</v>
      </c>
      <c r="BP64" t="e">
        <f t="shared" si="101"/>
        <v>#DIV/0!</v>
      </c>
      <c r="BQ64">
        <f t="shared" si="59"/>
        <v>0</v>
      </c>
      <c r="BR64">
        <f t="shared" si="63"/>
        <v>0</v>
      </c>
      <c r="BS64" t="e">
        <f t="shared" si="102"/>
        <v>#DIV/0!</v>
      </c>
      <c r="BT64" t="e">
        <f t="shared" si="103"/>
        <v>#DIV/0!</v>
      </c>
      <c r="BU64" t="e">
        <f t="shared" si="104"/>
        <v>#DIV/0!</v>
      </c>
      <c r="BV64">
        <f t="shared" si="60"/>
        <v>0</v>
      </c>
      <c r="BW64">
        <f t="shared" si="61"/>
        <v>0</v>
      </c>
      <c r="BX64" t="e">
        <f t="shared" si="105"/>
        <v>#DIV/0!</v>
      </c>
      <c r="BY64" t="e">
        <f t="shared" si="106"/>
        <v>#DIV/0!</v>
      </c>
      <c r="BZ64" t="e">
        <f t="shared" si="107"/>
        <v>#DIV/0!</v>
      </c>
    </row>
    <row r="65" spans="2:78" ht="21.95" customHeight="1">
      <c r="B65" s="344">
        <v>50</v>
      </c>
      <c r="C65" s="542" t="str">
        <f t="shared" si="47"/>
        <v/>
      </c>
      <c r="D65" s="599" t="str">
        <f t="shared" si="64"/>
        <v/>
      </c>
      <c r="E65" s="543" t="str">
        <f t="shared" si="48"/>
        <v/>
      </c>
      <c r="F65" s="544" t="str">
        <f t="shared" si="49"/>
        <v/>
      </c>
      <c r="G65" s="545" t="str">
        <f t="shared" si="50"/>
        <v/>
      </c>
      <c r="H65" s="608" t="str">
        <f t="shared" si="51"/>
        <v/>
      </c>
      <c r="I65" s="548"/>
      <c r="J65" s="604" t="str">
        <f t="shared" si="65"/>
        <v/>
      </c>
      <c r="K65" s="543" t="str">
        <f t="shared" si="62"/>
        <v/>
      </c>
      <c r="L65" s="544" t="str">
        <f t="shared" si="52"/>
        <v/>
      </c>
      <c r="M65" s="544" t="str">
        <f t="shared" si="53"/>
        <v/>
      </c>
      <c r="N65" s="608" t="str">
        <f t="shared" si="54"/>
        <v/>
      </c>
      <c r="O65" s="548"/>
      <c r="P65" s="604" t="str">
        <f t="shared" si="66"/>
        <v/>
      </c>
      <c r="Q65" s="543" t="str">
        <f t="shared" si="55"/>
        <v/>
      </c>
      <c r="R65" s="544" t="str">
        <f t="shared" si="56"/>
        <v/>
      </c>
      <c r="S65" s="544" t="str">
        <f t="shared" si="57"/>
        <v/>
      </c>
      <c r="T65" s="608" t="str">
        <f t="shared" si="58"/>
        <v/>
      </c>
      <c r="U65" s="499"/>
      <c r="V65" s="289"/>
      <c r="Z65" t="e">
        <f t="shared" si="67"/>
        <v>#NUM!</v>
      </c>
      <c r="AA65" t="e">
        <f t="shared" si="68"/>
        <v>#NUM!</v>
      </c>
      <c r="AB65" t="e">
        <f t="shared" si="69"/>
        <v>#NUM!</v>
      </c>
      <c r="AC65" s="16" t="e">
        <f t="shared" si="70"/>
        <v>#NUM!</v>
      </c>
      <c r="AD65" s="16" t="e">
        <f t="shared" si="71"/>
        <v>#NUM!</v>
      </c>
      <c r="AE65" s="21"/>
      <c r="AF65" s="21"/>
      <c r="AG65" s="16"/>
      <c r="AH65" s="16"/>
      <c r="AI65" t="e">
        <f>SMALL('TRADE LOG'!$AQ$15:$AQ$9733,'TRADE LOG'!B64)</f>
        <v>#NUM!</v>
      </c>
      <c r="AJ65" t="str">
        <f t="shared" si="72"/>
        <v/>
      </c>
      <c r="AK65">
        <f t="shared" si="73"/>
        <v>0</v>
      </c>
      <c r="AL65">
        <f t="shared" si="74"/>
        <v>0</v>
      </c>
      <c r="AM65">
        <f t="shared" si="75"/>
        <v>0</v>
      </c>
      <c r="AN65">
        <f t="shared" si="76"/>
        <v>0</v>
      </c>
      <c r="AP65">
        <f t="shared" si="77"/>
        <v>0</v>
      </c>
      <c r="AQ65">
        <f t="shared" si="78"/>
        <v>0</v>
      </c>
      <c r="AR65" t="e">
        <f t="shared" si="79"/>
        <v>#DIV/0!</v>
      </c>
      <c r="AS65" t="e">
        <f t="shared" si="80"/>
        <v>#DIV/0!</v>
      </c>
      <c r="AT65">
        <f t="shared" si="81"/>
        <v>0</v>
      </c>
      <c r="AU65">
        <f t="shared" si="82"/>
        <v>0</v>
      </c>
      <c r="AV65">
        <f t="shared" si="83"/>
        <v>0</v>
      </c>
      <c r="AW65">
        <f t="shared" si="84"/>
        <v>0</v>
      </c>
      <c r="AY65">
        <f t="shared" si="85"/>
        <v>0</v>
      </c>
      <c r="AZ65">
        <f t="shared" si="86"/>
        <v>0</v>
      </c>
      <c r="BA65" t="e">
        <f t="shared" si="87"/>
        <v>#DIV/0!</v>
      </c>
      <c r="BB65" t="e">
        <f t="shared" si="88"/>
        <v>#DIV/0!</v>
      </c>
      <c r="BC65">
        <f t="shared" si="89"/>
        <v>0</v>
      </c>
      <c r="BD65">
        <f t="shared" si="90"/>
        <v>0</v>
      </c>
      <c r="BE65" t="str">
        <f>IF(AJ65="","",BD65+BC65+'TRADE LOG'!AR64)</f>
        <v/>
      </c>
      <c r="BF65">
        <f t="shared" si="91"/>
        <v>0</v>
      </c>
      <c r="BG65">
        <f t="shared" si="92"/>
        <v>0</v>
      </c>
      <c r="BH65" t="e">
        <f t="shared" si="93"/>
        <v>#DIV/0!</v>
      </c>
      <c r="BI65" t="e">
        <f t="shared" si="94"/>
        <v>#DIV/0!</v>
      </c>
      <c r="BJ65">
        <f t="shared" si="95"/>
        <v>0</v>
      </c>
      <c r="BK65" t="e">
        <f t="shared" si="96"/>
        <v>#VALUE!</v>
      </c>
      <c r="BL65" t="e">
        <f t="shared" si="97"/>
        <v>#DIV/0!</v>
      </c>
      <c r="BM65" t="e">
        <f t="shared" si="98"/>
        <v>#DIV/0!</v>
      </c>
      <c r="BN65" t="e">
        <f t="shared" si="99"/>
        <v>#DIV/0!</v>
      </c>
      <c r="BO65" t="e">
        <f t="shared" si="100"/>
        <v>#DIV/0!</v>
      </c>
      <c r="BP65" t="e">
        <f t="shared" si="101"/>
        <v>#DIV/0!</v>
      </c>
      <c r="BQ65">
        <f t="shared" si="59"/>
        <v>0</v>
      </c>
      <c r="BR65">
        <f t="shared" si="63"/>
        <v>0</v>
      </c>
      <c r="BS65" t="e">
        <f t="shared" si="102"/>
        <v>#DIV/0!</v>
      </c>
      <c r="BT65" t="e">
        <f t="shared" si="103"/>
        <v>#DIV/0!</v>
      </c>
      <c r="BU65" t="e">
        <f t="shared" si="104"/>
        <v>#DIV/0!</v>
      </c>
      <c r="BV65">
        <f t="shared" si="60"/>
        <v>0</v>
      </c>
      <c r="BW65">
        <f t="shared" si="61"/>
        <v>0</v>
      </c>
      <c r="BX65" t="e">
        <f t="shared" si="105"/>
        <v>#DIV/0!</v>
      </c>
      <c r="BY65" t="e">
        <f t="shared" si="106"/>
        <v>#DIV/0!</v>
      </c>
      <c r="BZ65" t="e">
        <f t="shared" si="107"/>
        <v>#DIV/0!</v>
      </c>
    </row>
    <row r="66" spans="2:78" ht="0.6" customHeight="1">
      <c r="B66" s="30"/>
      <c r="C66" s="500"/>
      <c r="D66" s="600" t="str">
        <f t="shared" ref="D66" si="108">IFERROR(P66+J66,"")</f>
        <v/>
      </c>
      <c r="E66" s="501" t="str">
        <f t="shared" si="48"/>
        <v/>
      </c>
      <c r="F66" s="502"/>
      <c r="G66" s="503" t="str">
        <f t="shared" si="50"/>
        <v/>
      </c>
      <c r="H66" s="609" t="str">
        <f t="shared" si="51"/>
        <v/>
      </c>
      <c r="I66" s="41"/>
      <c r="J66" s="600" t="str">
        <f t="shared" ref="J66" si="109">IFERROR(AC66,"")</f>
        <v/>
      </c>
      <c r="K66" s="501" t="str">
        <f t="shared" si="62"/>
        <v/>
      </c>
      <c r="L66" s="504" t="str">
        <f t="shared" si="52"/>
        <v/>
      </c>
      <c r="M66" s="504" t="str">
        <f t="shared" si="53"/>
        <v/>
      </c>
      <c r="N66" s="609" t="str">
        <f t="shared" si="54"/>
        <v/>
      </c>
      <c r="O66" s="43"/>
      <c r="P66" s="606" t="str">
        <f t="shared" ref="P66" si="110">IFERROR(AD66,"")</f>
        <v/>
      </c>
      <c r="Q66" s="501" t="str">
        <f t="shared" si="55"/>
        <v/>
      </c>
      <c r="R66" s="505" t="str">
        <f t="shared" si="56"/>
        <v/>
      </c>
      <c r="S66" s="505" t="str">
        <f t="shared" si="57"/>
        <v/>
      </c>
      <c r="T66" s="611" t="str">
        <f t="shared" si="58"/>
        <v/>
      </c>
      <c r="U66" s="86"/>
      <c r="V66" s="31"/>
      <c r="Z66" t="e">
        <f t="shared" si="67"/>
        <v>#NUM!</v>
      </c>
      <c r="AA66" t="e">
        <f t="shared" si="68"/>
        <v>#NUM!</v>
      </c>
      <c r="AB66" t="e">
        <f t="shared" si="69"/>
        <v>#NUM!</v>
      </c>
      <c r="AC66" s="16" t="e">
        <f t="shared" si="70"/>
        <v>#NUM!</v>
      </c>
      <c r="AD66" s="16" t="e">
        <f t="shared" si="71"/>
        <v>#NUM!</v>
      </c>
      <c r="AE66" s="21"/>
      <c r="AF66" s="21"/>
      <c r="AG66" s="16"/>
      <c r="AH66" s="16"/>
      <c r="AI66" t="e">
        <f>SMALL('TRADE LOG'!$AQ$15:$AQ$9733,'TRADE LOG'!B65)</f>
        <v>#NUM!</v>
      </c>
      <c r="AJ66" t="str">
        <f t="shared" si="72"/>
        <v/>
      </c>
      <c r="AK66">
        <f t="shared" si="73"/>
        <v>0</v>
      </c>
      <c r="AL66">
        <f t="shared" si="74"/>
        <v>0</v>
      </c>
      <c r="AM66">
        <f t="shared" si="75"/>
        <v>0</v>
      </c>
      <c r="AN66">
        <f t="shared" si="76"/>
        <v>0</v>
      </c>
      <c r="AP66">
        <f t="shared" si="77"/>
        <v>0</v>
      </c>
      <c r="AQ66">
        <f t="shared" si="78"/>
        <v>0</v>
      </c>
      <c r="AR66" t="e">
        <f t="shared" si="79"/>
        <v>#DIV/0!</v>
      </c>
      <c r="AS66" t="e">
        <f t="shared" si="80"/>
        <v>#DIV/0!</v>
      </c>
      <c r="AT66">
        <f t="shared" si="81"/>
        <v>0</v>
      </c>
      <c r="AU66">
        <f t="shared" si="82"/>
        <v>0</v>
      </c>
      <c r="AV66">
        <f t="shared" si="83"/>
        <v>0</v>
      </c>
      <c r="AW66">
        <f t="shared" si="84"/>
        <v>0</v>
      </c>
      <c r="AX66" t="e">
        <f t="shared" ref="AX66" si="111">AW66/AT66</f>
        <v>#DIV/0!</v>
      </c>
      <c r="AY66">
        <f t="shared" si="85"/>
        <v>0</v>
      </c>
      <c r="AZ66">
        <f t="shared" si="86"/>
        <v>0</v>
      </c>
      <c r="BA66" t="e">
        <f t="shared" si="87"/>
        <v>#DIV/0!</v>
      </c>
      <c r="BB66" t="e">
        <f t="shared" si="88"/>
        <v>#DIV/0!</v>
      </c>
      <c r="BC66">
        <f t="shared" si="89"/>
        <v>0</v>
      </c>
      <c r="BD66">
        <f t="shared" si="90"/>
        <v>0</v>
      </c>
      <c r="BE66" t="str">
        <f>IF(AJ66="","",BD66+BC66+'TRADE LOG'!AR65)</f>
        <v/>
      </c>
      <c r="BF66">
        <f t="shared" si="91"/>
        <v>0</v>
      </c>
      <c r="BG66">
        <f t="shared" si="92"/>
        <v>0</v>
      </c>
      <c r="BH66" t="e">
        <f t="shared" si="93"/>
        <v>#DIV/0!</v>
      </c>
      <c r="BI66" t="e">
        <f t="shared" si="94"/>
        <v>#DIV/0!</v>
      </c>
      <c r="BJ66">
        <f t="shared" si="95"/>
        <v>0</v>
      </c>
      <c r="BK66" t="e">
        <f t="shared" si="96"/>
        <v>#VALUE!</v>
      </c>
      <c r="BL66" t="e">
        <f t="shared" si="97"/>
        <v>#DIV/0!</v>
      </c>
      <c r="BM66" t="e">
        <f t="shared" si="98"/>
        <v>#DIV/0!</v>
      </c>
      <c r="BN66" t="e">
        <f t="shared" si="99"/>
        <v>#DIV/0!</v>
      </c>
      <c r="BO66" t="e">
        <f t="shared" si="100"/>
        <v>#DIV/0!</v>
      </c>
      <c r="BP66" t="e">
        <f t="shared" si="101"/>
        <v>#DIV/0!</v>
      </c>
      <c r="BQ66">
        <f t="shared" si="59"/>
        <v>0</v>
      </c>
      <c r="BR66">
        <f t="shared" si="63"/>
        <v>0</v>
      </c>
      <c r="BS66" t="e">
        <f t="shared" si="102"/>
        <v>#DIV/0!</v>
      </c>
      <c r="BT66" t="e">
        <f t="shared" si="103"/>
        <v>#DIV/0!</v>
      </c>
      <c r="BU66" t="e">
        <f t="shared" si="104"/>
        <v>#DIV/0!</v>
      </c>
      <c r="BV66">
        <f t="shared" si="60"/>
        <v>0</v>
      </c>
      <c r="BW66">
        <f t="shared" si="61"/>
        <v>0</v>
      </c>
      <c r="BX66" t="e">
        <f t="shared" si="105"/>
        <v>#DIV/0!</v>
      </c>
      <c r="BY66" t="e">
        <f t="shared" si="106"/>
        <v>#DIV/0!</v>
      </c>
      <c r="BZ66" t="e">
        <f t="shared" si="107"/>
        <v>#DIV/0!</v>
      </c>
    </row>
    <row r="67" spans="2:78" ht="0.6" customHeight="1">
      <c r="B67" s="94"/>
      <c r="C67" s="46"/>
      <c r="D67" s="601"/>
      <c r="E67" s="48"/>
      <c r="F67" s="80"/>
      <c r="G67" s="80"/>
      <c r="H67" s="610"/>
      <c r="I67" s="49"/>
      <c r="J67" s="605"/>
      <c r="K67" s="48"/>
      <c r="L67" s="81"/>
      <c r="M67" s="81"/>
      <c r="N67" s="610"/>
      <c r="O67" s="49"/>
      <c r="P67" s="607"/>
      <c r="Q67" s="48"/>
      <c r="R67" s="81"/>
      <c r="S67" s="81"/>
      <c r="T67" s="610"/>
      <c r="U67" s="82"/>
      <c r="V67" s="47"/>
    </row>
    <row r="68" spans="2:78">
      <c r="D68" s="602"/>
      <c r="H68" s="602"/>
      <c r="J68" s="602"/>
      <c r="N68" s="602"/>
      <c r="P68" s="602"/>
      <c r="T68" s="602"/>
    </row>
  </sheetData>
  <sheetProtection algorithmName="SHA-512" hashValue="bDZ31GnwIanBNk8Ng+Hz5qn0dr2/CL4d+P/YaWZfIG1vYolfxPP9McceDFdEdqH0zTm0t4RD4B8lSzMGPdKifQ==" saltValue="qpPgKj5heAso7LWQVOWnJQ==" spinCount="100000" sheet="1" objects="1" scenarios="1" formatCells="0"/>
  <protectedRanges>
    <protectedRange sqref="X13" name="Range1"/>
  </protectedRanges>
  <mergeCells count="11">
    <mergeCell ref="R9:S9"/>
    <mergeCell ref="R4:S4"/>
    <mergeCell ref="R5:S5"/>
    <mergeCell ref="R6:S6"/>
    <mergeCell ref="R7:S7"/>
    <mergeCell ref="R8:S8"/>
    <mergeCell ref="O9:P9"/>
    <mergeCell ref="O5:P5"/>
    <mergeCell ref="O6:P6"/>
    <mergeCell ref="O7:P7"/>
    <mergeCell ref="O8:P8"/>
  </mergeCells>
  <phoneticPr fontId="111" type="noConversion"/>
  <conditionalFormatting sqref="O9:S9 E5:E10 H5:H10 D15:D67 J15:J67 P15:P67 N15:N67 T15:T67 H15:H67">
    <cfRule type="cellIs" dxfId="285" priority="128" operator="lessThan">
      <formula>0</formula>
    </cfRule>
  </conditionalFormatting>
  <conditionalFormatting sqref="O7:R8 L15:M67 R15:S67 F15:G67">
    <cfRule type="cellIs" dxfId="284" priority="126" operator="lessThan">
      <formula>1</formula>
    </cfRule>
  </conditionalFormatting>
  <conditionalFormatting sqref="N15:N67 T15:T67 H15:H67">
    <cfRule type="expression" dxfId="283" priority="1218">
      <formula>$F15=""</formula>
    </cfRule>
  </conditionalFormatting>
  <dataValidations disablePrompts="1" count="3">
    <dataValidation allowBlank="1" showInputMessage="1" showErrorMessage="1" prompt="(Total realized loss) divided by (Total Cash Deposits )" sqref="AW6 A14" xr:uid="{00000000-0002-0000-0400-000002000000}"/>
    <dataValidation allowBlank="1" showInputMessage="1" showErrorMessage="1" prompt="(Total realized gain) divided by (Total Cash Deposits )" sqref="AW4" xr:uid="{00000000-0002-0000-0400-000001000000}"/>
    <dataValidation allowBlank="1" showInputMessage="1" showErrorMessage="1" prompt="(Total realized gain) + (Total realized loss)" sqref="AQ9" xr:uid="{00000000-0002-0000-0400-000000000000}"/>
  </dataValidations>
  <pageMargins left="0.7" right="0.7" top="0.75" bottom="0.75" header="0.3" footer="0.3"/>
  <pageSetup orientation="landscape"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onthlyReport">
    <tabColor theme="7"/>
    <pageSetUpPr fitToPage="1"/>
  </sheetPr>
  <dimension ref="A1:BI90"/>
  <sheetViews>
    <sheetView showGridLines="0" showRowColHeaders="0" zoomScaleNormal="100" workbookViewId="0">
      <pane ySplit="14" topLeftCell="A15" activePane="bottomLeft" state="frozen"/>
      <selection activeCell="L5" sqref="L5"/>
      <selection pane="bottomLeft" activeCell="J42" sqref="J42"/>
    </sheetView>
  </sheetViews>
  <sheetFormatPr defaultColWidth="0" defaultRowHeight="15"/>
  <cols>
    <col min="1" max="1" width="2" customWidth="1"/>
    <col min="2" max="2" width="8.7109375" customWidth="1"/>
    <col min="3" max="4" width="15.28515625" hidden="1" customWidth="1"/>
    <col min="5" max="11" width="14.7109375" customWidth="1"/>
    <col min="12" max="12" width="10.7109375" customWidth="1"/>
    <col min="13" max="13" width="1.140625" customWidth="1"/>
    <col min="14" max="19" width="9.28515625" customWidth="1"/>
    <col min="20" max="20" width="8.7109375" hidden="1" customWidth="1"/>
    <col min="21" max="22" width="9.28515625" customWidth="1"/>
    <col min="23" max="23" width="98" customWidth="1"/>
    <col min="24" max="24" width="9.7109375" hidden="1" customWidth="1"/>
    <col min="25" max="25" width="11.42578125" hidden="1" customWidth="1"/>
    <col min="26" max="26" width="10" hidden="1" customWidth="1"/>
    <col min="27" max="27" width="7.28515625" hidden="1" customWidth="1"/>
    <col min="28" max="28" width="15.28515625" hidden="1" customWidth="1"/>
    <col min="29" max="29" width="10.42578125" hidden="1" customWidth="1"/>
    <col min="30" max="30" width="18.7109375" hidden="1" customWidth="1"/>
    <col min="31" max="31" width="12" hidden="1" customWidth="1"/>
    <col min="32" max="32" width="10.42578125" hidden="1" customWidth="1"/>
    <col min="33" max="34" width="7.28515625" hidden="1" customWidth="1"/>
    <col min="35" max="35" width="8" hidden="1" customWidth="1"/>
    <col min="36" max="36" width="6" hidden="1" customWidth="1"/>
    <col min="37" max="37" width="10.7109375" hidden="1" customWidth="1"/>
    <col min="38" max="40" width="14.5703125" hidden="1" customWidth="1"/>
    <col min="41" max="41" width="12.85546875" hidden="1" customWidth="1"/>
    <col min="42" max="43" width="7.28515625" hidden="1" customWidth="1"/>
    <col min="44" max="45" width="9.85546875" hidden="1" customWidth="1"/>
    <col min="46" max="47" width="9.5703125" hidden="1" customWidth="1"/>
    <col min="48" max="48" width="12.28515625" hidden="1" customWidth="1"/>
    <col min="49" max="49" width="8" hidden="1" customWidth="1"/>
    <col min="50" max="50" width="13.7109375" hidden="1" customWidth="1"/>
    <col min="51" max="51" width="12.85546875" hidden="1" customWidth="1"/>
    <col min="52" max="52" width="13.5703125" hidden="1" customWidth="1"/>
    <col min="53" max="53" width="8.5703125" hidden="1" customWidth="1"/>
    <col min="54" max="54" width="13.42578125" hidden="1" customWidth="1"/>
    <col min="55" max="55" width="11.28515625" hidden="1" customWidth="1"/>
    <col min="56" max="56" width="6.42578125" hidden="1" customWidth="1"/>
    <col min="57" max="57" width="8.7109375" hidden="1" customWidth="1"/>
    <col min="58" max="61" width="13" hidden="1" customWidth="1"/>
    <col min="62" max="16384" width="6.42578125" hidden="1"/>
  </cols>
  <sheetData>
    <row r="1" spans="1:52" ht="30" customHeight="1">
      <c r="A1" s="215"/>
      <c r="B1" s="195" t="s">
        <v>409</v>
      </c>
      <c r="C1" s="113"/>
      <c r="D1" s="113"/>
      <c r="E1" s="215"/>
      <c r="F1" s="215"/>
      <c r="G1" s="216"/>
      <c r="H1" s="217"/>
      <c r="I1" s="218"/>
      <c r="J1" s="217"/>
      <c r="K1" s="216"/>
      <c r="L1" s="113"/>
      <c r="M1" s="217"/>
      <c r="N1" s="216"/>
      <c r="O1" s="216"/>
      <c r="P1" s="216"/>
      <c r="Q1" s="216"/>
      <c r="R1" s="216"/>
      <c r="S1" s="216"/>
      <c r="T1" s="216"/>
      <c r="U1" s="216"/>
      <c r="V1" s="253"/>
      <c r="W1" s="253"/>
      <c r="X1" t="str">
        <f>SETTINGS!AA13</f>
        <v>REWARD-RISK RATIO</v>
      </c>
      <c r="Y1" t="str">
        <f>"WIN% VS "&amp;X1</f>
        <v>WIN% VS REWARD-RISK RATIO</v>
      </c>
      <c r="AM1" s="27"/>
      <c r="AN1" s="27"/>
      <c r="AO1" s="27"/>
      <c r="AP1" s="27"/>
      <c r="AY1" t="s">
        <v>403</v>
      </c>
      <c r="AZ1" t="s">
        <v>191</v>
      </c>
    </row>
    <row r="2" spans="1:52" ht="3.75" hidden="1" customHeight="1">
      <c r="A2" s="219"/>
      <c r="B2" s="220"/>
      <c r="C2" s="113"/>
      <c r="D2" s="113"/>
      <c r="E2" s="215"/>
      <c r="F2" s="215"/>
      <c r="G2" s="221"/>
      <c r="H2" s="217"/>
      <c r="I2" s="218"/>
      <c r="J2" s="217"/>
      <c r="K2" s="216"/>
      <c r="L2" s="217"/>
      <c r="M2" s="217"/>
      <c r="N2" s="216"/>
      <c r="O2" s="216"/>
      <c r="P2" s="216"/>
      <c r="Q2" s="216"/>
      <c r="R2" s="216"/>
      <c r="S2" s="216"/>
      <c r="T2" s="216"/>
      <c r="U2" s="216"/>
      <c r="V2" s="253"/>
      <c r="W2" s="253"/>
      <c r="AM2" s="16"/>
      <c r="AN2" s="16"/>
      <c r="AO2" s="16"/>
    </row>
    <row r="3" spans="1:52" ht="14.1" customHeight="1">
      <c r="A3" s="219"/>
      <c r="B3" s="222"/>
      <c r="C3" s="113"/>
      <c r="D3" s="113"/>
      <c r="E3" s="223"/>
      <c r="F3" s="223"/>
      <c r="G3" s="223"/>
      <c r="H3" s="113"/>
      <c r="I3" s="113"/>
      <c r="J3" s="222"/>
      <c r="K3" s="113"/>
      <c r="L3" s="113"/>
      <c r="M3" s="113"/>
      <c r="N3" s="222"/>
      <c r="O3" s="113"/>
      <c r="P3" s="113"/>
      <c r="Q3" s="113"/>
      <c r="R3" s="224"/>
      <c r="S3" s="224"/>
      <c r="T3" s="224"/>
      <c r="U3" s="113"/>
      <c r="V3" s="254"/>
      <c r="W3" s="254"/>
      <c r="X3" s="14">
        <f>SETTINGS!AH2</f>
        <v>45024</v>
      </c>
      <c r="AL3" s="24"/>
      <c r="AM3" s="87" t="str">
        <f>CONCATENATE(TEXT(AM4,"  0.0% "),"to Breakeven")</f>
        <v xml:space="preserve">  39.5% to Breakeven</v>
      </c>
      <c r="AN3" s="88" t="s">
        <v>228</v>
      </c>
      <c r="AO3" t="s">
        <v>95</v>
      </c>
      <c r="AP3" t="s">
        <v>241</v>
      </c>
      <c r="AQ3" t="s">
        <v>239</v>
      </c>
      <c r="AR3" s="89" t="s">
        <v>191</v>
      </c>
      <c r="AT3" s="89" t="s">
        <v>229</v>
      </c>
      <c r="AV3" s="90" t="s">
        <v>406</v>
      </c>
      <c r="AZ3" t="s">
        <v>404</v>
      </c>
    </row>
    <row r="4" spans="1:52" ht="14.1" customHeight="1">
      <c r="A4" s="219"/>
      <c r="B4" s="225"/>
      <c r="C4" s="113"/>
      <c r="D4" s="113"/>
      <c r="E4" s="223"/>
      <c r="F4" s="223"/>
      <c r="G4" s="223"/>
      <c r="H4" s="113"/>
      <c r="I4" s="226"/>
      <c r="J4" s="227"/>
      <c r="K4" s="113"/>
      <c r="L4" s="228"/>
      <c r="M4" s="113"/>
      <c r="N4" s="113"/>
      <c r="O4" s="113"/>
      <c r="P4" s="113"/>
      <c r="Q4" s="113"/>
      <c r="R4" s="229"/>
      <c r="S4" s="229"/>
      <c r="T4" s="229"/>
      <c r="U4" s="113"/>
      <c r="V4" s="254"/>
      <c r="W4" s="254"/>
      <c r="X4" s="14">
        <f>DATE(YEAR(X3),MONTH(X3),DAY(1))</f>
        <v>45017</v>
      </c>
      <c r="Y4">
        <f>IF(SETTINGS!L20="Archived","Archived",X4)</f>
        <v>45017</v>
      </c>
      <c r="AL4" s="26">
        <f>S2O</f>
        <v>45017</v>
      </c>
      <c r="AM4" s="99">
        <f t="shared" ref="AM4:AM9" si="0">1/(1+(AV4/1))</f>
        <v>0.39494497543680873</v>
      </c>
      <c r="AN4" s="24">
        <f>IF(AM4&gt;0,100%)</f>
        <v>1</v>
      </c>
      <c r="AO4" s="99">
        <f t="shared" ref="AO4:AO9" si="1">AK15</f>
        <v>0.45454545454545453</v>
      </c>
      <c r="AP4" s="24">
        <f t="shared" ref="AP4:AP9" si="2">AP15</f>
        <v>6.8203044749986161E-2</v>
      </c>
      <c r="AQ4" s="24">
        <f t="shared" ref="AQ4:AQ9" si="3">-AQ15</f>
        <v>4.4519008585946623E-2</v>
      </c>
      <c r="AR4" s="96">
        <f t="shared" ref="AR4:AR9" si="4">AP4/AQ4</f>
        <v>1.5319982837963717</v>
      </c>
      <c r="AS4" s="97"/>
      <c r="AT4" s="98" t="e">
        <f t="shared" ref="AT4:AT9" si="5">AT15/AU15</f>
        <v>#DIV/0!</v>
      </c>
      <c r="AV4" s="25">
        <f>IF($X$1=$AB$8,AR4,AT4)</f>
        <v>1.5319982837963717</v>
      </c>
      <c r="AZ4" t="s">
        <v>405</v>
      </c>
    </row>
    <row r="5" spans="1:52" ht="14.1" customHeight="1">
      <c r="A5" s="219"/>
      <c r="B5" s="230"/>
      <c r="C5" s="113"/>
      <c r="D5" s="113"/>
      <c r="E5" s="223"/>
      <c r="F5" s="223"/>
      <c r="G5" s="223"/>
      <c r="H5" s="113"/>
      <c r="I5" s="226"/>
      <c r="J5" s="231"/>
      <c r="K5" s="113"/>
      <c r="L5" s="232"/>
      <c r="M5" s="113"/>
      <c r="N5" s="113"/>
      <c r="O5" s="113"/>
      <c r="P5" s="113"/>
      <c r="Q5" s="113"/>
      <c r="R5" s="233"/>
      <c r="S5" s="233"/>
      <c r="T5" s="233"/>
      <c r="U5" s="113"/>
      <c r="V5" s="255"/>
      <c r="W5" s="255"/>
      <c r="X5" s="14">
        <f>MIN('TRADE LOG'!C15:C1749)</f>
        <v>43977.241886574076</v>
      </c>
      <c r="Y5">
        <f>HOME!U6</f>
        <v>0</v>
      </c>
      <c r="AD5" t="s">
        <v>319</v>
      </c>
      <c r="AE5" t="s">
        <v>320</v>
      </c>
      <c r="AL5" s="26">
        <f>X16</f>
        <v>44986</v>
      </c>
      <c r="AM5" s="99">
        <f t="shared" si="0"/>
        <v>0.39494497543680873</v>
      </c>
      <c r="AN5" s="24">
        <f t="shared" ref="AN5:AN9" si="6">IF(AM5&gt;0,100%)</f>
        <v>1</v>
      </c>
      <c r="AO5" s="99">
        <f t="shared" si="1"/>
        <v>0.45454545454545453</v>
      </c>
      <c r="AP5" s="24">
        <f t="shared" si="2"/>
        <v>6.8203044749986161E-2</v>
      </c>
      <c r="AQ5" s="24">
        <f t="shared" si="3"/>
        <v>4.4519008585946623E-2</v>
      </c>
      <c r="AR5" s="96">
        <f t="shared" si="4"/>
        <v>1.5319982837963717</v>
      </c>
      <c r="AS5" s="97"/>
      <c r="AT5" s="98" t="e">
        <f t="shared" si="5"/>
        <v>#DIV/0!</v>
      </c>
      <c r="AV5" s="25">
        <f t="shared" ref="AV5:AV9" si="7">IF($X$1=$AB$8,AR5,AT5)</f>
        <v>1.5319982837963717</v>
      </c>
      <c r="AZ5" t="s">
        <v>213</v>
      </c>
    </row>
    <row r="6" spans="1:52" ht="14.1" customHeight="1">
      <c r="A6" s="219"/>
      <c r="B6" s="230"/>
      <c r="C6" s="113"/>
      <c r="D6" s="113"/>
      <c r="E6" s="223"/>
      <c r="F6" s="223"/>
      <c r="G6" s="223"/>
      <c r="H6" s="113"/>
      <c r="I6" s="226"/>
      <c r="J6" s="231"/>
      <c r="K6" s="113"/>
      <c r="L6" s="234"/>
      <c r="M6" s="113"/>
      <c r="N6" s="113"/>
      <c r="O6" s="113"/>
      <c r="P6" s="113"/>
      <c r="Q6" s="113"/>
      <c r="R6" s="233"/>
      <c r="S6" s="233"/>
      <c r="T6" s="233"/>
      <c r="U6" s="113"/>
      <c r="V6" s="256"/>
      <c r="W6" s="256"/>
      <c r="X6" s="14">
        <f>MIN('Bank Transfers'!D15:D1000)</f>
        <v>43977.241886574076</v>
      </c>
      <c r="AD6">
        <f>SUMIFS('TRADE LOG'!$BD$15:$BD$9733,'TRADE LOG'!$BK$15:$BK$9733,1)</f>
        <v>13805.110000000002</v>
      </c>
      <c r="AE6">
        <f>SUMIFS('TRADE LOG'!$BD$15:$BD$9733,'TRADE LOG'!$BK$15:$BK$9733,-1,'TRADE LOG'!$BC$15:$BC$9733,0)</f>
        <v>-9533.6899999999969</v>
      </c>
      <c r="AL6" s="26">
        <f>X17</f>
        <v>44958</v>
      </c>
      <c r="AM6" s="99">
        <f t="shared" si="0"/>
        <v>0.39494497543680873</v>
      </c>
      <c r="AN6" s="24">
        <f t="shared" si="6"/>
        <v>1</v>
      </c>
      <c r="AO6" s="99">
        <f t="shared" si="1"/>
        <v>0.45454545454545453</v>
      </c>
      <c r="AP6" s="24">
        <f t="shared" si="2"/>
        <v>6.8203044749986161E-2</v>
      </c>
      <c r="AQ6" s="24">
        <f t="shared" si="3"/>
        <v>4.4519008585946623E-2</v>
      </c>
      <c r="AR6" s="96">
        <f t="shared" si="4"/>
        <v>1.5319982837963717</v>
      </c>
      <c r="AS6" s="97"/>
      <c r="AT6" s="98" t="e">
        <f t="shared" si="5"/>
        <v>#DIV/0!</v>
      </c>
      <c r="AV6" s="25">
        <f t="shared" si="7"/>
        <v>1.5319982837963717</v>
      </c>
    </row>
    <row r="7" spans="1:52" ht="14.1" customHeight="1">
      <c r="A7" s="219"/>
      <c r="B7" s="230"/>
      <c r="C7" s="113"/>
      <c r="D7" s="113"/>
      <c r="E7" s="223"/>
      <c r="F7" s="223"/>
      <c r="G7" s="223"/>
      <c r="H7" s="113"/>
      <c r="I7" s="226"/>
      <c r="J7" s="235"/>
      <c r="K7" s="113"/>
      <c r="L7" s="236"/>
      <c r="M7" s="113"/>
      <c r="N7" s="113"/>
      <c r="O7" s="113"/>
      <c r="P7" s="113"/>
      <c r="Q7" s="113"/>
      <c r="R7" s="233"/>
      <c r="S7" s="233"/>
      <c r="T7" s="233"/>
      <c r="U7" s="113"/>
      <c r="V7" s="257"/>
      <c r="W7" s="257"/>
      <c r="X7" s="14">
        <f>IF(OR(MIN(X5:X6)=0,COUNT(S2O)=0),SETTINGS!#REF!,MIN(X5:X6))</f>
        <v>43977.241886574076</v>
      </c>
      <c r="Y7">
        <f>DATE(YEAR(X7),MONTH(X7),DAY(1))</f>
        <v>43952</v>
      </c>
      <c r="AD7">
        <f>AD6/-AE6</f>
        <v>1.4480342868291298</v>
      </c>
      <c r="AL7" s="26">
        <f>X18</f>
        <v>44927</v>
      </c>
      <c r="AM7" s="99">
        <f t="shared" si="0"/>
        <v>0.39494497543680873</v>
      </c>
      <c r="AN7" s="24">
        <f t="shared" si="6"/>
        <v>1</v>
      </c>
      <c r="AO7" s="99">
        <f t="shared" si="1"/>
        <v>0.45454545454545453</v>
      </c>
      <c r="AP7" s="24">
        <f t="shared" si="2"/>
        <v>6.8203044749986161E-2</v>
      </c>
      <c r="AQ7" s="24">
        <f t="shared" si="3"/>
        <v>4.4519008585946623E-2</v>
      </c>
      <c r="AR7" s="96">
        <f t="shared" si="4"/>
        <v>1.5319982837963717</v>
      </c>
      <c r="AS7" s="97"/>
      <c r="AT7" s="98" t="e">
        <f t="shared" si="5"/>
        <v>#DIV/0!</v>
      </c>
      <c r="AV7" s="25">
        <f t="shared" si="7"/>
        <v>1.5319982837963717</v>
      </c>
    </row>
    <row r="8" spans="1:52" ht="14.1" customHeight="1">
      <c r="A8" s="219"/>
      <c r="B8" s="230"/>
      <c r="C8" s="113"/>
      <c r="D8" s="113"/>
      <c r="E8" s="223"/>
      <c r="F8" s="223"/>
      <c r="G8" s="223"/>
      <c r="H8" s="113"/>
      <c r="I8" s="226"/>
      <c r="J8" s="113"/>
      <c r="K8" s="113"/>
      <c r="L8" s="237"/>
      <c r="M8" s="113"/>
      <c r="N8" s="113"/>
      <c r="O8" s="113"/>
      <c r="P8" s="113"/>
      <c r="Q8" s="113"/>
      <c r="R8" s="233"/>
      <c r="S8" s="233"/>
      <c r="T8" s="233"/>
      <c r="U8" s="113"/>
      <c r="V8" s="258"/>
      <c r="W8" s="258"/>
      <c r="X8" s="14"/>
      <c r="AB8" t="s">
        <v>460</v>
      </c>
      <c r="AG8" t="s">
        <v>240</v>
      </c>
      <c r="AL8" s="26">
        <f>X19</f>
        <v>44896</v>
      </c>
      <c r="AM8" s="99">
        <f t="shared" si="0"/>
        <v>0.39494497543680873</v>
      </c>
      <c r="AN8" s="24">
        <f t="shared" si="6"/>
        <v>1</v>
      </c>
      <c r="AO8" s="99">
        <f t="shared" si="1"/>
        <v>0.45454545454545453</v>
      </c>
      <c r="AP8" s="24">
        <f t="shared" si="2"/>
        <v>6.8203044749986161E-2</v>
      </c>
      <c r="AQ8" s="24">
        <f t="shared" si="3"/>
        <v>4.4519008585946623E-2</v>
      </c>
      <c r="AR8" s="96">
        <f t="shared" si="4"/>
        <v>1.5319982837963717</v>
      </c>
      <c r="AS8" s="97"/>
      <c r="AT8" s="98" t="e">
        <f t="shared" si="5"/>
        <v>#DIV/0!</v>
      </c>
      <c r="AV8" s="25">
        <f t="shared" si="7"/>
        <v>1.5319982837963717</v>
      </c>
    </row>
    <row r="9" spans="1:52" ht="14.1" customHeight="1">
      <c r="A9" s="219"/>
      <c r="B9" s="230"/>
      <c r="C9" s="113"/>
      <c r="D9" s="113"/>
      <c r="E9" s="223"/>
      <c r="F9" s="223"/>
      <c r="G9" s="223"/>
      <c r="H9" s="113"/>
      <c r="I9" s="226"/>
      <c r="J9" s="238"/>
      <c r="K9" s="113"/>
      <c r="L9" s="228"/>
      <c r="M9" s="113"/>
      <c r="N9" s="113"/>
      <c r="O9" s="113"/>
      <c r="P9" s="113"/>
      <c r="Q9" s="113"/>
      <c r="R9" s="239"/>
      <c r="S9" s="239"/>
      <c r="T9" s="239"/>
      <c r="U9" s="113"/>
      <c r="V9" s="259"/>
      <c r="W9" s="259"/>
      <c r="AB9" t="s">
        <v>461</v>
      </c>
      <c r="AE9" t="e">
        <f>AL15/AG15</f>
        <v>#DIV/0!</v>
      </c>
      <c r="AL9" s="26">
        <f>X20</f>
        <v>44866</v>
      </c>
      <c r="AM9" s="99">
        <f t="shared" si="0"/>
        <v>0.39494497543680873</v>
      </c>
      <c r="AN9" s="24">
        <f t="shared" si="6"/>
        <v>1</v>
      </c>
      <c r="AO9" s="99">
        <f t="shared" si="1"/>
        <v>0.45454545454545453</v>
      </c>
      <c r="AP9" s="24">
        <f t="shared" si="2"/>
        <v>6.8203044749986161E-2</v>
      </c>
      <c r="AQ9" s="24">
        <f t="shared" si="3"/>
        <v>4.4519008585946623E-2</v>
      </c>
      <c r="AR9" s="25">
        <f t="shared" si="4"/>
        <v>1.5319982837963717</v>
      </c>
      <c r="AS9" s="16"/>
      <c r="AT9" s="28" t="e">
        <f t="shared" si="5"/>
        <v>#DIV/0!</v>
      </c>
      <c r="AV9" s="25">
        <f t="shared" si="7"/>
        <v>1.5319982837963717</v>
      </c>
    </row>
    <row r="10" spans="1:52" ht="14.1" customHeight="1">
      <c r="A10" s="219"/>
      <c r="B10" s="240"/>
      <c r="C10" s="113"/>
      <c r="D10" s="113"/>
      <c r="E10" s="241"/>
      <c r="F10" s="241"/>
      <c r="G10" s="241"/>
      <c r="H10" s="235"/>
      <c r="I10" s="226"/>
      <c r="J10" s="235"/>
      <c r="K10" s="113"/>
      <c r="L10" s="242"/>
      <c r="M10" s="236"/>
      <c r="N10" s="243"/>
      <c r="O10" s="243"/>
      <c r="P10" s="243"/>
      <c r="Q10" s="243"/>
      <c r="R10" s="239"/>
      <c r="S10" s="239"/>
      <c r="T10" s="239"/>
      <c r="U10" s="244"/>
      <c r="V10" s="259"/>
      <c r="W10" s="259"/>
      <c r="X10">
        <f>SETTINGS!S3</f>
        <v>0.01</v>
      </c>
      <c r="AE10" t="e">
        <f>AL16/AG16</f>
        <v>#DIV/0!</v>
      </c>
      <c r="AO10" s="17"/>
    </row>
    <row r="11" spans="1:52" ht="14.1" customHeight="1">
      <c r="A11" s="219"/>
      <c r="B11" s="113"/>
      <c r="C11" s="113"/>
      <c r="D11" s="113"/>
      <c r="E11" s="113"/>
      <c r="F11" s="113"/>
      <c r="G11" s="113"/>
      <c r="H11" s="235"/>
      <c r="I11" s="239"/>
      <c r="J11" s="237"/>
      <c r="K11" s="245"/>
      <c r="L11" s="246"/>
      <c r="M11" s="237"/>
      <c r="N11" s="245"/>
      <c r="O11" s="239"/>
      <c r="P11" s="239"/>
      <c r="Q11" s="239"/>
      <c r="R11" s="239"/>
      <c r="S11" s="239"/>
      <c r="T11" s="239"/>
      <c r="U11" s="247"/>
      <c r="V11" s="259"/>
      <c r="W11" s="259"/>
      <c r="X11">
        <f>SUMIFS(ProfitLoss,ProfitLoss,"&gt;0",Datelog,"&gt;0",'TRADE LOG'!$Q$15:$Q$9733,"&gt;0")</f>
        <v>13805.110000000002</v>
      </c>
      <c r="AY11" t="s">
        <v>317</v>
      </c>
      <c r="AZ11" t="s">
        <v>318</v>
      </c>
    </row>
    <row r="12" spans="1:52" ht="14.1" customHeight="1">
      <c r="A12" s="248"/>
      <c r="B12" s="249"/>
      <c r="C12" s="113"/>
      <c r="D12" s="113"/>
      <c r="E12" s="248"/>
      <c r="F12" s="248"/>
      <c r="G12" s="113"/>
      <c r="H12" s="113"/>
      <c r="I12" s="248"/>
      <c r="J12" s="248"/>
      <c r="K12" s="250"/>
      <c r="L12" s="250"/>
      <c r="M12" s="251"/>
      <c r="N12" s="250"/>
      <c r="O12" s="252"/>
      <c r="P12" s="250"/>
      <c r="Q12" s="252"/>
      <c r="R12" s="252"/>
      <c r="S12" s="252"/>
      <c r="T12" s="252"/>
      <c r="U12" s="250"/>
      <c r="V12" s="260"/>
      <c r="W12" s="260"/>
      <c r="AT12" t="s">
        <v>116</v>
      </c>
      <c r="AY12">
        <f>MAX(AA15:AA50)*1.5</f>
        <v>6661077.7434755517</v>
      </c>
      <c r="AZ12">
        <f>MAX(J15:J50)*1.1</f>
        <v>59282.047000000006</v>
      </c>
    </row>
    <row r="13" spans="1:52" ht="21.95" customHeight="1">
      <c r="A13" s="324"/>
      <c r="B13" s="662" t="s">
        <v>251</v>
      </c>
      <c r="C13" s="663" t="s">
        <v>20</v>
      </c>
      <c r="D13" s="663" t="s">
        <v>21</v>
      </c>
      <c r="E13" s="664" t="s">
        <v>254</v>
      </c>
      <c r="F13" s="664" t="s">
        <v>256</v>
      </c>
      <c r="G13" s="664" t="s">
        <v>309</v>
      </c>
      <c r="H13" s="664" t="s">
        <v>310</v>
      </c>
      <c r="I13" s="664" t="s">
        <v>61</v>
      </c>
      <c r="J13" s="664" t="s">
        <v>255</v>
      </c>
      <c r="K13" s="664" t="s">
        <v>313</v>
      </c>
      <c r="L13" s="664" t="s">
        <v>226</v>
      </c>
      <c r="M13" s="665"/>
      <c r="N13" s="664" t="s">
        <v>246</v>
      </c>
      <c r="O13" s="664" t="s">
        <v>473</v>
      </c>
      <c r="P13" s="664" t="s">
        <v>248</v>
      </c>
      <c r="Q13" s="664" t="s">
        <v>249</v>
      </c>
      <c r="R13" s="664" t="s">
        <v>191</v>
      </c>
      <c r="S13" s="664" t="s">
        <v>250</v>
      </c>
      <c r="T13" s="664" t="s">
        <v>471</v>
      </c>
      <c r="U13" s="664" t="s">
        <v>349</v>
      </c>
      <c r="V13" s="261"/>
      <c r="W13" s="261"/>
      <c r="AB13" t="s">
        <v>300</v>
      </c>
      <c r="AD13" t="s">
        <v>299</v>
      </c>
      <c r="AE13" t="s">
        <v>399</v>
      </c>
      <c r="AF13" t="s">
        <v>390</v>
      </c>
      <c r="AG13" t="s">
        <v>94</v>
      </c>
      <c r="AH13" t="s">
        <v>35</v>
      </c>
      <c r="AI13" t="s">
        <v>230</v>
      </c>
      <c r="AJ13" t="s">
        <v>231</v>
      </c>
      <c r="AK13" t="s">
        <v>232</v>
      </c>
      <c r="AL13" t="s">
        <v>233</v>
      </c>
      <c r="AM13" t="s">
        <v>234</v>
      </c>
      <c r="AN13" t="s">
        <v>235</v>
      </c>
      <c r="AO13" t="s">
        <v>236</v>
      </c>
      <c r="AP13" t="s">
        <v>237</v>
      </c>
      <c r="AQ13" t="s">
        <v>238</v>
      </c>
      <c r="AR13" t="s">
        <v>242</v>
      </c>
      <c r="AS13" t="s">
        <v>243</v>
      </c>
      <c r="AT13" t="s">
        <v>244</v>
      </c>
      <c r="AU13" t="s">
        <v>245</v>
      </c>
      <c r="AV13" t="s">
        <v>244</v>
      </c>
      <c r="AW13" t="s">
        <v>245</v>
      </c>
      <c r="AY13">
        <f>MIN(AA15:AA50)*0.8</f>
        <v>0</v>
      </c>
      <c r="AZ13">
        <f>LARGE(J15:J50,COUNT(U15:U50))*0.8</f>
        <v>42973.376000000004</v>
      </c>
    </row>
    <row r="14" spans="1:52" ht="21.95" customHeight="1">
      <c r="A14" s="697"/>
      <c r="B14" s="705" t="s">
        <v>143</v>
      </c>
      <c r="C14" s="706">
        <f>SUMIFS('Bank Transfers'!H15:H514,'Bank Transfers'!E15:E514,"deposit")</f>
        <v>50000</v>
      </c>
      <c r="D14" s="706">
        <f>SUMIFS('Bank Transfers'!H15:H514,'Bank Transfers'!E15:E514,"Withdraw",'Bank Transfers'!D15:D514,"&gt;0")</f>
        <v>0</v>
      </c>
      <c r="E14" s="698">
        <f>'TRADE LOG'!T15</f>
        <v>50000</v>
      </c>
      <c r="F14" s="612">
        <f>SUM(F15:F50)</f>
        <v>0</v>
      </c>
      <c r="G14" s="612">
        <f>SUMIFS('TRADE LOG'!$M$15:$M$9733,WL,"W")</f>
        <v>16146.939999999999</v>
      </c>
      <c r="H14" s="613">
        <f>SUMIFS('TRADE LOG'!$M$15:$M$9733,WL,"L")</f>
        <v>-6914.68</v>
      </c>
      <c r="I14" s="613">
        <f>SUM(Fees)</f>
        <v>-4960.8400000000011</v>
      </c>
      <c r="J14" s="698">
        <f>SUM(E14:I14)</f>
        <v>54271.42</v>
      </c>
      <c r="K14" s="614">
        <f>G14+H14+I14</f>
        <v>4271.4199999999973</v>
      </c>
      <c r="L14" s="549">
        <f>IFERROR(K14/(E14),0)</f>
        <v>8.5428399999999946E-2</v>
      </c>
      <c r="M14" s="550"/>
      <c r="N14" s="707">
        <f>'TRADE STATISTICS'!BI4+'TRADE STATISTICS'!BJ4</f>
        <v>55</v>
      </c>
      <c r="O14" s="708">
        <f>'TRADE STATISTICS'!BI6</f>
        <v>0.45454545454545453</v>
      </c>
      <c r="P14" s="708">
        <f>DASHBOARD!I37</f>
        <v>6.8203044749986161E-2</v>
      </c>
      <c r="Q14" s="551">
        <f>DASHBOARD!I38</f>
        <v>-4.4519008585946623E-2</v>
      </c>
      <c r="R14" s="709">
        <f>IFERROR(P14/-Q14,"")</f>
        <v>1.5319982837963717</v>
      </c>
      <c r="S14" s="709">
        <f>'TRADE STATISTICS'!BL8</f>
        <v>1.7376411441949557</v>
      </c>
      <c r="T14" s="552">
        <f>'TRADE STATISTICS'!BJ9</f>
        <v>1.4480342868291298</v>
      </c>
      <c r="U14" s="553">
        <f>IFERROR(K14/((E14+F14)*X10),0)</f>
        <v>8.5428399999999947</v>
      </c>
      <c r="V14" s="262"/>
      <c r="W14" s="262"/>
      <c r="X14" t="s">
        <v>10</v>
      </c>
      <c r="Z14" t="s">
        <v>10</v>
      </c>
      <c r="AA14" t="s">
        <v>1</v>
      </c>
      <c r="AB14" t="s">
        <v>259</v>
      </c>
      <c r="AC14" t="s">
        <v>260</v>
      </c>
      <c r="AD14" t="s">
        <v>262</v>
      </c>
      <c r="AE14" t="s">
        <v>263</v>
      </c>
      <c r="AF14" t="s">
        <v>261</v>
      </c>
      <c r="AG14">
        <f>'TRADE STATISTICS'!BI4</f>
        <v>25</v>
      </c>
      <c r="AH14">
        <f>'TRADE STATISTICS'!BJ4</f>
        <v>30</v>
      </c>
      <c r="AL14">
        <f>SUMIFS(PNLPercent,WL,"W")</f>
        <v>1.7050761187496539</v>
      </c>
      <c r="AM14">
        <f>SUMIFS(PNLPercent,WL,"L")</f>
        <v>-1.3355702575783988</v>
      </c>
      <c r="AR14">
        <f>AD6</f>
        <v>13805.110000000002</v>
      </c>
      <c r="AS14">
        <f>AE6</f>
        <v>-9533.6899999999969</v>
      </c>
      <c r="AX14" t="s">
        <v>313</v>
      </c>
      <c r="AY14" t="s">
        <v>472</v>
      </c>
    </row>
    <row r="15" spans="1:52" ht="21.95" customHeight="1">
      <c r="A15" s="697">
        <v>1</v>
      </c>
      <c r="B15" s="700">
        <f>IFERROR(IF(COUNT(X15)=0,S2O,IF(IF(X15&lt;=$X$4,X15,"")&lt;$Y$7,"",IF(X15&lt;=$X$4,X15,""))),"")</f>
        <v>45017</v>
      </c>
      <c r="C15" s="701">
        <f>SUMIFS('Bank Transfers'!$H$15:$H$514,'Bank Transfers'!$L$15:$L$514,B15,'Bank Transfers'!$E$15:$E$514,"deposit")</f>
        <v>0</v>
      </c>
      <c r="D15" s="701">
        <f>SUMIFS('Bank Transfers'!$H$15:$H$514,'Bank Transfers'!$L$15:$L$514,B15,'Bank Transfers'!$E$15:$E$514,"withdraw")</f>
        <v>0</v>
      </c>
      <c r="E15" s="699">
        <f>IF(B15="","",IF(B15='Bank Transfers'!$L$15,'Bank Transfers'!$H$15,J16))</f>
        <v>53716.72</v>
      </c>
      <c r="F15" s="615">
        <f>IFERROR(IF(B15='Bank Transfers'!$L$15,C15+D15-E15,C15+D15),0)</f>
        <v>0</v>
      </c>
      <c r="G15" s="615">
        <f>SUMIFS('TRADE LOG'!$M$15:$M$9733,WL,"W",datecode,B15)</f>
        <v>0</v>
      </c>
      <c r="H15" s="616">
        <f>SUMIFS('TRADE LOG'!$M$15:$M$9733,WL,"L",datecode,B15)</f>
        <v>0</v>
      </c>
      <c r="I15" s="616">
        <f t="shared" ref="I15:I50" si="8">SUMIFS(Fees,datecode,B15)</f>
        <v>0</v>
      </c>
      <c r="J15" s="699">
        <f>IFERROR(IF(B15="",0,SUM(E15:I15)),"")</f>
        <v>53716.72</v>
      </c>
      <c r="K15" s="615">
        <f>IFERROR(G15+H15+I15,"")</f>
        <v>0</v>
      </c>
      <c r="L15" s="554">
        <f t="shared" ref="L15:L22" si="9">IFERROR(K15/IF(AND(B15&lt;&gt;"",E15&lt;=0),F15,E15),"")</f>
        <v>0</v>
      </c>
      <c r="M15" s="555"/>
      <c r="N15" s="702">
        <f t="shared" ref="N15:N46" si="10">IF(E15="","",AG15+AH15)</f>
        <v>0</v>
      </c>
      <c r="O15" s="703" t="str">
        <f t="shared" ref="O15:O46" si="11">IFERROR(AG15/(AG15+AH15),"")</f>
        <v/>
      </c>
      <c r="P15" s="703" t="str">
        <f t="shared" ref="P15:P50" si="12">IFERROR(SUMIFS(PNLPercent,WL,"W",datecode,B15)/AG15,"")</f>
        <v/>
      </c>
      <c r="Q15" s="556" t="str">
        <f>IFERROR(SUMIFS('TRADE LOG'!$BE$15:$BE$9733,'TRADE LOG'!$BK$15:$BK$9733,-1,datecode,B15)/AH15,"")</f>
        <v/>
      </c>
      <c r="R15" s="704" t="str">
        <f>IFERROR(P15/-Q15,"")</f>
        <v/>
      </c>
      <c r="S15" s="704" t="str">
        <f>IFERROR(AV15/AW15,"")</f>
        <v/>
      </c>
      <c r="T15" s="557" t="str">
        <f t="shared" ref="T15:T46" si="13">IFERROR((AV15*AF15)/(AW15*(1-AF15)),"")</f>
        <v/>
      </c>
      <c r="U15" s="558">
        <f>IFERROR(SUMIFS('TRADE LOG'!$W$15:$W$9733,datecode,"="&amp;B15),"")</f>
        <v>0</v>
      </c>
      <c r="V15" s="263"/>
      <c r="W15" s="263"/>
      <c r="X15">
        <f>IFERROR(IF(Nameko=SheetlU13,M2O,Y5),Y5)</f>
        <v>45017</v>
      </c>
      <c r="Y15">
        <f>IF(J15=0,NA(),J15)</f>
        <v>53716.72</v>
      </c>
      <c r="Z15">
        <f t="shared" ref="Z15:Z46" si="14">B15</f>
        <v>45017</v>
      </c>
      <c r="AA15">
        <f>SUMIFS(BuyAmount,datecode,"="&amp;'MONTHLY REPORT'!B15)</f>
        <v>0</v>
      </c>
      <c r="AB15">
        <f t="shared" ref="AB15:AB46" si="15">IF(L15&gt;0,AA15,0)</f>
        <v>0</v>
      </c>
      <c r="AC15">
        <f>AA15-AB15</f>
        <v>0</v>
      </c>
      <c r="AD15">
        <f t="shared" ref="AD15:AD20" si="16">IF(O15&gt;O16,O15,0)</f>
        <v>0</v>
      </c>
      <c r="AE15" t="e">
        <f t="shared" ref="AE15:AE20" si="17">O15-AD15</f>
        <v>#VALUE!</v>
      </c>
      <c r="AF15" s="21" t="str">
        <f t="shared" ref="AF15:AF20" si="18">O15</f>
        <v/>
      </c>
      <c r="AG15">
        <f t="shared" ref="AG15:AG50" si="19">COUNTIFS(WL,"W",datecode,B15)</f>
        <v>0</v>
      </c>
      <c r="AH15">
        <f t="shared" ref="AH15:AH50" si="20">COUNTIFS(WL,"L",datecode,B15)</f>
        <v>0</v>
      </c>
      <c r="AI15">
        <f>AG14</f>
        <v>25</v>
      </c>
      <c r="AJ15">
        <f>AH14</f>
        <v>30</v>
      </c>
      <c r="AK15">
        <f>IFERROR(AI15/(AI15+AJ15),NA())</f>
        <v>0.45454545454545453</v>
      </c>
      <c r="AL15">
        <f t="shared" ref="AL15:AL20" si="21">SUMIFS(PNLPercent,WL,"W",datecode,B15)</f>
        <v>0</v>
      </c>
      <c r="AM15">
        <f t="shared" ref="AM15:AM20" si="22">SUMIFS(PNLPercent,WL,"L",datecode,B15)</f>
        <v>0</v>
      </c>
      <c r="AN15">
        <f>AL14</f>
        <v>1.7050761187496539</v>
      </c>
      <c r="AO15">
        <f>AM14</f>
        <v>-1.3355702575783988</v>
      </c>
      <c r="AP15">
        <f>IFERROR(AN15/AI15,0)</f>
        <v>6.8203044749986161E-2</v>
      </c>
      <c r="AQ15">
        <f>IFERROR(AO15/AJ15,0)</f>
        <v>-4.4519008585946623E-2</v>
      </c>
      <c r="AR15">
        <f>AX15+AR16</f>
        <v>0</v>
      </c>
      <c r="AS15">
        <f>AY15+AS16</f>
        <v>0</v>
      </c>
      <c r="AT15">
        <f>AR15/AI15</f>
        <v>0</v>
      </c>
      <c r="AU15">
        <f>-AS15/AJ15</f>
        <v>0</v>
      </c>
      <c r="AV15" t="e">
        <f t="shared" ref="AV15:AV46" si="23">AX15/AG15</f>
        <v>#DIV/0!</v>
      </c>
      <c r="AW15" t="e">
        <f t="shared" ref="AW15:AW46" si="24">-AY15/AH15</f>
        <v>#DIV/0!</v>
      </c>
      <c r="AX15">
        <f t="shared" ref="AX15:AX50" si="25">SUMIFS(PNLwFees,WL,"W",datecode,B15)</f>
        <v>0</v>
      </c>
      <c r="AY15">
        <f t="shared" ref="AY15:AY50" si="26">SUMIFS(PNLwFees,WL,"L",datecode,B15)</f>
        <v>0</v>
      </c>
    </row>
    <row r="16" spans="1:52" ht="21.95" customHeight="1">
      <c r="A16" s="697">
        <f t="shared" ref="A16:A47" si="27">A15+1</f>
        <v>2</v>
      </c>
      <c r="B16" s="700">
        <f>IFERROR(IF(IF(X16&lt;=$X$4,X16,"")&lt;$Y$7,"",IF(X16&lt;=$X$4,X16,"")),"")</f>
        <v>44986</v>
      </c>
      <c r="C16" s="701">
        <f>SUMIFS('Bank Transfers'!$H$15:$H$514,'Bank Transfers'!$L$15:$L$514,B16,'Bank Transfers'!$E$15:$E$514,"deposit")</f>
        <v>0</v>
      </c>
      <c r="D16" s="701">
        <f>SUMIFS('Bank Transfers'!$H$15:$H$514,'Bank Transfers'!$L$15:$L$514,B16,'Bank Transfers'!$E$15:$E$514,"withdraw")</f>
        <v>0</v>
      </c>
      <c r="E16" s="699">
        <f>IF(B16="","",IF(B16='Bank Transfers'!$L$15,'Bank Transfers'!$H$15,J17))</f>
        <v>53716.72</v>
      </c>
      <c r="F16" s="615">
        <f>IFERROR(IF(B16='Bank Transfers'!$L$15,C16+D16-E16,C16+D16),0)</f>
        <v>0</v>
      </c>
      <c r="G16" s="615">
        <f>SUMIFS('TRADE LOG'!$M$15:$M$9733,WL,"W",datecode,B16)</f>
        <v>0</v>
      </c>
      <c r="H16" s="616">
        <f>SUMIFS('TRADE LOG'!$M$15:$M$9733,WL,"L",datecode,B16)</f>
        <v>0</v>
      </c>
      <c r="I16" s="616">
        <f t="shared" si="8"/>
        <v>0</v>
      </c>
      <c r="J16" s="699">
        <f>IFERROR(IF(B16="",0,SUM(E16:I16)),"")</f>
        <v>53716.72</v>
      </c>
      <c r="K16" s="615">
        <f>IFERROR(G16+H16+I16,"")</f>
        <v>0</v>
      </c>
      <c r="L16" s="554">
        <f t="shared" si="9"/>
        <v>0</v>
      </c>
      <c r="M16" s="555"/>
      <c r="N16" s="702">
        <f t="shared" si="10"/>
        <v>0</v>
      </c>
      <c r="O16" s="703" t="str">
        <f t="shared" si="11"/>
        <v/>
      </c>
      <c r="P16" s="703" t="str">
        <f t="shared" si="12"/>
        <v/>
      </c>
      <c r="Q16" s="556" t="str">
        <f t="shared" ref="Q16:Q50" si="28">IFERROR(SUMIFS(PNLPercent,WL,"L",datecode,B16)/AH16,"")</f>
        <v/>
      </c>
      <c r="R16" s="704" t="str">
        <f t="shared" ref="R16:R50" si="29">IFERROR(P16/-Q16,"")</f>
        <v/>
      </c>
      <c r="S16" s="704" t="str">
        <f>IFERROR(AV16/AW16,"")</f>
        <v/>
      </c>
      <c r="T16" s="557" t="str">
        <f t="shared" si="13"/>
        <v/>
      </c>
      <c r="U16" s="558">
        <f>IFERROR(SUMIFS('TRADE LOG'!$W$15:$W$9733,datecode,"="&amp;B16),"")</f>
        <v>0</v>
      </c>
      <c r="V16" s="263"/>
      <c r="W16" s="263"/>
      <c r="X16">
        <f t="shared" ref="X16:X48" si="30">EOMONTH(X15,-2)+1</f>
        <v>44986</v>
      </c>
      <c r="Y16">
        <f t="shared" ref="Y16:Y50" si="31">IF(J16=0,NA(),J16)</f>
        <v>53716.72</v>
      </c>
      <c r="Z16">
        <f t="shared" si="14"/>
        <v>44986</v>
      </c>
      <c r="AA16">
        <f>SUMIFS(BuyAmount,datecode,"="&amp;'MONTHLY REPORT'!B16)</f>
        <v>0</v>
      </c>
      <c r="AB16">
        <f t="shared" si="15"/>
        <v>0</v>
      </c>
      <c r="AC16">
        <f t="shared" ref="AC16:AC50" si="32">AA16-AB16</f>
        <v>0</v>
      </c>
      <c r="AD16">
        <f t="shared" si="16"/>
        <v>0</v>
      </c>
      <c r="AE16" t="e">
        <f t="shared" si="17"/>
        <v>#VALUE!</v>
      </c>
      <c r="AF16" s="21" t="str">
        <f t="shared" si="18"/>
        <v/>
      </c>
      <c r="AG16">
        <f t="shared" si="19"/>
        <v>0</v>
      </c>
      <c r="AH16">
        <f t="shared" si="20"/>
        <v>0</v>
      </c>
      <c r="AI16">
        <f t="shared" ref="AI16:AJ18" si="33">AI15-AG15</f>
        <v>25</v>
      </c>
      <c r="AJ16">
        <f t="shared" si="33"/>
        <v>30</v>
      </c>
      <c r="AK16">
        <f t="shared" ref="AK16:AK20" si="34">IFERROR(AI16/(AI16+AJ16),NA())</f>
        <v>0.45454545454545453</v>
      </c>
      <c r="AL16">
        <f t="shared" si="21"/>
        <v>0</v>
      </c>
      <c r="AM16">
        <f t="shared" si="22"/>
        <v>0</v>
      </c>
      <c r="AN16">
        <f>AN15-AL15</f>
        <v>1.7050761187496539</v>
      </c>
      <c r="AO16">
        <f>AO15-AM15</f>
        <v>-1.3355702575783988</v>
      </c>
      <c r="AP16">
        <f t="shared" ref="AP16:AP20" si="35">IFERROR(AN16/AI16,0)</f>
        <v>6.8203044749986161E-2</v>
      </c>
      <c r="AQ16">
        <f t="shared" ref="AQ16:AQ20" si="36">IFERROR(AO16/AJ16,0)</f>
        <v>-4.4519008585946623E-2</v>
      </c>
      <c r="AR16">
        <f>AX16+AR17</f>
        <v>0</v>
      </c>
      <c r="AS16">
        <f>AY16+AS17</f>
        <v>0</v>
      </c>
      <c r="AT16">
        <f t="shared" ref="AT16:AT20" si="37">AR16/AI16</f>
        <v>0</v>
      </c>
      <c r="AU16">
        <f t="shared" ref="AU16:AU20" si="38">-AS16/AJ16</f>
        <v>0</v>
      </c>
      <c r="AV16" t="e">
        <f t="shared" si="23"/>
        <v>#DIV/0!</v>
      </c>
      <c r="AW16" t="e">
        <f t="shared" si="24"/>
        <v>#DIV/0!</v>
      </c>
      <c r="AX16">
        <f t="shared" si="25"/>
        <v>0</v>
      </c>
      <c r="AY16">
        <f t="shared" si="26"/>
        <v>0</v>
      </c>
    </row>
    <row r="17" spans="1:51" ht="21.95" customHeight="1">
      <c r="A17" s="697">
        <f t="shared" si="27"/>
        <v>3</v>
      </c>
      <c r="B17" s="700">
        <f>IFERROR(IF(IF(X17&lt;=$X$4,X17,"")&lt;$Y$7,"",IF(X17&lt;=$X$4,X17,"")),"")</f>
        <v>44958</v>
      </c>
      <c r="C17" s="701">
        <f>SUMIFS('Bank Transfers'!$H$15:$H$514,'Bank Transfers'!$L$15:$L$514,B17,'Bank Transfers'!$E$15:$E$514,"deposit")</f>
        <v>0</v>
      </c>
      <c r="D17" s="701">
        <f>SUMIFS('Bank Transfers'!$H$15:$H$514,'Bank Transfers'!$L$15:$L$514,B17,'Bank Transfers'!$E$15:$E$514,"withdraw")</f>
        <v>0</v>
      </c>
      <c r="E17" s="699">
        <f>IF(B17="","",IF(B17='Bank Transfers'!$L$15,'Bank Transfers'!$H$15,J18))</f>
        <v>53716.72</v>
      </c>
      <c r="F17" s="615">
        <f>IFERROR(IF(B17='Bank Transfers'!$L$15,C17+D17-E17,C17+D17),0)</f>
        <v>0</v>
      </c>
      <c r="G17" s="615">
        <f>SUMIFS('TRADE LOG'!$M$15:$M$9733,WL,"W",datecode,B17)</f>
        <v>0</v>
      </c>
      <c r="H17" s="616">
        <f>SUMIFS('TRADE LOG'!$M$15:$M$9733,WL,"L",datecode,B17)</f>
        <v>0</v>
      </c>
      <c r="I17" s="616">
        <f t="shared" si="8"/>
        <v>0</v>
      </c>
      <c r="J17" s="699">
        <f t="shared" ref="J17:J50" si="39">IFERROR(IF(B17="",0,SUM(E17:I17)),"")</f>
        <v>53716.72</v>
      </c>
      <c r="K17" s="615">
        <f t="shared" ref="K17:K50" si="40">IFERROR(G17+H17+I17,"")</f>
        <v>0</v>
      </c>
      <c r="L17" s="554">
        <f t="shared" si="9"/>
        <v>0</v>
      </c>
      <c r="M17" s="555"/>
      <c r="N17" s="702">
        <f t="shared" si="10"/>
        <v>0</v>
      </c>
      <c r="O17" s="703" t="str">
        <f t="shared" si="11"/>
        <v/>
      </c>
      <c r="P17" s="703" t="str">
        <f t="shared" si="12"/>
        <v/>
      </c>
      <c r="Q17" s="556" t="str">
        <f t="shared" si="28"/>
        <v/>
      </c>
      <c r="R17" s="704" t="str">
        <f t="shared" si="29"/>
        <v/>
      </c>
      <c r="S17" s="704" t="str">
        <f t="shared" ref="S17:S50" si="41">IFERROR(AV17/AW17,"")</f>
        <v/>
      </c>
      <c r="T17" s="557" t="str">
        <f t="shared" si="13"/>
        <v/>
      </c>
      <c r="U17" s="558">
        <f>IFERROR(SUMIFS('TRADE LOG'!$W$15:$W$9733,datecode,"="&amp;B17),"")</f>
        <v>0</v>
      </c>
      <c r="V17" s="263"/>
      <c r="W17" s="263"/>
      <c r="X17">
        <f t="shared" si="30"/>
        <v>44958</v>
      </c>
      <c r="Y17">
        <f t="shared" si="31"/>
        <v>53716.72</v>
      </c>
      <c r="Z17">
        <f t="shared" si="14"/>
        <v>44958</v>
      </c>
      <c r="AA17">
        <f>SUMIFS(BuyAmount,datecode,"="&amp;'MONTHLY REPORT'!B17)</f>
        <v>0</v>
      </c>
      <c r="AB17">
        <f t="shared" si="15"/>
        <v>0</v>
      </c>
      <c r="AC17">
        <f t="shared" si="32"/>
        <v>0</v>
      </c>
      <c r="AD17">
        <f t="shared" si="16"/>
        <v>0</v>
      </c>
      <c r="AE17" t="e">
        <f t="shared" si="17"/>
        <v>#VALUE!</v>
      </c>
      <c r="AF17" s="21" t="str">
        <f t="shared" si="18"/>
        <v/>
      </c>
      <c r="AG17">
        <f t="shared" si="19"/>
        <v>0</v>
      </c>
      <c r="AH17">
        <f t="shared" si="20"/>
        <v>0</v>
      </c>
      <c r="AI17">
        <f t="shared" si="33"/>
        <v>25</v>
      </c>
      <c r="AJ17">
        <f t="shared" si="33"/>
        <v>30</v>
      </c>
      <c r="AK17">
        <f t="shared" si="34"/>
        <v>0.45454545454545453</v>
      </c>
      <c r="AL17">
        <f t="shared" si="21"/>
        <v>0</v>
      </c>
      <c r="AM17">
        <f t="shared" si="22"/>
        <v>0</v>
      </c>
      <c r="AN17">
        <f t="shared" ref="AN17:AO20" si="42">AN16-AL16</f>
        <v>1.7050761187496539</v>
      </c>
      <c r="AO17">
        <f t="shared" si="42"/>
        <v>-1.3355702575783988</v>
      </c>
      <c r="AP17">
        <f t="shared" si="35"/>
        <v>6.8203044749986161E-2</v>
      </c>
      <c r="AQ17">
        <f t="shared" si="36"/>
        <v>-4.4519008585946623E-2</v>
      </c>
      <c r="AR17">
        <f>AX17+AR18</f>
        <v>0</v>
      </c>
      <c r="AS17">
        <f t="shared" ref="AS17:AS20" si="43">AY17+AS18</f>
        <v>0</v>
      </c>
      <c r="AT17">
        <f t="shared" si="37"/>
        <v>0</v>
      </c>
      <c r="AU17">
        <f t="shared" si="38"/>
        <v>0</v>
      </c>
      <c r="AV17" t="e">
        <f t="shared" si="23"/>
        <v>#DIV/0!</v>
      </c>
      <c r="AW17" t="e">
        <f t="shared" si="24"/>
        <v>#DIV/0!</v>
      </c>
      <c r="AX17">
        <f t="shared" si="25"/>
        <v>0</v>
      </c>
      <c r="AY17">
        <f t="shared" si="26"/>
        <v>0</v>
      </c>
    </row>
    <row r="18" spans="1:51" ht="21.95" customHeight="1">
      <c r="A18" s="697">
        <f t="shared" si="27"/>
        <v>4</v>
      </c>
      <c r="B18" s="700">
        <f t="shared" ref="B18:B50" si="44">IFERROR(IF(IF(X18&lt;=$X$4,X18,"")&lt;$Y$7,"",IF(X18&lt;=$X$4,X18,"")),"")</f>
        <v>44927</v>
      </c>
      <c r="C18" s="701">
        <f>SUMIFS('Bank Transfers'!$H$15:$H$514,'Bank Transfers'!$L$15:$L$514,B18,'Bank Transfers'!$E$15:$E$514,"deposit")</f>
        <v>0</v>
      </c>
      <c r="D18" s="701">
        <f>SUMIFS('Bank Transfers'!$H$15:$H$514,'Bank Transfers'!$L$15:$L$514,B18,'Bank Transfers'!$E$15:$E$514,"withdraw")</f>
        <v>0</v>
      </c>
      <c r="E18" s="699">
        <f>IF(B18="","",IF(B18='Bank Transfers'!$L$15,'Bank Transfers'!$H$15,J19))</f>
        <v>53716.72</v>
      </c>
      <c r="F18" s="615">
        <f>IFERROR(IF(B18='Bank Transfers'!$L$15,C18+D18-E18,C18+D18),0)</f>
        <v>0</v>
      </c>
      <c r="G18" s="615">
        <f>SUMIFS('TRADE LOG'!$M$15:$M$9733,WL,"W",datecode,B18)</f>
        <v>0</v>
      </c>
      <c r="H18" s="616">
        <f>SUMIFS('TRADE LOG'!$M$15:$M$9733,WL,"L",datecode,B18)</f>
        <v>0</v>
      </c>
      <c r="I18" s="616">
        <f t="shared" si="8"/>
        <v>0</v>
      </c>
      <c r="J18" s="699">
        <f t="shared" si="39"/>
        <v>53716.72</v>
      </c>
      <c r="K18" s="615">
        <f t="shared" si="40"/>
        <v>0</v>
      </c>
      <c r="L18" s="554">
        <f t="shared" si="9"/>
        <v>0</v>
      </c>
      <c r="M18" s="555"/>
      <c r="N18" s="702">
        <f t="shared" si="10"/>
        <v>0</v>
      </c>
      <c r="O18" s="703" t="str">
        <f t="shared" si="11"/>
        <v/>
      </c>
      <c r="P18" s="703" t="str">
        <f t="shared" si="12"/>
        <v/>
      </c>
      <c r="Q18" s="556" t="str">
        <f t="shared" si="28"/>
        <v/>
      </c>
      <c r="R18" s="704" t="str">
        <f t="shared" si="29"/>
        <v/>
      </c>
      <c r="S18" s="704" t="str">
        <f t="shared" si="41"/>
        <v/>
      </c>
      <c r="T18" s="557" t="str">
        <f t="shared" si="13"/>
        <v/>
      </c>
      <c r="U18" s="558">
        <f>IFERROR(SUMIFS('TRADE LOG'!$W$15:$W$9733,datecode,"="&amp;B18),"")</f>
        <v>0</v>
      </c>
      <c r="V18" s="263"/>
      <c r="W18" s="263"/>
      <c r="X18">
        <f t="shared" si="30"/>
        <v>44927</v>
      </c>
      <c r="Y18">
        <f t="shared" si="31"/>
        <v>53716.72</v>
      </c>
      <c r="Z18">
        <f t="shared" si="14"/>
        <v>44927</v>
      </c>
      <c r="AA18">
        <f>SUMIFS(BuyAmount,datecode,"="&amp;'MONTHLY REPORT'!B18)</f>
        <v>0</v>
      </c>
      <c r="AB18">
        <f t="shared" si="15"/>
        <v>0</v>
      </c>
      <c r="AC18">
        <f t="shared" si="32"/>
        <v>0</v>
      </c>
      <c r="AD18">
        <f t="shared" si="16"/>
        <v>0</v>
      </c>
      <c r="AE18" t="e">
        <f t="shared" si="17"/>
        <v>#VALUE!</v>
      </c>
      <c r="AF18" s="21" t="str">
        <f t="shared" si="18"/>
        <v/>
      </c>
      <c r="AG18">
        <f t="shared" si="19"/>
        <v>0</v>
      </c>
      <c r="AH18">
        <f t="shared" si="20"/>
        <v>0</v>
      </c>
      <c r="AI18">
        <f t="shared" si="33"/>
        <v>25</v>
      </c>
      <c r="AJ18">
        <f t="shared" si="33"/>
        <v>30</v>
      </c>
      <c r="AK18">
        <f t="shared" si="34"/>
        <v>0.45454545454545453</v>
      </c>
      <c r="AL18">
        <f t="shared" si="21"/>
        <v>0</v>
      </c>
      <c r="AM18">
        <f t="shared" si="22"/>
        <v>0</v>
      </c>
      <c r="AN18">
        <f t="shared" si="42"/>
        <v>1.7050761187496539</v>
      </c>
      <c r="AO18">
        <f t="shared" si="42"/>
        <v>-1.3355702575783988</v>
      </c>
      <c r="AP18">
        <f t="shared" si="35"/>
        <v>6.8203044749986161E-2</v>
      </c>
      <c r="AQ18">
        <f t="shared" si="36"/>
        <v>-4.4519008585946623E-2</v>
      </c>
      <c r="AR18">
        <f t="shared" ref="AR18:AR20" si="45">AX18+AR19</f>
        <v>0</v>
      </c>
      <c r="AS18">
        <f t="shared" si="43"/>
        <v>0</v>
      </c>
      <c r="AT18">
        <f t="shared" si="37"/>
        <v>0</v>
      </c>
      <c r="AU18">
        <f t="shared" si="38"/>
        <v>0</v>
      </c>
      <c r="AV18" t="e">
        <f t="shared" si="23"/>
        <v>#DIV/0!</v>
      </c>
      <c r="AW18" t="e">
        <f t="shared" si="24"/>
        <v>#DIV/0!</v>
      </c>
      <c r="AX18">
        <f t="shared" si="25"/>
        <v>0</v>
      </c>
      <c r="AY18">
        <f t="shared" si="26"/>
        <v>0</v>
      </c>
    </row>
    <row r="19" spans="1:51" ht="21.95" customHeight="1">
      <c r="A19" s="697">
        <f t="shared" si="27"/>
        <v>5</v>
      </c>
      <c r="B19" s="700">
        <f t="shared" si="44"/>
        <v>44896</v>
      </c>
      <c r="C19" s="701">
        <f>SUMIFS('Bank Transfers'!$H$15:$H$514,'Bank Transfers'!$L$15:$L$514,B19,'Bank Transfers'!$E$15:$E$514,"deposit")</f>
        <v>0</v>
      </c>
      <c r="D19" s="701">
        <f>SUMIFS('Bank Transfers'!$H$15:$H$514,'Bank Transfers'!$L$15:$L$514,B19,'Bank Transfers'!$E$15:$E$514,"withdraw")</f>
        <v>0</v>
      </c>
      <c r="E19" s="699">
        <f>IF(B19="","",IF(B19='Bank Transfers'!$L$15,'Bank Transfers'!$H$15,J20))</f>
        <v>53716.72</v>
      </c>
      <c r="F19" s="615">
        <f>IFERROR(IF(B19='Bank Transfers'!$L$15,C19+D19-E19,C19+D19),0)</f>
        <v>0</v>
      </c>
      <c r="G19" s="615">
        <f>SUMIFS('TRADE LOG'!$M$15:$M$9733,WL,"W",datecode,B19)</f>
        <v>0</v>
      </c>
      <c r="H19" s="616">
        <f>SUMIFS('TRADE LOG'!$M$15:$M$9733,WL,"L",datecode,B19)</f>
        <v>0</v>
      </c>
      <c r="I19" s="616">
        <f t="shared" si="8"/>
        <v>0</v>
      </c>
      <c r="J19" s="699">
        <f t="shared" si="39"/>
        <v>53716.72</v>
      </c>
      <c r="K19" s="615">
        <f t="shared" si="40"/>
        <v>0</v>
      </c>
      <c r="L19" s="554">
        <f t="shared" si="9"/>
        <v>0</v>
      </c>
      <c r="M19" s="555"/>
      <c r="N19" s="702">
        <f t="shared" si="10"/>
        <v>0</v>
      </c>
      <c r="O19" s="703" t="str">
        <f t="shared" si="11"/>
        <v/>
      </c>
      <c r="P19" s="703" t="str">
        <f t="shared" si="12"/>
        <v/>
      </c>
      <c r="Q19" s="556" t="str">
        <f t="shared" si="28"/>
        <v/>
      </c>
      <c r="R19" s="704" t="str">
        <f t="shared" si="29"/>
        <v/>
      </c>
      <c r="S19" s="704" t="str">
        <f t="shared" si="41"/>
        <v/>
      </c>
      <c r="T19" s="557" t="str">
        <f t="shared" si="13"/>
        <v/>
      </c>
      <c r="U19" s="558">
        <f>IFERROR(SUMIFS('TRADE LOG'!$W$15:$W$9733,datecode,"="&amp;B19),"")</f>
        <v>0</v>
      </c>
      <c r="V19" s="263"/>
      <c r="W19" s="263"/>
      <c r="X19">
        <f t="shared" si="30"/>
        <v>44896</v>
      </c>
      <c r="Y19">
        <f t="shared" si="31"/>
        <v>53716.72</v>
      </c>
      <c r="Z19">
        <f t="shared" si="14"/>
        <v>44896</v>
      </c>
      <c r="AA19">
        <f>SUMIFS(BuyAmount,datecode,"="&amp;'MONTHLY REPORT'!B19)</f>
        <v>0</v>
      </c>
      <c r="AB19">
        <f t="shared" si="15"/>
        <v>0</v>
      </c>
      <c r="AC19">
        <f t="shared" si="32"/>
        <v>0</v>
      </c>
      <c r="AD19">
        <f t="shared" si="16"/>
        <v>0</v>
      </c>
      <c r="AE19" t="e">
        <f t="shared" si="17"/>
        <v>#VALUE!</v>
      </c>
      <c r="AF19" s="21" t="str">
        <f t="shared" si="18"/>
        <v/>
      </c>
      <c r="AG19">
        <f t="shared" si="19"/>
        <v>0</v>
      </c>
      <c r="AH19">
        <f t="shared" si="20"/>
        <v>0</v>
      </c>
      <c r="AI19">
        <f t="shared" ref="AI19:AJ20" si="46">AI18-AG18</f>
        <v>25</v>
      </c>
      <c r="AJ19">
        <f t="shared" si="46"/>
        <v>30</v>
      </c>
      <c r="AK19">
        <f t="shared" si="34"/>
        <v>0.45454545454545453</v>
      </c>
      <c r="AL19">
        <f t="shared" si="21"/>
        <v>0</v>
      </c>
      <c r="AM19">
        <f t="shared" si="22"/>
        <v>0</v>
      </c>
      <c r="AN19">
        <f t="shared" si="42"/>
        <v>1.7050761187496539</v>
      </c>
      <c r="AO19">
        <f>AO18-AM18</f>
        <v>-1.3355702575783988</v>
      </c>
      <c r="AP19">
        <f t="shared" si="35"/>
        <v>6.8203044749986161E-2</v>
      </c>
      <c r="AQ19">
        <f t="shared" si="36"/>
        <v>-4.4519008585946623E-2</v>
      </c>
      <c r="AR19">
        <f t="shared" si="45"/>
        <v>0</v>
      </c>
      <c r="AS19">
        <f t="shared" si="43"/>
        <v>0</v>
      </c>
      <c r="AT19">
        <f t="shared" si="37"/>
        <v>0</v>
      </c>
      <c r="AU19">
        <f t="shared" si="38"/>
        <v>0</v>
      </c>
      <c r="AV19" t="e">
        <f t="shared" si="23"/>
        <v>#DIV/0!</v>
      </c>
      <c r="AW19" t="e">
        <f t="shared" si="24"/>
        <v>#DIV/0!</v>
      </c>
      <c r="AX19">
        <f t="shared" si="25"/>
        <v>0</v>
      </c>
      <c r="AY19">
        <f t="shared" si="26"/>
        <v>0</v>
      </c>
    </row>
    <row r="20" spans="1:51" ht="21.95" customHeight="1">
      <c r="A20" s="697">
        <f t="shared" si="27"/>
        <v>6</v>
      </c>
      <c r="B20" s="700">
        <f t="shared" si="44"/>
        <v>44866</v>
      </c>
      <c r="C20" s="701">
        <f>SUMIFS('Bank Transfers'!$H$15:$H$514,'Bank Transfers'!$L$15:$L$514,B20,'Bank Transfers'!$E$15:$E$514,"deposit")</f>
        <v>0</v>
      </c>
      <c r="D20" s="701">
        <f>SUMIFS('Bank Transfers'!$H$15:$H$514,'Bank Transfers'!$L$15:$L$514,B20,'Bank Transfers'!$E$15:$E$514,"withdraw")</f>
        <v>0</v>
      </c>
      <c r="E20" s="699">
        <f>IF(B20="","",IF(B20='Bank Transfers'!$L$15,'Bank Transfers'!$H$15,J21))</f>
        <v>53716.72</v>
      </c>
      <c r="F20" s="615">
        <f>IFERROR(IF(B20='Bank Transfers'!$L$15,C20+D20-E20,C20+D20),0)</f>
        <v>0</v>
      </c>
      <c r="G20" s="615">
        <f>SUMIFS('TRADE LOG'!$M$15:$M$9733,WL,"W",datecode,B20)</f>
        <v>0</v>
      </c>
      <c r="H20" s="616">
        <f>SUMIFS('TRADE LOG'!$M$15:$M$9733,WL,"L",datecode,B20)</f>
        <v>0</v>
      </c>
      <c r="I20" s="616">
        <f t="shared" si="8"/>
        <v>0</v>
      </c>
      <c r="J20" s="699">
        <f t="shared" si="39"/>
        <v>53716.72</v>
      </c>
      <c r="K20" s="615">
        <f t="shared" si="40"/>
        <v>0</v>
      </c>
      <c r="L20" s="554">
        <f t="shared" si="9"/>
        <v>0</v>
      </c>
      <c r="M20" s="555"/>
      <c r="N20" s="702">
        <f t="shared" si="10"/>
        <v>0</v>
      </c>
      <c r="O20" s="703" t="str">
        <f t="shared" si="11"/>
        <v/>
      </c>
      <c r="P20" s="703" t="str">
        <f t="shared" si="12"/>
        <v/>
      </c>
      <c r="Q20" s="556" t="str">
        <f t="shared" si="28"/>
        <v/>
      </c>
      <c r="R20" s="704" t="str">
        <f t="shared" si="29"/>
        <v/>
      </c>
      <c r="S20" s="704" t="str">
        <f t="shared" si="41"/>
        <v/>
      </c>
      <c r="T20" s="557" t="str">
        <f t="shared" si="13"/>
        <v/>
      </c>
      <c r="U20" s="558">
        <f>IFERROR(SUMIFS('TRADE LOG'!$W$15:$W$9733,datecode,"="&amp;B20),"")</f>
        <v>0</v>
      </c>
      <c r="V20" s="263"/>
      <c r="W20" s="263"/>
      <c r="X20">
        <f t="shared" si="30"/>
        <v>44866</v>
      </c>
      <c r="Y20">
        <f t="shared" si="31"/>
        <v>53716.72</v>
      </c>
      <c r="Z20">
        <f t="shared" si="14"/>
        <v>44866</v>
      </c>
      <c r="AA20">
        <f>SUMIFS(BuyAmount,datecode,"="&amp;'MONTHLY REPORT'!B20)</f>
        <v>0</v>
      </c>
      <c r="AB20">
        <f t="shared" si="15"/>
        <v>0</v>
      </c>
      <c r="AC20">
        <f t="shared" si="32"/>
        <v>0</v>
      </c>
      <c r="AD20">
        <f t="shared" si="16"/>
        <v>0</v>
      </c>
      <c r="AE20" t="e">
        <f t="shared" si="17"/>
        <v>#VALUE!</v>
      </c>
      <c r="AF20" s="21" t="str">
        <f t="shared" si="18"/>
        <v/>
      </c>
      <c r="AG20">
        <f t="shared" si="19"/>
        <v>0</v>
      </c>
      <c r="AH20">
        <f t="shared" si="20"/>
        <v>0</v>
      </c>
      <c r="AI20">
        <f t="shared" si="46"/>
        <v>25</v>
      </c>
      <c r="AJ20">
        <f t="shared" si="46"/>
        <v>30</v>
      </c>
      <c r="AK20">
        <f t="shared" si="34"/>
        <v>0.45454545454545453</v>
      </c>
      <c r="AL20">
        <f t="shared" si="21"/>
        <v>0</v>
      </c>
      <c r="AM20">
        <f t="shared" si="22"/>
        <v>0</v>
      </c>
      <c r="AN20">
        <f t="shared" si="42"/>
        <v>1.7050761187496539</v>
      </c>
      <c r="AO20">
        <f t="shared" si="42"/>
        <v>-1.3355702575783988</v>
      </c>
      <c r="AP20">
        <f t="shared" si="35"/>
        <v>6.8203044749986161E-2</v>
      </c>
      <c r="AQ20">
        <f t="shared" si="36"/>
        <v>-4.4519008585946623E-2</v>
      </c>
      <c r="AR20">
        <f t="shared" si="45"/>
        <v>0</v>
      </c>
      <c r="AS20">
        <f t="shared" si="43"/>
        <v>0</v>
      </c>
      <c r="AT20">
        <f t="shared" si="37"/>
        <v>0</v>
      </c>
      <c r="AU20">
        <f t="shared" si="38"/>
        <v>0</v>
      </c>
      <c r="AV20" t="e">
        <f t="shared" si="23"/>
        <v>#DIV/0!</v>
      </c>
      <c r="AW20" t="e">
        <f t="shared" si="24"/>
        <v>#DIV/0!</v>
      </c>
      <c r="AX20">
        <f t="shared" si="25"/>
        <v>0</v>
      </c>
      <c r="AY20">
        <f t="shared" si="26"/>
        <v>0</v>
      </c>
    </row>
    <row r="21" spans="1:51" ht="21.95" customHeight="1">
      <c r="A21" s="697">
        <f t="shared" si="27"/>
        <v>7</v>
      </c>
      <c r="B21" s="700">
        <f t="shared" si="44"/>
        <v>44835</v>
      </c>
      <c r="C21" s="701">
        <f>SUMIFS('Bank Transfers'!$H$15:$H$514,'Bank Transfers'!$L$15:$L$514,B21,'Bank Transfers'!$E$15:$E$514,"deposit")</f>
        <v>0</v>
      </c>
      <c r="D21" s="701">
        <f>SUMIFS('Bank Transfers'!$H$15:$H$514,'Bank Transfers'!$L$15:$L$514,B21,'Bank Transfers'!$E$15:$E$514,"withdraw")</f>
        <v>0</v>
      </c>
      <c r="E21" s="699">
        <f>IF(B21="","",IF(B21='Bank Transfers'!$L$15,'Bank Transfers'!$H$15,J22))</f>
        <v>53716.72</v>
      </c>
      <c r="F21" s="615">
        <f>IFERROR(IF(B21='Bank Transfers'!$L$15,C21+D21-E21,C21+D21),0)</f>
        <v>0</v>
      </c>
      <c r="G21" s="615">
        <f>SUMIFS('TRADE LOG'!$M$15:$M$9733,WL,"W",datecode,B21)</f>
        <v>0</v>
      </c>
      <c r="H21" s="616">
        <f>SUMIFS('TRADE LOG'!$M$15:$M$9733,WL,"L",datecode,B21)</f>
        <v>0</v>
      </c>
      <c r="I21" s="616">
        <f t="shared" si="8"/>
        <v>0</v>
      </c>
      <c r="J21" s="699">
        <f t="shared" si="39"/>
        <v>53716.72</v>
      </c>
      <c r="K21" s="615">
        <f t="shared" si="40"/>
        <v>0</v>
      </c>
      <c r="L21" s="554">
        <f t="shared" si="9"/>
        <v>0</v>
      </c>
      <c r="M21" s="555"/>
      <c r="N21" s="702">
        <f t="shared" si="10"/>
        <v>0</v>
      </c>
      <c r="O21" s="703" t="str">
        <f t="shared" si="11"/>
        <v/>
      </c>
      <c r="P21" s="703" t="str">
        <f t="shared" si="12"/>
        <v/>
      </c>
      <c r="Q21" s="556" t="str">
        <f t="shared" si="28"/>
        <v/>
      </c>
      <c r="R21" s="704" t="str">
        <f t="shared" si="29"/>
        <v/>
      </c>
      <c r="S21" s="704" t="str">
        <f t="shared" si="41"/>
        <v/>
      </c>
      <c r="T21" s="557" t="str">
        <f t="shared" si="13"/>
        <v/>
      </c>
      <c r="U21" s="558">
        <f>IFERROR(SUMIFS('TRADE LOG'!$W$15:$W$9733,datecode,"="&amp;B21),"")</f>
        <v>0</v>
      </c>
      <c r="V21" s="263"/>
      <c r="W21" s="263"/>
      <c r="X21">
        <f t="shared" si="30"/>
        <v>44835</v>
      </c>
      <c r="Y21">
        <f t="shared" si="31"/>
        <v>53716.72</v>
      </c>
      <c r="Z21">
        <f t="shared" si="14"/>
        <v>44835</v>
      </c>
      <c r="AA21">
        <f>SUMIFS(BuyAmount,datecode,"="&amp;'MONTHLY REPORT'!B21)</f>
        <v>0</v>
      </c>
      <c r="AB21">
        <f t="shared" si="15"/>
        <v>0</v>
      </c>
      <c r="AC21">
        <f t="shared" si="32"/>
        <v>0</v>
      </c>
      <c r="AG21">
        <f t="shared" si="19"/>
        <v>0</v>
      </c>
      <c r="AH21">
        <f t="shared" si="20"/>
        <v>0</v>
      </c>
      <c r="AV21" t="e">
        <f t="shared" si="23"/>
        <v>#DIV/0!</v>
      </c>
      <c r="AW21" t="e">
        <f t="shared" si="24"/>
        <v>#DIV/0!</v>
      </c>
      <c r="AX21">
        <f t="shared" si="25"/>
        <v>0</v>
      </c>
      <c r="AY21">
        <f t="shared" si="26"/>
        <v>0</v>
      </c>
    </row>
    <row r="22" spans="1:51" ht="21.95" customHeight="1">
      <c r="A22" s="697">
        <f t="shared" si="27"/>
        <v>8</v>
      </c>
      <c r="B22" s="700">
        <f t="shared" si="44"/>
        <v>44805</v>
      </c>
      <c r="C22" s="701">
        <f>SUMIFS('Bank Transfers'!$H$15:$H$514,'Bank Transfers'!$L$15:$L$514,B22,'Bank Transfers'!$E$15:$E$514,"deposit")</f>
        <v>0</v>
      </c>
      <c r="D22" s="701">
        <f>SUMIFS('Bank Transfers'!$H$15:$H$514,'Bank Transfers'!$L$15:$L$514,B22,'Bank Transfers'!$E$15:$E$514,"withdraw")</f>
        <v>0</v>
      </c>
      <c r="E22" s="699">
        <f>IF(B22="","",IF(B22='Bank Transfers'!$L$15,'Bank Transfers'!$H$15,J23))</f>
        <v>53716.72</v>
      </c>
      <c r="F22" s="615">
        <f>IFERROR(IF(B22='Bank Transfers'!$L$15,C22+D22-E22,C22+D22),0)</f>
        <v>0</v>
      </c>
      <c r="G22" s="615">
        <f>SUMIFS('TRADE LOG'!$M$15:$M$9733,WL,"W",datecode,B22)</f>
        <v>0</v>
      </c>
      <c r="H22" s="616">
        <f>SUMIFS('TRADE LOG'!$M$15:$M$9733,WL,"L",datecode,B22)</f>
        <v>0</v>
      </c>
      <c r="I22" s="616">
        <f t="shared" si="8"/>
        <v>0</v>
      </c>
      <c r="J22" s="699">
        <f t="shared" si="39"/>
        <v>53716.72</v>
      </c>
      <c r="K22" s="615">
        <f t="shared" si="40"/>
        <v>0</v>
      </c>
      <c r="L22" s="554">
        <f t="shared" si="9"/>
        <v>0</v>
      </c>
      <c r="M22" s="555"/>
      <c r="N22" s="702">
        <f t="shared" si="10"/>
        <v>0</v>
      </c>
      <c r="O22" s="703" t="str">
        <f t="shared" si="11"/>
        <v/>
      </c>
      <c r="P22" s="703" t="str">
        <f t="shared" si="12"/>
        <v/>
      </c>
      <c r="Q22" s="556" t="str">
        <f t="shared" si="28"/>
        <v/>
      </c>
      <c r="R22" s="704" t="str">
        <f t="shared" si="29"/>
        <v/>
      </c>
      <c r="S22" s="704" t="str">
        <f t="shared" si="41"/>
        <v/>
      </c>
      <c r="T22" s="557" t="str">
        <f t="shared" si="13"/>
        <v/>
      </c>
      <c r="U22" s="558">
        <f>IFERROR(SUMIFS('TRADE LOG'!$W$15:$W$9733,datecode,"="&amp;B22),"")</f>
        <v>0</v>
      </c>
      <c r="V22" s="263"/>
      <c r="W22" s="263"/>
      <c r="X22">
        <f t="shared" si="30"/>
        <v>44805</v>
      </c>
      <c r="Y22">
        <f t="shared" si="31"/>
        <v>53716.72</v>
      </c>
      <c r="Z22">
        <f t="shared" si="14"/>
        <v>44805</v>
      </c>
      <c r="AA22">
        <f>SUMIFS(BuyAmount,datecode,"="&amp;'MONTHLY REPORT'!B22)</f>
        <v>0</v>
      </c>
      <c r="AB22">
        <f t="shared" si="15"/>
        <v>0</v>
      </c>
      <c r="AC22">
        <f t="shared" si="32"/>
        <v>0</v>
      </c>
      <c r="AG22">
        <f t="shared" si="19"/>
        <v>0</v>
      </c>
      <c r="AH22">
        <f t="shared" si="20"/>
        <v>0</v>
      </c>
      <c r="AV22" t="e">
        <f t="shared" si="23"/>
        <v>#DIV/0!</v>
      </c>
      <c r="AW22" t="e">
        <f t="shared" si="24"/>
        <v>#DIV/0!</v>
      </c>
      <c r="AX22">
        <f t="shared" si="25"/>
        <v>0</v>
      </c>
      <c r="AY22">
        <f t="shared" si="26"/>
        <v>0</v>
      </c>
    </row>
    <row r="23" spans="1:51" ht="21.95" customHeight="1">
      <c r="A23" s="697">
        <f t="shared" si="27"/>
        <v>9</v>
      </c>
      <c r="B23" s="700">
        <f t="shared" si="44"/>
        <v>44774</v>
      </c>
      <c r="C23" s="701">
        <f>SUMIFS('Bank Transfers'!$H$15:$H$514,'Bank Transfers'!$L$15:$L$514,B23,'Bank Transfers'!$E$15:$E$514,"deposit")</f>
        <v>0</v>
      </c>
      <c r="D23" s="701">
        <f>SUMIFS('Bank Transfers'!$H$15:$H$514,'Bank Transfers'!$L$15:$L$514,B23,'Bank Transfers'!$E$15:$E$514,"withdraw")</f>
        <v>0</v>
      </c>
      <c r="E23" s="699">
        <f>IF(B23="","",IF(B23='Bank Transfers'!$L$15,'Bank Transfers'!$H$15,J24))</f>
        <v>53716.72</v>
      </c>
      <c r="F23" s="615">
        <f>IFERROR(IF(B23='Bank Transfers'!$L$15,C23+D23-E23,C23+D23),0)</f>
        <v>0</v>
      </c>
      <c r="G23" s="615">
        <f>SUMIFS('TRADE LOG'!$M$15:$M$9733,WL,"W",datecode,B23)</f>
        <v>0</v>
      </c>
      <c r="H23" s="616">
        <f>SUMIFS('TRADE LOG'!$M$15:$M$9733,WL,"L",datecode,B23)</f>
        <v>0</v>
      </c>
      <c r="I23" s="616">
        <f t="shared" si="8"/>
        <v>0</v>
      </c>
      <c r="J23" s="699">
        <f t="shared" si="39"/>
        <v>53716.72</v>
      </c>
      <c r="K23" s="615">
        <f t="shared" si="40"/>
        <v>0</v>
      </c>
      <c r="L23" s="554">
        <f>IFERROR(K23/IF(AND(B23&lt;&gt;"",E23&lt;=0),F23,E23),"")</f>
        <v>0</v>
      </c>
      <c r="M23" s="555"/>
      <c r="N23" s="702">
        <f t="shared" si="10"/>
        <v>0</v>
      </c>
      <c r="O23" s="703" t="str">
        <f t="shared" si="11"/>
        <v/>
      </c>
      <c r="P23" s="703" t="str">
        <f t="shared" si="12"/>
        <v/>
      </c>
      <c r="Q23" s="556" t="str">
        <f t="shared" si="28"/>
        <v/>
      </c>
      <c r="R23" s="704" t="str">
        <f t="shared" si="29"/>
        <v/>
      </c>
      <c r="S23" s="704" t="str">
        <f t="shared" si="41"/>
        <v/>
      </c>
      <c r="T23" s="557" t="str">
        <f t="shared" si="13"/>
        <v/>
      </c>
      <c r="U23" s="558">
        <f>IFERROR(SUMIFS('TRADE LOG'!$W$15:$W$9733,datecode,"="&amp;B23),"")</f>
        <v>0</v>
      </c>
      <c r="V23" s="263"/>
      <c r="W23" s="263"/>
      <c r="X23">
        <f t="shared" si="30"/>
        <v>44774</v>
      </c>
      <c r="Y23">
        <f t="shared" si="31"/>
        <v>53716.72</v>
      </c>
      <c r="Z23">
        <f t="shared" si="14"/>
        <v>44774</v>
      </c>
      <c r="AA23">
        <f>SUMIFS(BuyAmount,datecode,"="&amp;'MONTHLY REPORT'!B23)</f>
        <v>0</v>
      </c>
      <c r="AB23">
        <f t="shared" si="15"/>
        <v>0</v>
      </c>
      <c r="AC23">
        <f t="shared" si="32"/>
        <v>0</v>
      </c>
      <c r="AG23">
        <f t="shared" si="19"/>
        <v>0</v>
      </c>
      <c r="AH23">
        <f t="shared" si="20"/>
        <v>0</v>
      </c>
      <c r="AV23" t="e">
        <f t="shared" si="23"/>
        <v>#DIV/0!</v>
      </c>
      <c r="AW23" t="e">
        <f t="shared" si="24"/>
        <v>#DIV/0!</v>
      </c>
      <c r="AX23">
        <f t="shared" si="25"/>
        <v>0</v>
      </c>
      <c r="AY23">
        <f t="shared" si="26"/>
        <v>0</v>
      </c>
    </row>
    <row r="24" spans="1:51" ht="21.95" customHeight="1">
      <c r="A24" s="697">
        <f t="shared" si="27"/>
        <v>10</v>
      </c>
      <c r="B24" s="700">
        <f t="shared" si="44"/>
        <v>44743</v>
      </c>
      <c r="C24" s="701">
        <f>SUMIFS('Bank Transfers'!$H$15:$H$514,'Bank Transfers'!$L$15:$L$514,B24,'Bank Transfers'!$E$15:$E$514,"deposit")</f>
        <v>0</v>
      </c>
      <c r="D24" s="701">
        <f>SUMIFS('Bank Transfers'!$H$15:$H$514,'Bank Transfers'!$L$15:$L$514,B24,'Bank Transfers'!$E$15:$E$514,"withdraw")</f>
        <v>0</v>
      </c>
      <c r="E24" s="699">
        <f>IF(B24="","",IF(B24='Bank Transfers'!$L$15,'Bank Transfers'!$H$15,J25))</f>
        <v>53716.72</v>
      </c>
      <c r="F24" s="615">
        <f>IFERROR(IF(B24='Bank Transfers'!$L$15,C24+D24-E24,C24+D24),0)</f>
        <v>0</v>
      </c>
      <c r="G24" s="615">
        <f>SUMIFS('TRADE LOG'!$M$15:$M$9733,WL,"W",datecode,B24)</f>
        <v>0</v>
      </c>
      <c r="H24" s="616">
        <f>SUMIFS('TRADE LOG'!$M$15:$M$9733,WL,"L",datecode,B24)</f>
        <v>0</v>
      </c>
      <c r="I24" s="616">
        <f t="shared" si="8"/>
        <v>0</v>
      </c>
      <c r="J24" s="699">
        <f t="shared" si="39"/>
        <v>53716.72</v>
      </c>
      <c r="K24" s="615">
        <f t="shared" si="40"/>
        <v>0</v>
      </c>
      <c r="L24" s="554">
        <f t="shared" ref="L24:L50" si="47">IFERROR(K24/IF(AND(B24&lt;&gt;"",E24&lt;=0),F24,E24),"")</f>
        <v>0</v>
      </c>
      <c r="M24" s="555"/>
      <c r="N24" s="702">
        <f t="shared" si="10"/>
        <v>0</v>
      </c>
      <c r="O24" s="703" t="str">
        <f t="shared" si="11"/>
        <v/>
      </c>
      <c r="P24" s="703" t="str">
        <f t="shared" si="12"/>
        <v/>
      </c>
      <c r="Q24" s="556" t="str">
        <f t="shared" si="28"/>
        <v/>
      </c>
      <c r="R24" s="704" t="str">
        <f t="shared" si="29"/>
        <v/>
      </c>
      <c r="S24" s="704" t="str">
        <f t="shared" si="41"/>
        <v/>
      </c>
      <c r="T24" s="557" t="str">
        <f t="shared" si="13"/>
        <v/>
      </c>
      <c r="U24" s="558">
        <f>IFERROR(SUMIFS('TRADE LOG'!$W$15:$W$9733,datecode,"="&amp;B24),"")</f>
        <v>0</v>
      </c>
      <c r="V24" s="263"/>
      <c r="W24" s="263"/>
      <c r="X24">
        <f t="shared" si="30"/>
        <v>44743</v>
      </c>
      <c r="Y24">
        <f t="shared" si="31"/>
        <v>53716.72</v>
      </c>
      <c r="Z24">
        <f t="shared" si="14"/>
        <v>44743</v>
      </c>
      <c r="AA24">
        <f>SUMIFS(BuyAmount,datecode,"="&amp;'MONTHLY REPORT'!B24)</f>
        <v>0</v>
      </c>
      <c r="AB24">
        <f t="shared" si="15"/>
        <v>0</v>
      </c>
      <c r="AC24">
        <f t="shared" si="32"/>
        <v>0</v>
      </c>
      <c r="AG24">
        <f t="shared" si="19"/>
        <v>0</v>
      </c>
      <c r="AH24">
        <f t="shared" si="20"/>
        <v>0</v>
      </c>
      <c r="AV24" t="e">
        <f t="shared" si="23"/>
        <v>#DIV/0!</v>
      </c>
      <c r="AW24" t="e">
        <f t="shared" si="24"/>
        <v>#DIV/0!</v>
      </c>
      <c r="AX24">
        <f t="shared" si="25"/>
        <v>0</v>
      </c>
      <c r="AY24">
        <f t="shared" si="26"/>
        <v>0</v>
      </c>
    </row>
    <row r="25" spans="1:51" ht="21.95" customHeight="1">
      <c r="A25" s="697">
        <f t="shared" si="27"/>
        <v>11</v>
      </c>
      <c r="B25" s="700">
        <f t="shared" si="44"/>
        <v>44713</v>
      </c>
      <c r="C25" s="701">
        <f>SUMIFS('Bank Transfers'!$H$15:$H$514,'Bank Transfers'!$L$15:$L$514,B25,'Bank Transfers'!$E$15:$E$514,"deposit")</f>
        <v>0</v>
      </c>
      <c r="D25" s="701">
        <f>SUMIFS('Bank Transfers'!$H$15:$H$514,'Bank Transfers'!$L$15:$L$514,B25,'Bank Transfers'!$E$15:$E$514,"withdraw")</f>
        <v>0</v>
      </c>
      <c r="E25" s="699">
        <f>IF(B25="","",IF(B25='Bank Transfers'!$L$15,'Bank Transfers'!$H$15,J26))</f>
        <v>53716.72</v>
      </c>
      <c r="F25" s="615">
        <f>IFERROR(IF(B25='Bank Transfers'!$L$15,C25+D25-E25,C25+D25),0)</f>
        <v>0</v>
      </c>
      <c r="G25" s="615">
        <f>SUMIFS('TRADE LOG'!$M$15:$M$9733,WL,"W",datecode,B25)</f>
        <v>0</v>
      </c>
      <c r="H25" s="616">
        <f>SUMIFS('TRADE LOG'!$M$15:$M$9733,WL,"L",datecode,B25)</f>
        <v>0</v>
      </c>
      <c r="I25" s="616">
        <f t="shared" si="8"/>
        <v>0</v>
      </c>
      <c r="J25" s="699">
        <f t="shared" si="39"/>
        <v>53716.72</v>
      </c>
      <c r="K25" s="615">
        <f t="shared" si="40"/>
        <v>0</v>
      </c>
      <c r="L25" s="554">
        <f t="shared" si="47"/>
        <v>0</v>
      </c>
      <c r="M25" s="555"/>
      <c r="N25" s="702">
        <f t="shared" si="10"/>
        <v>0</v>
      </c>
      <c r="O25" s="703" t="str">
        <f t="shared" si="11"/>
        <v/>
      </c>
      <c r="P25" s="703" t="str">
        <f t="shared" si="12"/>
        <v/>
      </c>
      <c r="Q25" s="556" t="str">
        <f t="shared" si="28"/>
        <v/>
      </c>
      <c r="R25" s="704" t="str">
        <f t="shared" si="29"/>
        <v/>
      </c>
      <c r="S25" s="704" t="str">
        <f t="shared" si="41"/>
        <v/>
      </c>
      <c r="T25" s="557" t="str">
        <f t="shared" si="13"/>
        <v/>
      </c>
      <c r="U25" s="558">
        <f>IFERROR(SUMIFS('TRADE LOG'!$W$15:$W$9733,datecode,"="&amp;B25),"")</f>
        <v>0</v>
      </c>
      <c r="V25" s="263"/>
      <c r="W25" s="263"/>
      <c r="X25">
        <f t="shared" si="30"/>
        <v>44713</v>
      </c>
      <c r="Y25">
        <f t="shared" si="31"/>
        <v>53716.72</v>
      </c>
      <c r="Z25">
        <f t="shared" si="14"/>
        <v>44713</v>
      </c>
      <c r="AA25">
        <f>SUMIFS(BuyAmount,datecode,"="&amp;'MONTHLY REPORT'!B25)</f>
        <v>0</v>
      </c>
      <c r="AB25">
        <f t="shared" si="15"/>
        <v>0</v>
      </c>
      <c r="AC25">
        <f t="shared" si="32"/>
        <v>0</v>
      </c>
      <c r="AG25">
        <f t="shared" si="19"/>
        <v>0</v>
      </c>
      <c r="AH25">
        <f t="shared" si="20"/>
        <v>0</v>
      </c>
      <c r="AV25" t="e">
        <f t="shared" si="23"/>
        <v>#DIV/0!</v>
      </c>
      <c r="AW25" t="e">
        <f t="shared" si="24"/>
        <v>#DIV/0!</v>
      </c>
      <c r="AX25">
        <f t="shared" si="25"/>
        <v>0</v>
      </c>
      <c r="AY25">
        <f t="shared" si="26"/>
        <v>0</v>
      </c>
    </row>
    <row r="26" spans="1:51" ht="21.95" customHeight="1">
      <c r="A26" s="697">
        <f t="shared" si="27"/>
        <v>12</v>
      </c>
      <c r="B26" s="700">
        <f t="shared" si="44"/>
        <v>44682</v>
      </c>
      <c r="C26" s="701">
        <f>SUMIFS('Bank Transfers'!$H$15:$H$514,'Bank Transfers'!$L$15:$L$514,B26,'Bank Transfers'!$E$15:$E$514,"deposit")</f>
        <v>0</v>
      </c>
      <c r="D26" s="701">
        <f>SUMIFS('Bank Transfers'!$H$15:$H$514,'Bank Transfers'!$L$15:$L$514,B26,'Bank Transfers'!$E$15:$E$514,"withdraw")</f>
        <v>0</v>
      </c>
      <c r="E26" s="699">
        <f>IF(B26="","",IF(B26='Bank Transfers'!$L$15,'Bank Transfers'!$H$15,J27))</f>
        <v>53716.72</v>
      </c>
      <c r="F26" s="615">
        <f>IFERROR(IF(B26='Bank Transfers'!$L$15,C26+D26-E26,C26+D26),0)</f>
        <v>0</v>
      </c>
      <c r="G26" s="615">
        <f>SUMIFS('TRADE LOG'!$M$15:$M$9733,WL,"W",datecode,B26)</f>
        <v>0</v>
      </c>
      <c r="H26" s="616">
        <f>SUMIFS('TRADE LOG'!$M$15:$M$9733,WL,"L",datecode,B26)</f>
        <v>0</v>
      </c>
      <c r="I26" s="616">
        <f t="shared" si="8"/>
        <v>0</v>
      </c>
      <c r="J26" s="699">
        <f t="shared" si="39"/>
        <v>53716.72</v>
      </c>
      <c r="K26" s="615">
        <f t="shared" si="40"/>
        <v>0</v>
      </c>
      <c r="L26" s="554">
        <f t="shared" si="47"/>
        <v>0</v>
      </c>
      <c r="M26" s="555"/>
      <c r="N26" s="702">
        <f t="shared" si="10"/>
        <v>0</v>
      </c>
      <c r="O26" s="703" t="str">
        <f t="shared" si="11"/>
        <v/>
      </c>
      <c r="P26" s="703" t="str">
        <f t="shared" si="12"/>
        <v/>
      </c>
      <c r="Q26" s="556" t="str">
        <f t="shared" si="28"/>
        <v/>
      </c>
      <c r="R26" s="704" t="str">
        <f t="shared" si="29"/>
        <v/>
      </c>
      <c r="S26" s="704" t="str">
        <f t="shared" si="41"/>
        <v/>
      </c>
      <c r="T26" s="557" t="str">
        <f t="shared" si="13"/>
        <v/>
      </c>
      <c r="U26" s="558">
        <f>IFERROR(SUMIFS('TRADE LOG'!$W$15:$W$9733,datecode,"="&amp;B26),"")</f>
        <v>0</v>
      </c>
      <c r="V26" s="263"/>
      <c r="W26" s="263"/>
      <c r="X26">
        <f t="shared" si="30"/>
        <v>44682</v>
      </c>
      <c r="Y26">
        <f t="shared" si="31"/>
        <v>53716.72</v>
      </c>
      <c r="Z26">
        <f t="shared" si="14"/>
        <v>44682</v>
      </c>
      <c r="AA26">
        <f>SUMIFS(BuyAmount,datecode,"="&amp;'MONTHLY REPORT'!B26)</f>
        <v>0</v>
      </c>
      <c r="AB26">
        <f t="shared" si="15"/>
        <v>0</v>
      </c>
      <c r="AC26">
        <f t="shared" si="32"/>
        <v>0</v>
      </c>
      <c r="AG26">
        <f t="shared" si="19"/>
        <v>0</v>
      </c>
      <c r="AH26">
        <f t="shared" si="20"/>
        <v>0</v>
      </c>
      <c r="AV26" t="e">
        <f t="shared" si="23"/>
        <v>#DIV/0!</v>
      </c>
      <c r="AW26" t="e">
        <f t="shared" si="24"/>
        <v>#DIV/0!</v>
      </c>
      <c r="AX26">
        <f t="shared" si="25"/>
        <v>0</v>
      </c>
      <c r="AY26">
        <f t="shared" si="26"/>
        <v>0</v>
      </c>
    </row>
    <row r="27" spans="1:51" ht="21.95" customHeight="1">
      <c r="A27" s="697">
        <f t="shared" si="27"/>
        <v>13</v>
      </c>
      <c r="B27" s="700">
        <f t="shared" si="44"/>
        <v>44652</v>
      </c>
      <c r="C27" s="701">
        <f>SUMIFS('Bank Transfers'!$H$15:$H$514,'Bank Transfers'!$L$15:$L$514,B27,'Bank Transfers'!$E$15:$E$514,"deposit")</f>
        <v>0</v>
      </c>
      <c r="D27" s="701">
        <f>SUMIFS('Bank Transfers'!$H$15:$H$514,'Bank Transfers'!$L$15:$L$514,B27,'Bank Transfers'!$E$15:$E$514,"withdraw")</f>
        <v>0</v>
      </c>
      <c r="E27" s="699">
        <f>IF(B27="","",IF(B27='Bank Transfers'!$L$15,'Bank Transfers'!$H$15,J28))</f>
        <v>53716.72</v>
      </c>
      <c r="F27" s="615">
        <f>IFERROR(IF(B27='Bank Transfers'!$L$15,C27+D27-E27,C27+D27),0)</f>
        <v>0</v>
      </c>
      <c r="G27" s="615">
        <f>SUMIFS('TRADE LOG'!$M$15:$M$9733,WL,"W",datecode,B27)</f>
        <v>0</v>
      </c>
      <c r="H27" s="616">
        <f>SUMIFS('TRADE LOG'!$M$15:$M$9733,WL,"L",datecode,B27)</f>
        <v>0</v>
      </c>
      <c r="I27" s="616">
        <f t="shared" si="8"/>
        <v>0</v>
      </c>
      <c r="J27" s="699">
        <f t="shared" si="39"/>
        <v>53716.72</v>
      </c>
      <c r="K27" s="615">
        <f t="shared" si="40"/>
        <v>0</v>
      </c>
      <c r="L27" s="554">
        <f t="shared" si="47"/>
        <v>0</v>
      </c>
      <c r="M27" s="555"/>
      <c r="N27" s="702">
        <f t="shared" si="10"/>
        <v>0</v>
      </c>
      <c r="O27" s="703" t="str">
        <f t="shared" si="11"/>
        <v/>
      </c>
      <c r="P27" s="703" t="str">
        <f t="shared" si="12"/>
        <v/>
      </c>
      <c r="Q27" s="556" t="str">
        <f t="shared" si="28"/>
        <v/>
      </c>
      <c r="R27" s="704" t="str">
        <f t="shared" si="29"/>
        <v/>
      </c>
      <c r="S27" s="704" t="str">
        <f t="shared" si="41"/>
        <v/>
      </c>
      <c r="T27" s="557" t="str">
        <f t="shared" si="13"/>
        <v/>
      </c>
      <c r="U27" s="558">
        <f>IFERROR(SUMIFS('TRADE LOG'!$W$15:$W$9733,datecode,"="&amp;B27),"")</f>
        <v>0</v>
      </c>
      <c r="V27" s="263"/>
      <c r="W27" s="263"/>
      <c r="X27">
        <f t="shared" si="30"/>
        <v>44652</v>
      </c>
      <c r="Y27">
        <f t="shared" si="31"/>
        <v>53716.72</v>
      </c>
      <c r="Z27">
        <f t="shared" si="14"/>
        <v>44652</v>
      </c>
      <c r="AA27">
        <f>SUMIFS(BuyAmount,datecode,"="&amp;'MONTHLY REPORT'!B27)</f>
        <v>0</v>
      </c>
      <c r="AB27">
        <f t="shared" si="15"/>
        <v>0</v>
      </c>
      <c r="AC27">
        <f t="shared" si="32"/>
        <v>0</v>
      </c>
      <c r="AG27">
        <f t="shared" si="19"/>
        <v>0</v>
      </c>
      <c r="AH27">
        <f t="shared" si="20"/>
        <v>0</v>
      </c>
      <c r="AV27" t="e">
        <f t="shared" si="23"/>
        <v>#DIV/0!</v>
      </c>
      <c r="AW27" t="e">
        <f t="shared" si="24"/>
        <v>#DIV/0!</v>
      </c>
      <c r="AX27">
        <f t="shared" si="25"/>
        <v>0</v>
      </c>
      <c r="AY27">
        <f t="shared" si="26"/>
        <v>0</v>
      </c>
    </row>
    <row r="28" spans="1:51" ht="21.95" customHeight="1">
      <c r="A28" s="697">
        <f t="shared" si="27"/>
        <v>14</v>
      </c>
      <c r="B28" s="700">
        <f t="shared" si="44"/>
        <v>44621</v>
      </c>
      <c r="C28" s="701">
        <f>SUMIFS('Bank Transfers'!$H$15:$H$514,'Bank Transfers'!$L$15:$L$514,B28,'Bank Transfers'!$E$15:$E$514,"deposit")</f>
        <v>0</v>
      </c>
      <c r="D28" s="701">
        <f>SUMIFS('Bank Transfers'!$H$15:$H$514,'Bank Transfers'!$L$15:$L$514,B28,'Bank Transfers'!$E$15:$E$514,"withdraw")</f>
        <v>0</v>
      </c>
      <c r="E28" s="699">
        <f>IF(B28="","",IF(B28='Bank Transfers'!$L$15,'Bank Transfers'!$H$15,J29))</f>
        <v>53716.72</v>
      </c>
      <c r="F28" s="615">
        <f>IFERROR(IF(B28='Bank Transfers'!$L$15,C28+D28-E28,C28+D28),0)</f>
        <v>0</v>
      </c>
      <c r="G28" s="615">
        <f>SUMIFS('TRADE LOG'!$M$15:$M$9733,WL,"W",datecode,B28)</f>
        <v>0</v>
      </c>
      <c r="H28" s="616">
        <f>SUMIFS('TRADE LOG'!$M$15:$M$9733,WL,"L",datecode,B28)</f>
        <v>0</v>
      </c>
      <c r="I28" s="616">
        <f t="shared" si="8"/>
        <v>0</v>
      </c>
      <c r="J28" s="699">
        <f t="shared" si="39"/>
        <v>53716.72</v>
      </c>
      <c r="K28" s="615">
        <f t="shared" si="40"/>
        <v>0</v>
      </c>
      <c r="L28" s="554">
        <f t="shared" si="47"/>
        <v>0</v>
      </c>
      <c r="M28" s="555"/>
      <c r="N28" s="702">
        <f t="shared" si="10"/>
        <v>0</v>
      </c>
      <c r="O28" s="703" t="str">
        <f t="shared" si="11"/>
        <v/>
      </c>
      <c r="P28" s="703" t="str">
        <f t="shared" si="12"/>
        <v/>
      </c>
      <c r="Q28" s="556" t="str">
        <f t="shared" si="28"/>
        <v/>
      </c>
      <c r="R28" s="704" t="str">
        <f t="shared" si="29"/>
        <v/>
      </c>
      <c r="S28" s="704" t="str">
        <f t="shared" si="41"/>
        <v/>
      </c>
      <c r="T28" s="557" t="str">
        <f t="shared" si="13"/>
        <v/>
      </c>
      <c r="U28" s="558">
        <f>IFERROR(SUMIFS('TRADE LOG'!$W$15:$W$9733,datecode,"="&amp;B28),"")</f>
        <v>0</v>
      </c>
      <c r="V28" s="263"/>
      <c r="W28" s="263"/>
      <c r="X28">
        <f t="shared" si="30"/>
        <v>44621</v>
      </c>
      <c r="Y28">
        <f t="shared" si="31"/>
        <v>53716.72</v>
      </c>
      <c r="Z28">
        <f t="shared" si="14"/>
        <v>44621</v>
      </c>
      <c r="AA28">
        <f>SUMIFS(BuyAmount,datecode,"="&amp;'MONTHLY REPORT'!B28)</f>
        <v>0</v>
      </c>
      <c r="AB28">
        <f t="shared" si="15"/>
        <v>0</v>
      </c>
      <c r="AC28">
        <f t="shared" si="32"/>
        <v>0</v>
      </c>
      <c r="AG28">
        <f t="shared" si="19"/>
        <v>0</v>
      </c>
      <c r="AH28">
        <f t="shared" si="20"/>
        <v>0</v>
      </c>
      <c r="AV28" t="e">
        <f t="shared" si="23"/>
        <v>#DIV/0!</v>
      </c>
      <c r="AW28" t="e">
        <f t="shared" si="24"/>
        <v>#DIV/0!</v>
      </c>
      <c r="AX28">
        <f t="shared" si="25"/>
        <v>0</v>
      </c>
      <c r="AY28">
        <f t="shared" si="26"/>
        <v>0</v>
      </c>
    </row>
    <row r="29" spans="1:51" ht="21.95" customHeight="1">
      <c r="A29" s="697">
        <f t="shared" si="27"/>
        <v>15</v>
      </c>
      <c r="B29" s="700">
        <f t="shared" si="44"/>
        <v>44593</v>
      </c>
      <c r="C29" s="701">
        <f>SUMIFS('Bank Transfers'!$H$15:$H$514,'Bank Transfers'!$L$15:$L$514,B29,'Bank Transfers'!$E$15:$E$514,"deposit")</f>
        <v>0</v>
      </c>
      <c r="D29" s="701">
        <f>SUMIFS('Bank Transfers'!$H$15:$H$514,'Bank Transfers'!$L$15:$L$514,B29,'Bank Transfers'!$E$15:$E$514,"withdraw")</f>
        <v>0</v>
      </c>
      <c r="E29" s="699">
        <f>IF(B29="","",IF(B29='Bank Transfers'!$L$15,'Bank Transfers'!$H$15,J30))</f>
        <v>53716.72</v>
      </c>
      <c r="F29" s="615">
        <f>IFERROR(IF(B29='Bank Transfers'!$L$15,C29+D29-E29,C29+D29),0)</f>
        <v>0</v>
      </c>
      <c r="G29" s="615">
        <f>SUMIFS('TRADE LOG'!$M$15:$M$9733,WL,"W",datecode,B29)</f>
        <v>0</v>
      </c>
      <c r="H29" s="616">
        <f>SUMIFS('TRADE LOG'!$M$15:$M$9733,WL,"L",datecode,B29)</f>
        <v>0</v>
      </c>
      <c r="I29" s="616">
        <f t="shared" si="8"/>
        <v>0</v>
      </c>
      <c r="J29" s="699">
        <f t="shared" si="39"/>
        <v>53716.72</v>
      </c>
      <c r="K29" s="615">
        <f t="shared" si="40"/>
        <v>0</v>
      </c>
      <c r="L29" s="554">
        <f t="shared" si="47"/>
        <v>0</v>
      </c>
      <c r="M29" s="555"/>
      <c r="N29" s="702">
        <f t="shared" si="10"/>
        <v>0</v>
      </c>
      <c r="O29" s="703" t="str">
        <f t="shared" si="11"/>
        <v/>
      </c>
      <c r="P29" s="703" t="str">
        <f t="shared" si="12"/>
        <v/>
      </c>
      <c r="Q29" s="556" t="str">
        <f t="shared" si="28"/>
        <v/>
      </c>
      <c r="R29" s="704" t="str">
        <f t="shared" si="29"/>
        <v/>
      </c>
      <c r="S29" s="704" t="str">
        <f t="shared" si="41"/>
        <v/>
      </c>
      <c r="T29" s="557" t="str">
        <f t="shared" si="13"/>
        <v/>
      </c>
      <c r="U29" s="558">
        <f>IFERROR(SUMIFS('TRADE LOG'!$W$15:$W$9733,datecode,"="&amp;B29),"")</f>
        <v>0</v>
      </c>
      <c r="V29" s="263"/>
      <c r="W29" s="263"/>
      <c r="X29">
        <f t="shared" si="30"/>
        <v>44593</v>
      </c>
      <c r="Y29">
        <f t="shared" si="31"/>
        <v>53716.72</v>
      </c>
      <c r="Z29">
        <f t="shared" si="14"/>
        <v>44593</v>
      </c>
      <c r="AA29">
        <f>SUMIFS(BuyAmount,datecode,"="&amp;'MONTHLY REPORT'!B29)</f>
        <v>0</v>
      </c>
      <c r="AB29">
        <f t="shared" si="15"/>
        <v>0</v>
      </c>
      <c r="AC29">
        <f t="shared" si="32"/>
        <v>0</v>
      </c>
      <c r="AG29">
        <f t="shared" si="19"/>
        <v>0</v>
      </c>
      <c r="AH29">
        <f t="shared" si="20"/>
        <v>0</v>
      </c>
      <c r="AV29" t="e">
        <f t="shared" si="23"/>
        <v>#DIV/0!</v>
      </c>
      <c r="AW29" t="e">
        <f t="shared" si="24"/>
        <v>#DIV/0!</v>
      </c>
      <c r="AX29">
        <f t="shared" si="25"/>
        <v>0</v>
      </c>
      <c r="AY29">
        <f t="shared" si="26"/>
        <v>0</v>
      </c>
    </row>
    <row r="30" spans="1:51" ht="21.95" customHeight="1">
      <c r="A30" s="697">
        <f t="shared" si="27"/>
        <v>16</v>
      </c>
      <c r="B30" s="700">
        <f t="shared" si="44"/>
        <v>44562</v>
      </c>
      <c r="C30" s="701">
        <f>SUMIFS('Bank Transfers'!$H$15:$H$514,'Bank Transfers'!$L$15:$L$514,B30,'Bank Transfers'!$E$15:$E$514,"deposit")</f>
        <v>0</v>
      </c>
      <c r="D30" s="701">
        <f>SUMIFS('Bank Transfers'!$H$15:$H$514,'Bank Transfers'!$L$15:$L$514,B30,'Bank Transfers'!$E$15:$E$514,"withdraw")</f>
        <v>0</v>
      </c>
      <c r="E30" s="699">
        <f>IF(B30="","",IF(B30='Bank Transfers'!$L$15,'Bank Transfers'!$H$15,J31))</f>
        <v>53716.72</v>
      </c>
      <c r="F30" s="615">
        <f>IFERROR(IF(B30='Bank Transfers'!$L$15,C30+D30-E30,C30+D30),0)</f>
        <v>0</v>
      </c>
      <c r="G30" s="615">
        <f>SUMIFS('TRADE LOG'!$M$15:$M$9733,WL,"W",datecode,B30)</f>
        <v>0</v>
      </c>
      <c r="H30" s="616">
        <f>SUMIFS('TRADE LOG'!$M$15:$M$9733,WL,"L",datecode,B30)</f>
        <v>0</v>
      </c>
      <c r="I30" s="616">
        <f t="shared" si="8"/>
        <v>0</v>
      </c>
      <c r="J30" s="699">
        <f t="shared" si="39"/>
        <v>53716.72</v>
      </c>
      <c r="K30" s="615">
        <f t="shared" si="40"/>
        <v>0</v>
      </c>
      <c r="L30" s="554">
        <f t="shared" si="47"/>
        <v>0</v>
      </c>
      <c r="M30" s="555"/>
      <c r="N30" s="702">
        <f t="shared" si="10"/>
        <v>0</v>
      </c>
      <c r="O30" s="703" t="str">
        <f t="shared" si="11"/>
        <v/>
      </c>
      <c r="P30" s="703" t="str">
        <f t="shared" si="12"/>
        <v/>
      </c>
      <c r="Q30" s="556" t="str">
        <f t="shared" si="28"/>
        <v/>
      </c>
      <c r="R30" s="704" t="str">
        <f t="shared" si="29"/>
        <v/>
      </c>
      <c r="S30" s="704" t="str">
        <f t="shared" si="41"/>
        <v/>
      </c>
      <c r="T30" s="557" t="str">
        <f t="shared" si="13"/>
        <v/>
      </c>
      <c r="U30" s="558">
        <f>IFERROR(SUMIFS('TRADE LOG'!$W$15:$W$9733,datecode,"="&amp;B30),"")</f>
        <v>0</v>
      </c>
      <c r="V30" s="263"/>
      <c r="W30" s="263"/>
      <c r="X30">
        <f t="shared" si="30"/>
        <v>44562</v>
      </c>
      <c r="Y30">
        <f t="shared" si="31"/>
        <v>53716.72</v>
      </c>
      <c r="Z30">
        <f t="shared" si="14"/>
        <v>44562</v>
      </c>
      <c r="AA30">
        <f>SUMIFS(BuyAmount,datecode,"="&amp;'MONTHLY REPORT'!B30)</f>
        <v>0</v>
      </c>
      <c r="AB30">
        <f t="shared" si="15"/>
        <v>0</v>
      </c>
      <c r="AC30">
        <f t="shared" si="32"/>
        <v>0</v>
      </c>
      <c r="AG30">
        <f t="shared" si="19"/>
        <v>0</v>
      </c>
      <c r="AH30">
        <f t="shared" si="20"/>
        <v>0</v>
      </c>
      <c r="AV30" t="e">
        <f t="shared" si="23"/>
        <v>#DIV/0!</v>
      </c>
      <c r="AW30" t="e">
        <f t="shared" si="24"/>
        <v>#DIV/0!</v>
      </c>
      <c r="AX30">
        <f t="shared" si="25"/>
        <v>0</v>
      </c>
      <c r="AY30">
        <f t="shared" si="26"/>
        <v>0</v>
      </c>
    </row>
    <row r="31" spans="1:51" ht="21.95" customHeight="1">
      <c r="A31" s="697">
        <f t="shared" si="27"/>
        <v>17</v>
      </c>
      <c r="B31" s="700">
        <f t="shared" si="44"/>
        <v>44531</v>
      </c>
      <c r="C31" s="701">
        <f>SUMIFS('Bank Transfers'!$H$15:$H$514,'Bank Transfers'!$L$15:$L$514,B31,'Bank Transfers'!$E$15:$E$514,"deposit")</f>
        <v>0</v>
      </c>
      <c r="D31" s="701">
        <f>SUMIFS('Bank Transfers'!$H$15:$H$514,'Bank Transfers'!$L$15:$L$514,B31,'Bank Transfers'!$E$15:$E$514,"withdraw")</f>
        <v>0</v>
      </c>
      <c r="E31" s="699">
        <f>IF(B31="","",IF(B31='Bank Transfers'!$L$15,'Bank Transfers'!$H$15,J32))</f>
        <v>53716.72</v>
      </c>
      <c r="F31" s="615">
        <f>IFERROR(IF(B31='Bank Transfers'!$L$15,C31+D31-E31,C31+D31),0)</f>
        <v>0</v>
      </c>
      <c r="G31" s="615">
        <f>SUMIFS('TRADE LOG'!$M$15:$M$9733,WL,"W",datecode,B31)</f>
        <v>0</v>
      </c>
      <c r="H31" s="616">
        <f>SUMIFS('TRADE LOG'!$M$15:$M$9733,WL,"L",datecode,B31)</f>
        <v>0</v>
      </c>
      <c r="I31" s="616">
        <f t="shared" si="8"/>
        <v>0</v>
      </c>
      <c r="J31" s="699">
        <f t="shared" si="39"/>
        <v>53716.72</v>
      </c>
      <c r="K31" s="615">
        <f t="shared" si="40"/>
        <v>0</v>
      </c>
      <c r="L31" s="554">
        <f t="shared" si="47"/>
        <v>0</v>
      </c>
      <c r="M31" s="555"/>
      <c r="N31" s="702">
        <f t="shared" si="10"/>
        <v>0</v>
      </c>
      <c r="O31" s="703" t="str">
        <f t="shared" si="11"/>
        <v/>
      </c>
      <c r="P31" s="703" t="str">
        <f t="shared" si="12"/>
        <v/>
      </c>
      <c r="Q31" s="556" t="str">
        <f t="shared" si="28"/>
        <v/>
      </c>
      <c r="R31" s="704" t="str">
        <f t="shared" si="29"/>
        <v/>
      </c>
      <c r="S31" s="704" t="str">
        <f t="shared" si="41"/>
        <v/>
      </c>
      <c r="T31" s="557" t="str">
        <f t="shared" si="13"/>
        <v/>
      </c>
      <c r="U31" s="558">
        <f>IFERROR(SUMIFS('TRADE LOG'!$W$15:$W$9733,datecode,"="&amp;B31),"")</f>
        <v>0</v>
      </c>
      <c r="V31" s="263"/>
      <c r="W31" s="263"/>
      <c r="X31">
        <f t="shared" si="30"/>
        <v>44531</v>
      </c>
      <c r="Y31">
        <f t="shared" si="31"/>
        <v>53716.72</v>
      </c>
      <c r="Z31">
        <f t="shared" si="14"/>
        <v>44531</v>
      </c>
      <c r="AA31">
        <f>SUMIFS(BuyAmount,datecode,"="&amp;'MONTHLY REPORT'!B31)</f>
        <v>0</v>
      </c>
      <c r="AB31">
        <f t="shared" si="15"/>
        <v>0</v>
      </c>
      <c r="AC31">
        <f t="shared" si="32"/>
        <v>0</v>
      </c>
      <c r="AG31">
        <f t="shared" si="19"/>
        <v>0</v>
      </c>
      <c r="AH31">
        <f t="shared" si="20"/>
        <v>0</v>
      </c>
      <c r="AV31" t="e">
        <f t="shared" si="23"/>
        <v>#DIV/0!</v>
      </c>
      <c r="AW31" t="e">
        <f t="shared" si="24"/>
        <v>#DIV/0!</v>
      </c>
      <c r="AX31">
        <f t="shared" si="25"/>
        <v>0</v>
      </c>
      <c r="AY31">
        <f t="shared" si="26"/>
        <v>0</v>
      </c>
    </row>
    <row r="32" spans="1:51" ht="21.95" customHeight="1">
      <c r="A32" s="697">
        <f t="shared" si="27"/>
        <v>18</v>
      </c>
      <c r="B32" s="700">
        <f t="shared" si="44"/>
        <v>44501</v>
      </c>
      <c r="C32" s="701">
        <f>SUMIFS('Bank Transfers'!$H$15:$H$514,'Bank Transfers'!$L$15:$L$514,B32,'Bank Transfers'!$E$15:$E$514,"deposit")</f>
        <v>0</v>
      </c>
      <c r="D32" s="701">
        <f>SUMIFS('Bank Transfers'!$H$15:$H$514,'Bank Transfers'!$L$15:$L$514,B32,'Bank Transfers'!$E$15:$E$514,"withdraw")</f>
        <v>0</v>
      </c>
      <c r="E32" s="699">
        <f>IF(B32="","",IF(B32='Bank Transfers'!$L$15,'Bank Transfers'!$H$15,J33))</f>
        <v>53716.72</v>
      </c>
      <c r="F32" s="615">
        <f>IFERROR(IF(B32='Bank Transfers'!$L$15,C32+D32-E32,C32+D32),0)</f>
        <v>0</v>
      </c>
      <c r="G32" s="615">
        <f>SUMIFS('TRADE LOG'!$M$15:$M$9733,WL,"W",datecode,B32)</f>
        <v>0</v>
      </c>
      <c r="H32" s="616">
        <f>SUMIFS('TRADE LOG'!$M$15:$M$9733,WL,"L",datecode,B32)</f>
        <v>0</v>
      </c>
      <c r="I32" s="616">
        <f t="shared" si="8"/>
        <v>0</v>
      </c>
      <c r="J32" s="699">
        <f t="shared" si="39"/>
        <v>53716.72</v>
      </c>
      <c r="K32" s="615">
        <f t="shared" si="40"/>
        <v>0</v>
      </c>
      <c r="L32" s="554">
        <f t="shared" si="47"/>
        <v>0</v>
      </c>
      <c r="M32" s="555"/>
      <c r="N32" s="702">
        <f t="shared" si="10"/>
        <v>0</v>
      </c>
      <c r="O32" s="703" t="str">
        <f t="shared" si="11"/>
        <v/>
      </c>
      <c r="P32" s="703" t="str">
        <f t="shared" si="12"/>
        <v/>
      </c>
      <c r="Q32" s="556" t="str">
        <f t="shared" si="28"/>
        <v/>
      </c>
      <c r="R32" s="704" t="str">
        <f t="shared" si="29"/>
        <v/>
      </c>
      <c r="S32" s="704" t="str">
        <f t="shared" si="41"/>
        <v/>
      </c>
      <c r="T32" s="557" t="str">
        <f t="shared" si="13"/>
        <v/>
      </c>
      <c r="U32" s="558">
        <f>IFERROR(SUMIFS('TRADE LOG'!$W$15:$W$9733,datecode,"="&amp;B32),"")</f>
        <v>0</v>
      </c>
      <c r="V32" s="263"/>
      <c r="W32" s="263"/>
      <c r="X32">
        <f t="shared" si="30"/>
        <v>44501</v>
      </c>
      <c r="Y32">
        <f t="shared" si="31"/>
        <v>53716.72</v>
      </c>
      <c r="Z32">
        <f t="shared" si="14"/>
        <v>44501</v>
      </c>
      <c r="AA32">
        <f>SUMIFS(BuyAmount,datecode,"="&amp;'MONTHLY REPORT'!B32)</f>
        <v>0</v>
      </c>
      <c r="AB32">
        <f t="shared" si="15"/>
        <v>0</v>
      </c>
      <c r="AC32">
        <f t="shared" si="32"/>
        <v>0</v>
      </c>
      <c r="AG32">
        <f t="shared" si="19"/>
        <v>0</v>
      </c>
      <c r="AH32">
        <f t="shared" si="20"/>
        <v>0</v>
      </c>
      <c r="AV32" t="e">
        <f t="shared" si="23"/>
        <v>#DIV/0!</v>
      </c>
      <c r="AW32" t="e">
        <f t="shared" si="24"/>
        <v>#DIV/0!</v>
      </c>
      <c r="AX32">
        <f t="shared" si="25"/>
        <v>0</v>
      </c>
      <c r="AY32">
        <f t="shared" si="26"/>
        <v>0</v>
      </c>
    </row>
    <row r="33" spans="1:51" ht="21.95" customHeight="1">
      <c r="A33" s="697">
        <f t="shared" si="27"/>
        <v>19</v>
      </c>
      <c r="B33" s="700">
        <f t="shared" si="44"/>
        <v>44470</v>
      </c>
      <c r="C33" s="701">
        <f>SUMIFS('Bank Transfers'!$H$15:$H$514,'Bank Transfers'!$L$15:$L$514,B33,'Bank Transfers'!$E$15:$E$514,"deposit")</f>
        <v>0</v>
      </c>
      <c r="D33" s="701">
        <f>SUMIFS('Bank Transfers'!$H$15:$H$514,'Bank Transfers'!$L$15:$L$514,B33,'Bank Transfers'!$E$15:$E$514,"withdraw")</f>
        <v>0</v>
      </c>
      <c r="E33" s="699">
        <f>IF(B33="","",IF(B33='Bank Transfers'!$L$15,'Bank Transfers'!$H$15,J34))</f>
        <v>53716.72</v>
      </c>
      <c r="F33" s="615">
        <f>IFERROR(IF(B33='Bank Transfers'!$L$15,C33+D33-E33,C33+D33),0)</f>
        <v>0</v>
      </c>
      <c r="G33" s="615">
        <f>SUMIFS('TRADE LOG'!$M$15:$M$9733,WL,"W",datecode,B33)</f>
        <v>0</v>
      </c>
      <c r="H33" s="616">
        <f>SUMIFS('TRADE LOG'!$M$15:$M$9733,WL,"L",datecode,B33)</f>
        <v>0</v>
      </c>
      <c r="I33" s="616">
        <f t="shared" si="8"/>
        <v>0</v>
      </c>
      <c r="J33" s="699">
        <f t="shared" si="39"/>
        <v>53716.72</v>
      </c>
      <c r="K33" s="615">
        <f t="shared" si="40"/>
        <v>0</v>
      </c>
      <c r="L33" s="554">
        <f t="shared" si="47"/>
        <v>0</v>
      </c>
      <c r="M33" s="555"/>
      <c r="N33" s="702">
        <f t="shared" si="10"/>
        <v>0</v>
      </c>
      <c r="O33" s="703" t="str">
        <f t="shared" si="11"/>
        <v/>
      </c>
      <c r="P33" s="703" t="str">
        <f t="shared" si="12"/>
        <v/>
      </c>
      <c r="Q33" s="556" t="str">
        <f t="shared" si="28"/>
        <v/>
      </c>
      <c r="R33" s="704" t="str">
        <f t="shared" si="29"/>
        <v/>
      </c>
      <c r="S33" s="704" t="str">
        <f t="shared" si="41"/>
        <v/>
      </c>
      <c r="T33" s="557" t="str">
        <f t="shared" si="13"/>
        <v/>
      </c>
      <c r="U33" s="558">
        <f>IFERROR(SUMIFS('TRADE LOG'!$W$15:$W$9733,datecode,"="&amp;B33),"")</f>
        <v>0</v>
      </c>
      <c r="V33" s="263"/>
      <c r="W33" s="263"/>
      <c r="X33">
        <f t="shared" si="30"/>
        <v>44470</v>
      </c>
      <c r="Y33">
        <f t="shared" si="31"/>
        <v>53716.72</v>
      </c>
      <c r="Z33">
        <f t="shared" si="14"/>
        <v>44470</v>
      </c>
      <c r="AA33">
        <f>SUMIFS(BuyAmount,datecode,"="&amp;'MONTHLY REPORT'!B33)</f>
        <v>0</v>
      </c>
      <c r="AB33">
        <f t="shared" si="15"/>
        <v>0</v>
      </c>
      <c r="AC33">
        <f t="shared" si="32"/>
        <v>0</v>
      </c>
      <c r="AG33">
        <f t="shared" si="19"/>
        <v>0</v>
      </c>
      <c r="AH33">
        <f t="shared" si="20"/>
        <v>0</v>
      </c>
      <c r="AV33" t="e">
        <f t="shared" si="23"/>
        <v>#DIV/0!</v>
      </c>
      <c r="AW33" t="e">
        <f t="shared" si="24"/>
        <v>#DIV/0!</v>
      </c>
      <c r="AX33">
        <f t="shared" si="25"/>
        <v>0</v>
      </c>
      <c r="AY33">
        <f t="shared" si="26"/>
        <v>0</v>
      </c>
    </row>
    <row r="34" spans="1:51" ht="21.95" customHeight="1">
      <c r="A34" s="697">
        <f t="shared" si="27"/>
        <v>20</v>
      </c>
      <c r="B34" s="700">
        <f t="shared" si="44"/>
        <v>44440</v>
      </c>
      <c r="C34" s="701">
        <f>SUMIFS('Bank Transfers'!$H$15:$H$514,'Bank Transfers'!$L$15:$L$514,B34,'Bank Transfers'!$E$15:$E$514,"deposit")</f>
        <v>0</v>
      </c>
      <c r="D34" s="701">
        <f>SUMIFS('Bank Transfers'!$H$15:$H$514,'Bank Transfers'!$L$15:$L$514,B34,'Bank Transfers'!$E$15:$E$514,"withdraw")</f>
        <v>0</v>
      </c>
      <c r="E34" s="699">
        <f>IF(B34="","",IF(B34='Bank Transfers'!$L$15,'Bank Transfers'!$H$15,J35))</f>
        <v>53716.72</v>
      </c>
      <c r="F34" s="615">
        <f>IFERROR(IF(B34='Bank Transfers'!$L$15,C34+D34-E34,C34+D34),0)</f>
        <v>0</v>
      </c>
      <c r="G34" s="615">
        <f>SUMIFS('TRADE LOG'!$M$15:$M$9733,WL,"W",datecode,B34)</f>
        <v>0</v>
      </c>
      <c r="H34" s="616">
        <f>SUMIFS('TRADE LOG'!$M$15:$M$9733,WL,"L",datecode,B34)</f>
        <v>0</v>
      </c>
      <c r="I34" s="616">
        <f t="shared" si="8"/>
        <v>0</v>
      </c>
      <c r="J34" s="699">
        <f t="shared" si="39"/>
        <v>53716.72</v>
      </c>
      <c r="K34" s="615">
        <f t="shared" si="40"/>
        <v>0</v>
      </c>
      <c r="L34" s="554">
        <f t="shared" si="47"/>
        <v>0</v>
      </c>
      <c r="M34" s="555"/>
      <c r="N34" s="702">
        <f t="shared" si="10"/>
        <v>0</v>
      </c>
      <c r="O34" s="703" t="str">
        <f t="shared" si="11"/>
        <v/>
      </c>
      <c r="P34" s="703" t="str">
        <f t="shared" si="12"/>
        <v/>
      </c>
      <c r="Q34" s="556" t="str">
        <f t="shared" si="28"/>
        <v/>
      </c>
      <c r="R34" s="704" t="str">
        <f t="shared" si="29"/>
        <v/>
      </c>
      <c r="S34" s="704" t="str">
        <f t="shared" si="41"/>
        <v/>
      </c>
      <c r="T34" s="557" t="str">
        <f t="shared" si="13"/>
        <v/>
      </c>
      <c r="U34" s="558">
        <f>IFERROR(SUMIFS('TRADE LOG'!$W$15:$W$9733,datecode,"="&amp;B34),"")</f>
        <v>0</v>
      </c>
      <c r="V34" s="263"/>
      <c r="W34" s="263"/>
      <c r="X34">
        <f t="shared" si="30"/>
        <v>44440</v>
      </c>
      <c r="Y34">
        <f t="shared" si="31"/>
        <v>53716.72</v>
      </c>
      <c r="Z34">
        <f t="shared" si="14"/>
        <v>44440</v>
      </c>
      <c r="AA34">
        <f>SUMIFS(BuyAmount,datecode,"="&amp;'MONTHLY REPORT'!B34)</f>
        <v>0</v>
      </c>
      <c r="AB34">
        <f t="shared" si="15"/>
        <v>0</v>
      </c>
      <c r="AC34">
        <f t="shared" si="32"/>
        <v>0</v>
      </c>
      <c r="AG34">
        <f t="shared" si="19"/>
        <v>0</v>
      </c>
      <c r="AH34">
        <f t="shared" si="20"/>
        <v>0</v>
      </c>
      <c r="AV34" t="e">
        <f t="shared" si="23"/>
        <v>#DIV/0!</v>
      </c>
      <c r="AW34" t="e">
        <f t="shared" si="24"/>
        <v>#DIV/0!</v>
      </c>
      <c r="AX34">
        <f t="shared" si="25"/>
        <v>0</v>
      </c>
      <c r="AY34">
        <f t="shared" si="26"/>
        <v>0</v>
      </c>
    </row>
    <row r="35" spans="1:51" ht="21.95" customHeight="1">
      <c r="A35" s="697">
        <f t="shared" si="27"/>
        <v>21</v>
      </c>
      <c r="B35" s="700">
        <f t="shared" si="44"/>
        <v>44409</v>
      </c>
      <c r="C35" s="701">
        <f>SUMIFS('Bank Transfers'!$H$15:$H$514,'Bank Transfers'!$L$15:$L$514,B35,'Bank Transfers'!$E$15:$E$514,"deposit")</f>
        <v>0</v>
      </c>
      <c r="D35" s="701">
        <f>SUMIFS('Bank Transfers'!$H$15:$H$514,'Bank Transfers'!$L$15:$L$514,B35,'Bank Transfers'!$E$15:$E$514,"withdraw")</f>
        <v>0</v>
      </c>
      <c r="E35" s="699">
        <f>IF(B35="","",IF(B35='Bank Transfers'!$L$15,'Bank Transfers'!$H$15,J36))</f>
        <v>53716.72</v>
      </c>
      <c r="F35" s="615">
        <f>IFERROR(IF(B35='Bank Transfers'!$L$15,C35+D35-E35,C35+D35),0)</f>
        <v>0</v>
      </c>
      <c r="G35" s="615">
        <f>SUMIFS('TRADE LOG'!$M$15:$M$9733,WL,"W",datecode,B35)</f>
        <v>0</v>
      </c>
      <c r="H35" s="616">
        <f>SUMIFS('TRADE LOG'!$M$15:$M$9733,WL,"L",datecode,B35)</f>
        <v>0</v>
      </c>
      <c r="I35" s="616">
        <f t="shared" si="8"/>
        <v>0</v>
      </c>
      <c r="J35" s="699">
        <f t="shared" si="39"/>
        <v>53716.72</v>
      </c>
      <c r="K35" s="615">
        <f t="shared" si="40"/>
        <v>0</v>
      </c>
      <c r="L35" s="554">
        <f t="shared" si="47"/>
        <v>0</v>
      </c>
      <c r="M35" s="555"/>
      <c r="N35" s="702">
        <f t="shared" si="10"/>
        <v>0</v>
      </c>
      <c r="O35" s="703" t="str">
        <f t="shared" si="11"/>
        <v/>
      </c>
      <c r="P35" s="703" t="str">
        <f t="shared" si="12"/>
        <v/>
      </c>
      <c r="Q35" s="556" t="str">
        <f t="shared" si="28"/>
        <v/>
      </c>
      <c r="R35" s="704" t="str">
        <f t="shared" si="29"/>
        <v/>
      </c>
      <c r="S35" s="704" t="str">
        <f t="shared" si="41"/>
        <v/>
      </c>
      <c r="T35" s="557" t="str">
        <f t="shared" si="13"/>
        <v/>
      </c>
      <c r="U35" s="558">
        <f>IFERROR(SUMIFS('TRADE LOG'!$W$15:$W$9733,datecode,"="&amp;B35),"")</f>
        <v>0</v>
      </c>
      <c r="V35" s="263"/>
      <c r="W35" s="263"/>
      <c r="X35">
        <f t="shared" si="30"/>
        <v>44409</v>
      </c>
      <c r="Y35">
        <f t="shared" si="31"/>
        <v>53716.72</v>
      </c>
      <c r="Z35">
        <f t="shared" si="14"/>
        <v>44409</v>
      </c>
      <c r="AA35">
        <f>SUMIFS(BuyAmount,datecode,"="&amp;'MONTHLY REPORT'!B35)</f>
        <v>0</v>
      </c>
      <c r="AB35">
        <f t="shared" si="15"/>
        <v>0</v>
      </c>
      <c r="AC35">
        <f t="shared" si="32"/>
        <v>0</v>
      </c>
      <c r="AG35">
        <f t="shared" si="19"/>
        <v>0</v>
      </c>
      <c r="AH35">
        <f t="shared" si="20"/>
        <v>0</v>
      </c>
      <c r="AV35" t="e">
        <f t="shared" si="23"/>
        <v>#DIV/0!</v>
      </c>
      <c r="AW35" t="e">
        <f t="shared" si="24"/>
        <v>#DIV/0!</v>
      </c>
      <c r="AX35">
        <f t="shared" si="25"/>
        <v>0</v>
      </c>
      <c r="AY35">
        <f t="shared" si="26"/>
        <v>0</v>
      </c>
    </row>
    <row r="36" spans="1:51" ht="21.95" customHeight="1">
      <c r="A36" s="697">
        <f t="shared" si="27"/>
        <v>22</v>
      </c>
      <c r="B36" s="700">
        <f t="shared" si="44"/>
        <v>44378</v>
      </c>
      <c r="C36" s="701">
        <f>SUMIFS('Bank Transfers'!$H$15:$H$514,'Bank Transfers'!$L$15:$L$514,B36,'Bank Transfers'!$E$15:$E$514,"deposit")</f>
        <v>0</v>
      </c>
      <c r="D36" s="701">
        <f>SUMIFS('Bank Transfers'!$H$15:$H$514,'Bank Transfers'!$L$15:$L$514,B36,'Bank Transfers'!$E$15:$E$514,"withdraw")</f>
        <v>0</v>
      </c>
      <c r="E36" s="699">
        <f>IF(B36="","",IF(B36='Bank Transfers'!$L$15,'Bank Transfers'!$H$15,J37))</f>
        <v>53716.72</v>
      </c>
      <c r="F36" s="615">
        <f>IFERROR(IF(B36='Bank Transfers'!$L$15,C36+D36-E36,C36+D36),0)</f>
        <v>0</v>
      </c>
      <c r="G36" s="615">
        <f>SUMIFS('TRADE LOG'!$M$15:$M$9733,WL,"W",datecode,B36)</f>
        <v>0</v>
      </c>
      <c r="H36" s="616">
        <f>SUMIFS('TRADE LOG'!$M$15:$M$9733,WL,"L",datecode,B36)</f>
        <v>0</v>
      </c>
      <c r="I36" s="616">
        <f t="shared" si="8"/>
        <v>0</v>
      </c>
      <c r="J36" s="699">
        <f t="shared" si="39"/>
        <v>53716.72</v>
      </c>
      <c r="K36" s="615">
        <f t="shared" si="40"/>
        <v>0</v>
      </c>
      <c r="L36" s="554">
        <f t="shared" si="47"/>
        <v>0</v>
      </c>
      <c r="M36" s="555"/>
      <c r="N36" s="702">
        <f t="shared" si="10"/>
        <v>0</v>
      </c>
      <c r="O36" s="703" t="str">
        <f t="shared" si="11"/>
        <v/>
      </c>
      <c r="P36" s="703" t="str">
        <f t="shared" si="12"/>
        <v/>
      </c>
      <c r="Q36" s="556" t="str">
        <f t="shared" si="28"/>
        <v/>
      </c>
      <c r="R36" s="704" t="str">
        <f t="shared" si="29"/>
        <v/>
      </c>
      <c r="S36" s="704" t="str">
        <f t="shared" si="41"/>
        <v/>
      </c>
      <c r="T36" s="557" t="str">
        <f t="shared" si="13"/>
        <v/>
      </c>
      <c r="U36" s="558">
        <f>IFERROR(SUMIFS('TRADE LOG'!$W$15:$W$9733,datecode,"="&amp;B36),"")</f>
        <v>0</v>
      </c>
      <c r="V36" s="263"/>
      <c r="W36" s="263"/>
      <c r="X36">
        <f t="shared" si="30"/>
        <v>44378</v>
      </c>
      <c r="Y36">
        <f t="shared" si="31"/>
        <v>53716.72</v>
      </c>
      <c r="Z36">
        <f t="shared" si="14"/>
        <v>44378</v>
      </c>
      <c r="AA36">
        <f>SUMIFS(BuyAmount,datecode,"="&amp;'MONTHLY REPORT'!B36)</f>
        <v>0</v>
      </c>
      <c r="AB36">
        <f t="shared" si="15"/>
        <v>0</v>
      </c>
      <c r="AC36">
        <f t="shared" si="32"/>
        <v>0</v>
      </c>
      <c r="AG36">
        <f t="shared" si="19"/>
        <v>0</v>
      </c>
      <c r="AH36">
        <f t="shared" si="20"/>
        <v>0</v>
      </c>
      <c r="AV36" t="e">
        <f t="shared" si="23"/>
        <v>#DIV/0!</v>
      </c>
      <c r="AW36" t="e">
        <f t="shared" si="24"/>
        <v>#DIV/0!</v>
      </c>
      <c r="AX36">
        <f t="shared" si="25"/>
        <v>0</v>
      </c>
      <c r="AY36">
        <f t="shared" si="26"/>
        <v>0</v>
      </c>
    </row>
    <row r="37" spans="1:51" ht="21.95" customHeight="1">
      <c r="A37" s="697">
        <f t="shared" si="27"/>
        <v>23</v>
      </c>
      <c r="B37" s="700">
        <f t="shared" si="44"/>
        <v>44348</v>
      </c>
      <c r="C37" s="701">
        <f>SUMIFS('Bank Transfers'!$H$15:$H$514,'Bank Transfers'!$L$15:$L$514,B37,'Bank Transfers'!$E$15:$E$514,"deposit")</f>
        <v>0</v>
      </c>
      <c r="D37" s="701">
        <f>SUMIFS('Bank Transfers'!$H$15:$H$514,'Bank Transfers'!$L$15:$L$514,B37,'Bank Transfers'!$E$15:$E$514,"withdraw")</f>
        <v>0</v>
      </c>
      <c r="E37" s="699">
        <f>IF(B37="","",IF(B37='Bank Transfers'!$L$15,'Bank Transfers'!$H$15,J38))</f>
        <v>53716.72</v>
      </c>
      <c r="F37" s="615">
        <f>IFERROR(IF(B37='Bank Transfers'!$L$15,C37+D37-E37,C37+D37),0)</f>
        <v>0</v>
      </c>
      <c r="G37" s="615">
        <f>SUMIFS('TRADE LOG'!$M$15:$M$9733,WL,"W",datecode,B37)</f>
        <v>0</v>
      </c>
      <c r="H37" s="616">
        <f>SUMIFS('TRADE LOG'!$M$15:$M$9733,WL,"L",datecode,B37)</f>
        <v>0</v>
      </c>
      <c r="I37" s="616">
        <f t="shared" si="8"/>
        <v>0</v>
      </c>
      <c r="J37" s="699">
        <f t="shared" si="39"/>
        <v>53716.72</v>
      </c>
      <c r="K37" s="615">
        <f t="shared" si="40"/>
        <v>0</v>
      </c>
      <c r="L37" s="554">
        <f t="shared" si="47"/>
        <v>0</v>
      </c>
      <c r="M37" s="555"/>
      <c r="N37" s="702">
        <f t="shared" si="10"/>
        <v>0</v>
      </c>
      <c r="O37" s="703" t="str">
        <f t="shared" si="11"/>
        <v/>
      </c>
      <c r="P37" s="703" t="str">
        <f t="shared" si="12"/>
        <v/>
      </c>
      <c r="Q37" s="556" t="str">
        <f t="shared" si="28"/>
        <v/>
      </c>
      <c r="R37" s="704" t="str">
        <f t="shared" si="29"/>
        <v/>
      </c>
      <c r="S37" s="704" t="str">
        <f t="shared" si="41"/>
        <v/>
      </c>
      <c r="T37" s="557" t="str">
        <f t="shared" si="13"/>
        <v/>
      </c>
      <c r="U37" s="558">
        <f>IFERROR(SUMIFS('TRADE LOG'!$W$15:$W$9733,datecode,"="&amp;B37),"")</f>
        <v>0</v>
      </c>
      <c r="V37" s="263"/>
      <c r="W37" s="263"/>
      <c r="X37">
        <f t="shared" si="30"/>
        <v>44348</v>
      </c>
      <c r="Y37">
        <f t="shared" si="31"/>
        <v>53716.72</v>
      </c>
      <c r="Z37">
        <f t="shared" si="14"/>
        <v>44348</v>
      </c>
      <c r="AA37">
        <f>SUMIFS(BuyAmount,datecode,"="&amp;'MONTHLY REPORT'!B37)</f>
        <v>0</v>
      </c>
      <c r="AB37">
        <f t="shared" si="15"/>
        <v>0</v>
      </c>
      <c r="AC37">
        <f t="shared" si="32"/>
        <v>0</v>
      </c>
      <c r="AG37">
        <f t="shared" si="19"/>
        <v>0</v>
      </c>
      <c r="AH37">
        <f t="shared" si="20"/>
        <v>0</v>
      </c>
      <c r="AV37" t="e">
        <f t="shared" si="23"/>
        <v>#DIV/0!</v>
      </c>
      <c r="AW37" t="e">
        <f t="shared" si="24"/>
        <v>#DIV/0!</v>
      </c>
      <c r="AX37">
        <f t="shared" si="25"/>
        <v>0</v>
      </c>
      <c r="AY37">
        <f t="shared" si="26"/>
        <v>0</v>
      </c>
    </row>
    <row r="38" spans="1:51" ht="21.95" customHeight="1">
      <c r="A38" s="697">
        <f t="shared" si="27"/>
        <v>24</v>
      </c>
      <c r="B38" s="700">
        <f t="shared" si="44"/>
        <v>44317</v>
      </c>
      <c r="C38" s="701">
        <f>SUMIFS('Bank Transfers'!$H$15:$H$514,'Bank Transfers'!$L$15:$L$514,B38,'Bank Transfers'!$E$15:$E$514,"deposit")</f>
        <v>0</v>
      </c>
      <c r="D38" s="701">
        <f>SUMIFS('Bank Transfers'!$H$15:$H$514,'Bank Transfers'!$L$15:$L$514,B38,'Bank Transfers'!$E$15:$E$514,"withdraw")</f>
        <v>0</v>
      </c>
      <c r="E38" s="699">
        <f>IF(B38="","",IF(B38='Bank Transfers'!$L$15,'Bank Transfers'!$H$15,J39))</f>
        <v>53716.72</v>
      </c>
      <c r="F38" s="615">
        <f>IFERROR(IF(B38='Bank Transfers'!$L$15,C38+D38-E38,C38+D38),0)</f>
        <v>0</v>
      </c>
      <c r="G38" s="615">
        <f>SUMIFS('TRADE LOG'!$M$15:$M$9733,WL,"W",datecode,B38)</f>
        <v>0</v>
      </c>
      <c r="H38" s="616">
        <f>SUMIFS('TRADE LOG'!$M$15:$M$9733,WL,"L",datecode,B38)</f>
        <v>0</v>
      </c>
      <c r="I38" s="616">
        <f t="shared" si="8"/>
        <v>0</v>
      </c>
      <c r="J38" s="699">
        <f t="shared" si="39"/>
        <v>53716.72</v>
      </c>
      <c r="K38" s="615">
        <f t="shared" si="40"/>
        <v>0</v>
      </c>
      <c r="L38" s="554">
        <f t="shared" si="47"/>
        <v>0</v>
      </c>
      <c r="M38" s="555"/>
      <c r="N38" s="702">
        <f t="shared" si="10"/>
        <v>0</v>
      </c>
      <c r="O38" s="703" t="str">
        <f t="shared" si="11"/>
        <v/>
      </c>
      <c r="P38" s="703" t="str">
        <f t="shared" si="12"/>
        <v/>
      </c>
      <c r="Q38" s="556" t="str">
        <f t="shared" si="28"/>
        <v/>
      </c>
      <c r="R38" s="704" t="str">
        <f t="shared" si="29"/>
        <v/>
      </c>
      <c r="S38" s="704" t="str">
        <f t="shared" si="41"/>
        <v/>
      </c>
      <c r="T38" s="557" t="str">
        <f t="shared" si="13"/>
        <v/>
      </c>
      <c r="U38" s="558">
        <f>IFERROR(SUMIFS('TRADE LOG'!$W$15:$W$9733,datecode,"="&amp;B38),"")</f>
        <v>0</v>
      </c>
      <c r="V38" s="263"/>
      <c r="W38" s="263"/>
      <c r="X38">
        <f t="shared" si="30"/>
        <v>44317</v>
      </c>
      <c r="Y38">
        <f t="shared" si="31"/>
        <v>53716.72</v>
      </c>
      <c r="Z38">
        <f t="shared" si="14"/>
        <v>44317</v>
      </c>
      <c r="AA38">
        <f>SUMIFS(BuyAmount,datecode,"="&amp;'MONTHLY REPORT'!B38)</f>
        <v>0</v>
      </c>
      <c r="AB38">
        <f t="shared" si="15"/>
        <v>0</v>
      </c>
      <c r="AC38">
        <f t="shared" si="32"/>
        <v>0</v>
      </c>
      <c r="AG38">
        <f t="shared" si="19"/>
        <v>0</v>
      </c>
      <c r="AH38">
        <f t="shared" si="20"/>
        <v>0</v>
      </c>
      <c r="AV38" t="e">
        <f t="shared" si="23"/>
        <v>#DIV/0!</v>
      </c>
      <c r="AW38" t="e">
        <f t="shared" si="24"/>
        <v>#DIV/0!</v>
      </c>
      <c r="AX38">
        <f t="shared" si="25"/>
        <v>0</v>
      </c>
      <c r="AY38">
        <f t="shared" si="26"/>
        <v>0</v>
      </c>
    </row>
    <row r="39" spans="1:51" ht="21.95" customHeight="1">
      <c r="A39" s="697">
        <f t="shared" si="27"/>
        <v>25</v>
      </c>
      <c r="B39" s="700">
        <f t="shared" si="44"/>
        <v>44287</v>
      </c>
      <c r="C39" s="701">
        <f>SUMIFS('Bank Transfers'!$H$15:$H$514,'Bank Transfers'!$L$15:$L$514,B39,'Bank Transfers'!$E$15:$E$514,"deposit")</f>
        <v>0</v>
      </c>
      <c r="D39" s="701">
        <f>SUMIFS('Bank Transfers'!$H$15:$H$514,'Bank Transfers'!$L$15:$L$514,B39,'Bank Transfers'!$E$15:$E$514,"withdraw")</f>
        <v>0</v>
      </c>
      <c r="E39" s="699">
        <f>IF(B39="","",IF(B39='Bank Transfers'!$L$15,'Bank Transfers'!$H$15,J40))</f>
        <v>53716.72</v>
      </c>
      <c r="F39" s="615">
        <f>IFERROR(IF(B39='Bank Transfers'!$L$15,C39+D39-E39,C39+D39),0)</f>
        <v>0</v>
      </c>
      <c r="G39" s="615">
        <f>SUMIFS('TRADE LOG'!$M$15:$M$9733,WL,"W",datecode,B39)</f>
        <v>0</v>
      </c>
      <c r="H39" s="616">
        <f>SUMIFS('TRADE LOG'!$M$15:$M$9733,WL,"L",datecode,B39)</f>
        <v>0</v>
      </c>
      <c r="I39" s="616">
        <f t="shared" si="8"/>
        <v>0</v>
      </c>
      <c r="J39" s="699">
        <f t="shared" si="39"/>
        <v>53716.72</v>
      </c>
      <c r="K39" s="615">
        <f t="shared" si="40"/>
        <v>0</v>
      </c>
      <c r="L39" s="554">
        <f t="shared" si="47"/>
        <v>0</v>
      </c>
      <c r="M39" s="555"/>
      <c r="N39" s="702">
        <f t="shared" si="10"/>
        <v>0</v>
      </c>
      <c r="O39" s="703" t="str">
        <f t="shared" si="11"/>
        <v/>
      </c>
      <c r="P39" s="703" t="str">
        <f t="shared" si="12"/>
        <v/>
      </c>
      <c r="Q39" s="556" t="str">
        <f t="shared" si="28"/>
        <v/>
      </c>
      <c r="R39" s="704" t="str">
        <f t="shared" si="29"/>
        <v/>
      </c>
      <c r="S39" s="704" t="str">
        <f t="shared" si="41"/>
        <v/>
      </c>
      <c r="T39" s="557" t="str">
        <f t="shared" si="13"/>
        <v/>
      </c>
      <c r="U39" s="558">
        <f>IFERROR(SUMIFS('TRADE LOG'!$W$15:$W$9733,datecode,"="&amp;B39),"")</f>
        <v>0</v>
      </c>
      <c r="V39" s="263"/>
      <c r="W39" s="263"/>
      <c r="X39">
        <f t="shared" si="30"/>
        <v>44287</v>
      </c>
      <c r="Y39">
        <f t="shared" si="31"/>
        <v>53716.72</v>
      </c>
      <c r="Z39">
        <f t="shared" si="14"/>
        <v>44287</v>
      </c>
      <c r="AA39">
        <f>SUMIFS(BuyAmount,datecode,"="&amp;'MONTHLY REPORT'!B39)</f>
        <v>0</v>
      </c>
      <c r="AB39">
        <f t="shared" si="15"/>
        <v>0</v>
      </c>
      <c r="AC39">
        <f t="shared" si="32"/>
        <v>0</v>
      </c>
      <c r="AG39">
        <f t="shared" si="19"/>
        <v>0</v>
      </c>
      <c r="AH39">
        <f t="shared" si="20"/>
        <v>0</v>
      </c>
      <c r="AV39" t="e">
        <f t="shared" si="23"/>
        <v>#DIV/0!</v>
      </c>
      <c r="AW39" t="e">
        <f t="shared" si="24"/>
        <v>#DIV/0!</v>
      </c>
      <c r="AX39">
        <f t="shared" si="25"/>
        <v>0</v>
      </c>
      <c r="AY39">
        <f t="shared" si="26"/>
        <v>0</v>
      </c>
    </row>
    <row r="40" spans="1:51" ht="21.95" customHeight="1">
      <c r="A40" s="697">
        <f t="shared" si="27"/>
        <v>26</v>
      </c>
      <c r="B40" s="700">
        <f t="shared" si="44"/>
        <v>44256</v>
      </c>
      <c r="C40" s="701">
        <f>SUMIFS('Bank Transfers'!$H$15:$H$514,'Bank Transfers'!$L$15:$L$514,B40,'Bank Transfers'!$E$15:$E$514,"deposit")</f>
        <v>0</v>
      </c>
      <c r="D40" s="701">
        <f>SUMIFS('Bank Transfers'!$H$15:$H$514,'Bank Transfers'!$L$15:$L$514,B40,'Bank Transfers'!$E$15:$E$514,"withdraw")</f>
        <v>0</v>
      </c>
      <c r="E40" s="699">
        <f>IF(B40="","",IF(B40='Bank Transfers'!$L$15,'Bank Transfers'!$H$15,J41))</f>
        <v>53716.72</v>
      </c>
      <c r="F40" s="615">
        <f>IFERROR(IF(B40='Bank Transfers'!$L$15,C40+D40-E40,C40+D40),0)</f>
        <v>0</v>
      </c>
      <c r="G40" s="615">
        <f>SUMIFS('TRADE LOG'!$M$15:$M$9733,WL,"W",datecode,B40)</f>
        <v>0</v>
      </c>
      <c r="H40" s="616">
        <f>SUMIFS('TRADE LOG'!$M$15:$M$9733,WL,"L",datecode,B40)</f>
        <v>0</v>
      </c>
      <c r="I40" s="616">
        <f t="shared" si="8"/>
        <v>0</v>
      </c>
      <c r="J40" s="699">
        <f t="shared" si="39"/>
        <v>53716.72</v>
      </c>
      <c r="K40" s="615">
        <f t="shared" si="40"/>
        <v>0</v>
      </c>
      <c r="L40" s="554">
        <f t="shared" si="47"/>
        <v>0</v>
      </c>
      <c r="M40" s="555"/>
      <c r="N40" s="702">
        <f t="shared" si="10"/>
        <v>0</v>
      </c>
      <c r="O40" s="703" t="str">
        <f t="shared" si="11"/>
        <v/>
      </c>
      <c r="P40" s="703" t="str">
        <f t="shared" si="12"/>
        <v/>
      </c>
      <c r="Q40" s="556" t="str">
        <f t="shared" si="28"/>
        <v/>
      </c>
      <c r="R40" s="704" t="str">
        <f t="shared" si="29"/>
        <v/>
      </c>
      <c r="S40" s="704" t="str">
        <f t="shared" si="41"/>
        <v/>
      </c>
      <c r="T40" s="557" t="str">
        <f t="shared" si="13"/>
        <v/>
      </c>
      <c r="U40" s="558">
        <f>IFERROR(SUMIFS('TRADE LOG'!$W$15:$W$9733,datecode,"="&amp;B40),"")</f>
        <v>0</v>
      </c>
      <c r="V40" s="263"/>
      <c r="W40" s="263"/>
      <c r="X40">
        <f t="shared" si="30"/>
        <v>44256</v>
      </c>
      <c r="Y40">
        <f t="shared" si="31"/>
        <v>53716.72</v>
      </c>
      <c r="Z40">
        <f t="shared" si="14"/>
        <v>44256</v>
      </c>
      <c r="AA40">
        <f>SUMIFS(BuyAmount,datecode,"="&amp;'MONTHLY REPORT'!B40)</f>
        <v>0</v>
      </c>
      <c r="AB40">
        <f t="shared" si="15"/>
        <v>0</v>
      </c>
      <c r="AC40">
        <f t="shared" si="32"/>
        <v>0</v>
      </c>
      <c r="AG40">
        <f t="shared" si="19"/>
        <v>0</v>
      </c>
      <c r="AH40">
        <f t="shared" si="20"/>
        <v>0</v>
      </c>
      <c r="AV40" t="e">
        <f t="shared" si="23"/>
        <v>#DIV/0!</v>
      </c>
      <c r="AW40" t="e">
        <f t="shared" si="24"/>
        <v>#DIV/0!</v>
      </c>
      <c r="AX40">
        <f t="shared" si="25"/>
        <v>0</v>
      </c>
      <c r="AY40">
        <f t="shared" si="26"/>
        <v>0</v>
      </c>
    </row>
    <row r="41" spans="1:51" ht="21.95" customHeight="1">
      <c r="A41" s="697">
        <f t="shared" si="27"/>
        <v>27</v>
      </c>
      <c r="B41" s="700">
        <f t="shared" si="44"/>
        <v>44228</v>
      </c>
      <c r="C41" s="701">
        <f>SUMIFS('Bank Transfers'!$H$15:$H$514,'Bank Transfers'!$L$15:$L$514,B41,'Bank Transfers'!$E$15:$E$514,"deposit")</f>
        <v>0</v>
      </c>
      <c r="D41" s="701">
        <f>SUMIFS('Bank Transfers'!$H$15:$H$514,'Bank Transfers'!$L$15:$L$514,B41,'Bank Transfers'!$E$15:$E$514,"withdraw")</f>
        <v>0</v>
      </c>
      <c r="E41" s="699">
        <f>IF(B41="","",IF(B41='Bank Transfers'!$L$15,'Bank Transfers'!$H$15,J42))</f>
        <v>53716.72</v>
      </c>
      <c r="F41" s="615">
        <f>IFERROR(IF(B41='Bank Transfers'!$L$15,C41+D41-E41,C41+D41),0)</f>
        <v>0</v>
      </c>
      <c r="G41" s="615">
        <f>SUMIFS('TRADE LOG'!$M$15:$M$9733,WL,"W",datecode,B41)</f>
        <v>0</v>
      </c>
      <c r="H41" s="616">
        <f>SUMIFS('TRADE LOG'!$M$15:$M$9733,WL,"L",datecode,B41)</f>
        <v>0</v>
      </c>
      <c r="I41" s="616">
        <f t="shared" si="8"/>
        <v>0</v>
      </c>
      <c r="J41" s="699">
        <f t="shared" si="39"/>
        <v>53716.72</v>
      </c>
      <c r="K41" s="615">
        <f t="shared" si="40"/>
        <v>0</v>
      </c>
      <c r="L41" s="554">
        <f t="shared" si="47"/>
        <v>0</v>
      </c>
      <c r="M41" s="555"/>
      <c r="N41" s="702">
        <f t="shared" si="10"/>
        <v>0</v>
      </c>
      <c r="O41" s="703" t="str">
        <f t="shared" si="11"/>
        <v/>
      </c>
      <c r="P41" s="703" t="str">
        <f t="shared" si="12"/>
        <v/>
      </c>
      <c r="Q41" s="556" t="str">
        <f t="shared" si="28"/>
        <v/>
      </c>
      <c r="R41" s="704" t="str">
        <f t="shared" si="29"/>
        <v/>
      </c>
      <c r="S41" s="704" t="str">
        <f t="shared" si="41"/>
        <v/>
      </c>
      <c r="T41" s="557" t="str">
        <f t="shared" si="13"/>
        <v/>
      </c>
      <c r="U41" s="558">
        <f>IFERROR(SUMIFS('TRADE LOG'!$W$15:$W$9733,datecode,"="&amp;B41),"")</f>
        <v>0</v>
      </c>
      <c r="V41" s="263"/>
      <c r="W41" s="263"/>
      <c r="X41">
        <f t="shared" si="30"/>
        <v>44228</v>
      </c>
      <c r="Y41">
        <f t="shared" si="31"/>
        <v>53716.72</v>
      </c>
      <c r="Z41">
        <f t="shared" si="14"/>
        <v>44228</v>
      </c>
      <c r="AA41">
        <f>SUMIFS(BuyAmount,datecode,"="&amp;'MONTHLY REPORT'!B41)</f>
        <v>0</v>
      </c>
      <c r="AB41">
        <f t="shared" si="15"/>
        <v>0</v>
      </c>
      <c r="AC41">
        <f t="shared" si="32"/>
        <v>0</v>
      </c>
      <c r="AG41">
        <f t="shared" si="19"/>
        <v>0</v>
      </c>
      <c r="AH41">
        <f t="shared" si="20"/>
        <v>0</v>
      </c>
      <c r="AV41" t="e">
        <f t="shared" si="23"/>
        <v>#DIV/0!</v>
      </c>
      <c r="AW41" t="e">
        <f t="shared" si="24"/>
        <v>#DIV/0!</v>
      </c>
      <c r="AX41">
        <f t="shared" si="25"/>
        <v>0</v>
      </c>
      <c r="AY41">
        <f t="shared" si="26"/>
        <v>0</v>
      </c>
    </row>
    <row r="42" spans="1:51" ht="21.95" customHeight="1">
      <c r="A42" s="697">
        <f t="shared" si="27"/>
        <v>28</v>
      </c>
      <c r="B42" s="700">
        <f t="shared" si="44"/>
        <v>44197</v>
      </c>
      <c r="C42" s="701">
        <f>SUMIFS('Bank Transfers'!$H$15:$H$514,'Bank Transfers'!$L$15:$L$514,B42,'Bank Transfers'!$E$15:$E$514,"deposit")</f>
        <v>0</v>
      </c>
      <c r="D42" s="701">
        <f>SUMIFS('Bank Transfers'!$H$15:$H$514,'Bank Transfers'!$L$15:$L$514,B42,'Bank Transfers'!$E$15:$E$514,"withdraw")</f>
        <v>0</v>
      </c>
      <c r="E42" s="699">
        <f>IF(B42="","",IF(B42='Bank Transfers'!$L$15,'Bank Transfers'!$H$15,J43))</f>
        <v>53716.72</v>
      </c>
      <c r="F42" s="615">
        <f>IFERROR(IF(B42='Bank Transfers'!$L$15,C42+D42-E42,C42+D42),0)</f>
        <v>0</v>
      </c>
      <c r="G42" s="615">
        <f>SUMIFS('TRADE LOG'!$M$15:$M$9733,WL,"W",datecode,B42)</f>
        <v>0</v>
      </c>
      <c r="H42" s="616">
        <f>SUMIFS('TRADE LOG'!$M$15:$M$9733,WL,"L",datecode,B42)</f>
        <v>0</v>
      </c>
      <c r="I42" s="616">
        <f t="shared" si="8"/>
        <v>0</v>
      </c>
      <c r="J42" s="699">
        <f t="shared" si="39"/>
        <v>53716.72</v>
      </c>
      <c r="K42" s="615">
        <f t="shared" si="40"/>
        <v>0</v>
      </c>
      <c r="L42" s="554">
        <f t="shared" si="47"/>
        <v>0</v>
      </c>
      <c r="M42" s="555"/>
      <c r="N42" s="702">
        <f t="shared" si="10"/>
        <v>0</v>
      </c>
      <c r="O42" s="703" t="str">
        <f t="shared" si="11"/>
        <v/>
      </c>
      <c r="P42" s="703" t="str">
        <f t="shared" si="12"/>
        <v/>
      </c>
      <c r="Q42" s="556" t="str">
        <f t="shared" si="28"/>
        <v/>
      </c>
      <c r="R42" s="704" t="str">
        <f t="shared" si="29"/>
        <v/>
      </c>
      <c r="S42" s="704" t="str">
        <f t="shared" si="41"/>
        <v/>
      </c>
      <c r="T42" s="557" t="str">
        <f t="shared" si="13"/>
        <v/>
      </c>
      <c r="U42" s="558">
        <f>IFERROR(SUMIFS('TRADE LOG'!$W$15:$W$9733,datecode,"="&amp;B42),"")</f>
        <v>0</v>
      </c>
      <c r="V42" s="263"/>
      <c r="W42" s="263"/>
      <c r="X42">
        <f t="shared" si="30"/>
        <v>44197</v>
      </c>
      <c r="Y42">
        <f t="shared" si="31"/>
        <v>53716.72</v>
      </c>
      <c r="Z42">
        <f t="shared" si="14"/>
        <v>44197</v>
      </c>
      <c r="AA42">
        <f>SUMIFS(BuyAmount,datecode,"="&amp;'MONTHLY REPORT'!B42)</f>
        <v>0</v>
      </c>
      <c r="AB42">
        <f t="shared" si="15"/>
        <v>0</v>
      </c>
      <c r="AC42">
        <f t="shared" si="32"/>
        <v>0</v>
      </c>
      <c r="AG42">
        <f t="shared" si="19"/>
        <v>0</v>
      </c>
      <c r="AH42">
        <f t="shared" si="20"/>
        <v>0</v>
      </c>
      <c r="AV42" t="e">
        <f t="shared" si="23"/>
        <v>#DIV/0!</v>
      </c>
      <c r="AW42" t="e">
        <f t="shared" si="24"/>
        <v>#DIV/0!</v>
      </c>
      <c r="AX42">
        <f t="shared" si="25"/>
        <v>0</v>
      </c>
      <c r="AY42">
        <f t="shared" si="26"/>
        <v>0</v>
      </c>
    </row>
    <row r="43" spans="1:51" ht="21.95" customHeight="1">
      <c r="A43" s="697">
        <f t="shared" si="27"/>
        <v>29</v>
      </c>
      <c r="B43" s="700">
        <f t="shared" si="44"/>
        <v>44166</v>
      </c>
      <c r="C43" s="701">
        <f>SUMIFS('Bank Transfers'!$H$15:$H$514,'Bank Transfers'!$L$15:$L$514,B43,'Bank Transfers'!$E$15:$E$514,"deposit")</f>
        <v>0</v>
      </c>
      <c r="D43" s="701">
        <f>SUMIFS('Bank Transfers'!$H$15:$H$514,'Bank Transfers'!$L$15:$L$514,B43,'Bank Transfers'!$E$15:$E$514,"withdraw")</f>
        <v>0</v>
      </c>
      <c r="E43" s="699">
        <f>IF(B43="","",IF(B43='Bank Transfers'!$L$15,'Bank Transfers'!$H$15,J44))</f>
        <v>53716.72</v>
      </c>
      <c r="F43" s="615">
        <f>IFERROR(IF(B43='Bank Transfers'!$L$15,C43+D43-E43,C43+D43),0)</f>
        <v>0</v>
      </c>
      <c r="G43" s="615">
        <f>SUMIFS('TRADE LOG'!$M$15:$M$9733,WL,"W",datecode,B43)</f>
        <v>0</v>
      </c>
      <c r="H43" s="616">
        <f>SUMIFS('TRADE LOG'!$M$15:$M$9733,WL,"L",datecode,B43)</f>
        <v>0</v>
      </c>
      <c r="I43" s="616">
        <f t="shared" si="8"/>
        <v>0</v>
      </c>
      <c r="J43" s="699">
        <f t="shared" si="39"/>
        <v>53716.72</v>
      </c>
      <c r="K43" s="615">
        <f t="shared" si="40"/>
        <v>0</v>
      </c>
      <c r="L43" s="554">
        <f t="shared" si="47"/>
        <v>0</v>
      </c>
      <c r="M43" s="555"/>
      <c r="N43" s="702">
        <f t="shared" si="10"/>
        <v>0</v>
      </c>
      <c r="O43" s="703" t="str">
        <f t="shared" si="11"/>
        <v/>
      </c>
      <c r="P43" s="703" t="str">
        <f t="shared" si="12"/>
        <v/>
      </c>
      <c r="Q43" s="556" t="str">
        <f t="shared" si="28"/>
        <v/>
      </c>
      <c r="R43" s="704" t="str">
        <f t="shared" si="29"/>
        <v/>
      </c>
      <c r="S43" s="704" t="str">
        <f t="shared" si="41"/>
        <v/>
      </c>
      <c r="T43" s="557" t="str">
        <f t="shared" si="13"/>
        <v/>
      </c>
      <c r="U43" s="558">
        <f>IFERROR(SUMIFS('TRADE LOG'!$W$15:$W$9733,datecode,"="&amp;B43),"")</f>
        <v>0</v>
      </c>
      <c r="V43" s="263"/>
      <c r="W43" s="263"/>
      <c r="X43">
        <f t="shared" si="30"/>
        <v>44166</v>
      </c>
      <c r="Y43">
        <f t="shared" si="31"/>
        <v>53716.72</v>
      </c>
      <c r="Z43">
        <f t="shared" si="14"/>
        <v>44166</v>
      </c>
      <c r="AA43">
        <f>SUMIFS(BuyAmount,datecode,"="&amp;'MONTHLY REPORT'!B43)</f>
        <v>0</v>
      </c>
      <c r="AB43">
        <f t="shared" si="15"/>
        <v>0</v>
      </c>
      <c r="AC43">
        <f t="shared" si="32"/>
        <v>0</v>
      </c>
      <c r="AG43">
        <f t="shared" si="19"/>
        <v>0</v>
      </c>
      <c r="AH43">
        <f t="shared" si="20"/>
        <v>0</v>
      </c>
      <c r="AV43" t="e">
        <f t="shared" si="23"/>
        <v>#DIV/0!</v>
      </c>
      <c r="AW43" t="e">
        <f t="shared" si="24"/>
        <v>#DIV/0!</v>
      </c>
      <c r="AX43">
        <f t="shared" si="25"/>
        <v>0</v>
      </c>
      <c r="AY43">
        <f t="shared" si="26"/>
        <v>0</v>
      </c>
    </row>
    <row r="44" spans="1:51" ht="21.95" customHeight="1">
      <c r="A44" s="697">
        <f t="shared" si="27"/>
        <v>30</v>
      </c>
      <c r="B44" s="700">
        <f t="shared" si="44"/>
        <v>44136</v>
      </c>
      <c r="C44" s="701">
        <f>SUMIFS('Bank Transfers'!$H$15:$H$514,'Bank Transfers'!$L$15:$L$514,B44,'Bank Transfers'!$E$15:$E$514,"deposit")</f>
        <v>0</v>
      </c>
      <c r="D44" s="701">
        <f>SUMIFS('Bank Transfers'!$H$15:$H$514,'Bank Transfers'!$L$15:$L$514,B44,'Bank Transfers'!$E$15:$E$514,"withdraw")</f>
        <v>0</v>
      </c>
      <c r="E44" s="699">
        <f>IF(B44="","",IF(B44='Bank Transfers'!$L$15,'Bank Transfers'!$H$15,J45))</f>
        <v>53716.72</v>
      </c>
      <c r="F44" s="615">
        <f>IFERROR(IF(B44='Bank Transfers'!$L$15,C44+D44-E44,C44+D44),0)</f>
        <v>0</v>
      </c>
      <c r="G44" s="615">
        <f>SUMIFS('TRADE LOG'!$M$15:$M$9733,WL,"W",datecode,B44)</f>
        <v>0</v>
      </c>
      <c r="H44" s="616">
        <f>SUMIFS('TRADE LOG'!$M$15:$M$9733,WL,"L",datecode,B44)</f>
        <v>0</v>
      </c>
      <c r="I44" s="616">
        <f t="shared" si="8"/>
        <v>0</v>
      </c>
      <c r="J44" s="699">
        <f t="shared" si="39"/>
        <v>53716.72</v>
      </c>
      <c r="K44" s="615">
        <f t="shared" si="40"/>
        <v>0</v>
      </c>
      <c r="L44" s="554">
        <f t="shared" si="47"/>
        <v>0</v>
      </c>
      <c r="M44" s="555"/>
      <c r="N44" s="702">
        <f t="shared" si="10"/>
        <v>0</v>
      </c>
      <c r="O44" s="703" t="str">
        <f t="shared" si="11"/>
        <v/>
      </c>
      <c r="P44" s="703" t="str">
        <f t="shared" si="12"/>
        <v/>
      </c>
      <c r="Q44" s="556" t="str">
        <f t="shared" si="28"/>
        <v/>
      </c>
      <c r="R44" s="704" t="str">
        <f t="shared" si="29"/>
        <v/>
      </c>
      <c r="S44" s="704" t="str">
        <f t="shared" si="41"/>
        <v/>
      </c>
      <c r="T44" s="557" t="str">
        <f t="shared" si="13"/>
        <v/>
      </c>
      <c r="U44" s="558">
        <f>IFERROR(SUMIFS('TRADE LOG'!$W$15:$W$9733,datecode,"="&amp;B44),"")</f>
        <v>0</v>
      </c>
      <c r="V44" s="263"/>
      <c r="W44" s="263"/>
      <c r="X44">
        <f t="shared" si="30"/>
        <v>44136</v>
      </c>
      <c r="Y44">
        <f t="shared" si="31"/>
        <v>53716.72</v>
      </c>
      <c r="Z44">
        <f t="shared" si="14"/>
        <v>44136</v>
      </c>
      <c r="AA44">
        <f>SUMIFS(BuyAmount,datecode,"="&amp;'MONTHLY REPORT'!B44)</f>
        <v>0</v>
      </c>
      <c r="AB44">
        <f t="shared" si="15"/>
        <v>0</v>
      </c>
      <c r="AC44">
        <f t="shared" si="32"/>
        <v>0</v>
      </c>
      <c r="AG44">
        <f t="shared" si="19"/>
        <v>0</v>
      </c>
      <c r="AH44">
        <f t="shared" si="20"/>
        <v>0</v>
      </c>
      <c r="AV44" t="e">
        <f t="shared" si="23"/>
        <v>#DIV/0!</v>
      </c>
      <c r="AW44" t="e">
        <f t="shared" si="24"/>
        <v>#DIV/0!</v>
      </c>
      <c r="AX44">
        <f t="shared" si="25"/>
        <v>0</v>
      </c>
      <c r="AY44">
        <f t="shared" si="26"/>
        <v>0</v>
      </c>
    </row>
    <row r="45" spans="1:51" ht="21.95" customHeight="1">
      <c r="A45" s="697">
        <f t="shared" si="27"/>
        <v>31</v>
      </c>
      <c r="B45" s="700">
        <f t="shared" si="44"/>
        <v>44105</v>
      </c>
      <c r="C45" s="701">
        <f>SUMIFS('Bank Transfers'!$H$15:$H$514,'Bank Transfers'!$L$15:$L$514,B45,'Bank Transfers'!$E$15:$E$514,"deposit")</f>
        <v>0</v>
      </c>
      <c r="D45" s="701">
        <f>SUMIFS('Bank Transfers'!$H$15:$H$514,'Bank Transfers'!$L$15:$L$514,B45,'Bank Transfers'!$E$15:$E$514,"withdraw")</f>
        <v>0</v>
      </c>
      <c r="E45" s="699">
        <f>IF(B45="","",IF(B45='Bank Transfers'!$L$15,'Bank Transfers'!$H$15,J46))</f>
        <v>53716.72</v>
      </c>
      <c r="F45" s="615">
        <f>IFERROR(IF(B45='Bank Transfers'!$L$15,C45+D45-E45,C45+D45),0)</f>
        <v>0</v>
      </c>
      <c r="G45" s="615">
        <f>SUMIFS('TRADE LOG'!$M$15:$M$9733,WL,"W",datecode,B45)</f>
        <v>0</v>
      </c>
      <c r="H45" s="616">
        <f>SUMIFS('TRADE LOG'!$M$15:$M$9733,WL,"L",datecode,B45)</f>
        <v>0</v>
      </c>
      <c r="I45" s="616">
        <f t="shared" si="8"/>
        <v>0</v>
      </c>
      <c r="J45" s="699">
        <f t="shared" si="39"/>
        <v>53716.72</v>
      </c>
      <c r="K45" s="615">
        <f t="shared" si="40"/>
        <v>0</v>
      </c>
      <c r="L45" s="554">
        <f t="shared" si="47"/>
        <v>0</v>
      </c>
      <c r="M45" s="555"/>
      <c r="N45" s="702">
        <f t="shared" si="10"/>
        <v>0</v>
      </c>
      <c r="O45" s="703" t="str">
        <f t="shared" si="11"/>
        <v/>
      </c>
      <c r="P45" s="703" t="str">
        <f t="shared" si="12"/>
        <v/>
      </c>
      <c r="Q45" s="556" t="str">
        <f t="shared" si="28"/>
        <v/>
      </c>
      <c r="R45" s="704" t="str">
        <f t="shared" si="29"/>
        <v/>
      </c>
      <c r="S45" s="704" t="str">
        <f t="shared" si="41"/>
        <v/>
      </c>
      <c r="T45" s="557" t="str">
        <f t="shared" si="13"/>
        <v/>
      </c>
      <c r="U45" s="558">
        <f>IFERROR(SUMIFS('TRADE LOG'!$W$15:$W$9733,datecode,"="&amp;B45),"")</f>
        <v>0</v>
      </c>
      <c r="V45" s="263"/>
      <c r="W45" s="263"/>
      <c r="X45">
        <f t="shared" si="30"/>
        <v>44105</v>
      </c>
      <c r="Y45">
        <f t="shared" si="31"/>
        <v>53716.72</v>
      </c>
      <c r="Z45">
        <f t="shared" si="14"/>
        <v>44105</v>
      </c>
      <c r="AA45">
        <f>SUMIFS(BuyAmount,datecode,"="&amp;'MONTHLY REPORT'!B45)</f>
        <v>0</v>
      </c>
      <c r="AB45">
        <f t="shared" si="15"/>
        <v>0</v>
      </c>
      <c r="AC45">
        <f t="shared" si="32"/>
        <v>0</v>
      </c>
      <c r="AG45">
        <f t="shared" si="19"/>
        <v>0</v>
      </c>
      <c r="AH45">
        <f t="shared" si="20"/>
        <v>0</v>
      </c>
      <c r="AV45" t="e">
        <f t="shared" si="23"/>
        <v>#DIV/0!</v>
      </c>
      <c r="AW45" t="e">
        <f t="shared" si="24"/>
        <v>#DIV/0!</v>
      </c>
      <c r="AX45">
        <f t="shared" si="25"/>
        <v>0</v>
      </c>
      <c r="AY45">
        <f t="shared" si="26"/>
        <v>0</v>
      </c>
    </row>
    <row r="46" spans="1:51" ht="21.95" customHeight="1">
      <c r="A46" s="697">
        <f t="shared" si="27"/>
        <v>32</v>
      </c>
      <c r="B46" s="700">
        <f t="shared" si="44"/>
        <v>44075</v>
      </c>
      <c r="C46" s="701">
        <f>SUMIFS('Bank Transfers'!$H$15:$H$514,'Bank Transfers'!$L$15:$L$514,B46,'Bank Transfers'!$E$15:$E$514,"deposit")</f>
        <v>0</v>
      </c>
      <c r="D46" s="701">
        <f>SUMIFS('Bank Transfers'!$H$15:$H$514,'Bank Transfers'!$L$15:$L$514,B46,'Bank Transfers'!$E$15:$E$514,"withdraw")</f>
        <v>0</v>
      </c>
      <c r="E46" s="699">
        <f>IF(B46="","",IF(B46='Bank Transfers'!$L$15,'Bank Transfers'!$H$15,J47))</f>
        <v>53716.72</v>
      </c>
      <c r="F46" s="615">
        <f>IFERROR(IF(B46='Bank Transfers'!$L$15,C46+D46-E46,C46+D46),0)</f>
        <v>0</v>
      </c>
      <c r="G46" s="615">
        <f>SUMIFS('TRADE LOG'!$M$15:$M$9733,WL,"W",datecode,B46)</f>
        <v>0</v>
      </c>
      <c r="H46" s="616">
        <f>SUMIFS('TRADE LOG'!$M$15:$M$9733,WL,"L",datecode,B46)</f>
        <v>0</v>
      </c>
      <c r="I46" s="616">
        <f t="shared" si="8"/>
        <v>0</v>
      </c>
      <c r="J46" s="699">
        <f t="shared" si="39"/>
        <v>53716.72</v>
      </c>
      <c r="K46" s="615">
        <f t="shared" si="40"/>
        <v>0</v>
      </c>
      <c r="L46" s="554">
        <f t="shared" si="47"/>
        <v>0</v>
      </c>
      <c r="M46" s="555"/>
      <c r="N46" s="702">
        <f t="shared" si="10"/>
        <v>0</v>
      </c>
      <c r="O46" s="703" t="str">
        <f t="shared" si="11"/>
        <v/>
      </c>
      <c r="P46" s="703" t="str">
        <f t="shared" si="12"/>
        <v/>
      </c>
      <c r="Q46" s="556" t="str">
        <f t="shared" si="28"/>
        <v/>
      </c>
      <c r="R46" s="704" t="str">
        <f t="shared" si="29"/>
        <v/>
      </c>
      <c r="S46" s="704" t="str">
        <f t="shared" si="41"/>
        <v/>
      </c>
      <c r="T46" s="557" t="str">
        <f t="shared" si="13"/>
        <v/>
      </c>
      <c r="U46" s="558">
        <f>IFERROR(SUMIFS('TRADE LOG'!$W$15:$W$9733,datecode,"="&amp;B46),"")</f>
        <v>0</v>
      </c>
      <c r="V46" s="263"/>
      <c r="W46" s="263"/>
      <c r="X46">
        <f t="shared" si="30"/>
        <v>44075</v>
      </c>
      <c r="Y46">
        <f t="shared" si="31"/>
        <v>53716.72</v>
      </c>
      <c r="Z46">
        <f t="shared" si="14"/>
        <v>44075</v>
      </c>
      <c r="AA46">
        <f>SUMIFS(BuyAmount,datecode,"="&amp;'MONTHLY REPORT'!B46)</f>
        <v>0</v>
      </c>
      <c r="AB46">
        <f t="shared" si="15"/>
        <v>0</v>
      </c>
      <c r="AC46">
        <f t="shared" si="32"/>
        <v>0</v>
      </c>
      <c r="AG46">
        <f t="shared" si="19"/>
        <v>0</v>
      </c>
      <c r="AH46">
        <f t="shared" si="20"/>
        <v>0</v>
      </c>
      <c r="AV46" t="e">
        <f t="shared" si="23"/>
        <v>#DIV/0!</v>
      </c>
      <c r="AW46" t="e">
        <f t="shared" si="24"/>
        <v>#DIV/0!</v>
      </c>
      <c r="AX46">
        <f t="shared" si="25"/>
        <v>0</v>
      </c>
      <c r="AY46">
        <f t="shared" si="26"/>
        <v>0</v>
      </c>
    </row>
    <row r="47" spans="1:51" ht="21.95" customHeight="1">
      <c r="A47" s="697">
        <f t="shared" si="27"/>
        <v>33</v>
      </c>
      <c r="B47" s="700">
        <f t="shared" si="44"/>
        <v>44044</v>
      </c>
      <c r="C47" s="701">
        <f>SUMIFS('Bank Transfers'!$H$15:$H$514,'Bank Transfers'!$L$15:$L$514,B47,'Bank Transfers'!$E$15:$E$514,"deposit")</f>
        <v>0</v>
      </c>
      <c r="D47" s="701">
        <f>SUMIFS('Bank Transfers'!$H$15:$H$514,'Bank Transfers'!$L$15:$L$514,B47,'Bank Transfers'!$E$15:$E$514,"withdraw")</f>
        <v>0</v>
      </c>
      <c r="E47" s="699">
        <f>IF(B47="","",IF(B47='Bank Transfers'!$L$15,'Bank Transfers'!$H$15,J48))</f>
        <v>53716.72</v>
      </c>
      <c r="F47" s="615">
        <f>IFERROR(IF(B47='Bank Transfers'!$L$15,C47+D47-E47,C47+D47),0)</f>
        <v>0</v>
      </c>
      <c r="G47" s="615">
        <f>SUMIFS('TRADE LOG'!$M$15:$M$9733,WL,"W",datecode,B47)</f>
        <v>0</v>
      </c>
      <c r="H47" s="616">
        <f>SUMIFS('TRADE LOG'!$M$15:$M$9733,WL,"L",datecode,B47)</f>
        <v>0</v>
      </c>
      <c r="I47" s="616">
        <f t="shared" si="8"/>
        <v>0</v>
      </c>
      <c r="J47" s="699">
        <f t="shared" si="39"/>
        <v>53716.72</v>
      </c>
      <c r="K47" s="615">
        <f t="shared" si="40"/>
        <v>0</v>
      </c>
      <c r="L47" s="554">
        <f t="shared" si="47"/>
        <v>0</v>
      </c>
      <c r="M47" s="555"/>
      <c r="N47" s="702">
        <f t="shared" ref="N47:N50" si="48">IF(E47="","",AG47+AH47)</f>
        <v>0</v>
      </c>
      <c r="O47" s="703" t="str">
        <f t="shared" ref="O47:O50" si="49">IFERROR(AG47/(AG47+AH47),"")</f>
        <v/>
      </c>
      <c r="P47" s="703" t="str">
        <f t="shared" si="12"/>
        <v/>
      </c>
      <c r="Q47" s="556" t="str">
        <f t="shared" si="28"/>
        <v/>
      </c>
      <c r="R47" s="704" t="str">
        <f t="shared" si="29"/>
        <v/>
      </c>
      <c r="S47" s="704" t="str">
        <f t="shared" si="41"/>
        <v/>
      </c>
      <c r="T47" s="557" t="str">
        <f t="shared" ref="T47:T50" si="50">IFERROR((AV47*AF47)/(AW47*(1-AF47)),"")</f>
        <v/>
      </c>
      <c r="U47" s="558">
        <f>IFERROR(SUMIFS('TRADE LOG'!$W$15:$W$9733,datecode,"="&amp;B47),"")</f>
        <v>0</v>
      </c>
      <c r="V47" s="263"/>
      <c r="W47" s="263"/>
      <c r="X47">
        <f t="shared" si="30"/>
        <v>44044</v>
      </c>
      <c r="Y47">
        <f t="shared" si="31"/>
        <v>53716.72</v>
      </c>
      <c r="Z47">
        <f t="shared" ref="Z47:Z50" si="51">B47</f>
        <v>44044</v>
      </c>
      <c r="AA47">
        <f>SUMIFS(BuyAmount,datecode,"="&amp;'MONTHLY REPORT'!B47)</f>
        <v>0</v>
      </c>
      <c r="AB47">
        <f t="shared" ref="AB47:AB50" si="52">IF(L47&gt;0,AA47,0)</f>
        <v>0</v>
      </c>
      <c r="AC47">
        <f t="shared" si="32"/>
        <v>0</v>
      </c>
      <c r="AG47">
        <f t="shared" si="19"/>
        <v>0</v>
      </c>
      <c r="AH47">
        <f t="shared" si="20"/>
        <v>0</v>
      </c>
      <c r="AV47" t="e">
        <f t="shared" ref="AV47:AV50" si="53">AX47/AG47</f>
        <v>#DIV/0!</v>
      </c>
      <c r="AW47" t="e">
        <f t="shared" ref="AW47:AW50" si="54">-AY47/AH47</f>
        <v>#DIV/0!</v>
      </c>
      <c r="AX47">
        <f t="shared" si="25"/>
        <v>0</v>
      </c>
      <c r="AY47">
        <f t="shared" si="26"/>
        <v>0</v>
      </c>
    </row>
    <row r="48" spans="1:51" ht="21.95" customHeight="1">
      <c r="A48" s="697">
        <f t="shared" ref="A48:A50" si="55">A47+1</f>
        <v>34</v>
      </c>
      <c r="B48" s="700">
        <f t="shared" si="44"/>
        <v>44013</v>
      </c>
      <c r="C48" s="701">
        <f>SUMIFS('Bank Transfers'!$H$15:$H$514,'Bank Transfers'!$L$15:$L$514,B48,'Bank Transfers'!$E$15:$E$514,"deposit")</f>
        <v>0</v>
      </c>
      <c r="D48" s="701">
        <f>SUMIFS('Bank Transfers'!$H$15:$H$514,'Bank Transfers'!$L$15:$L$514,B48,'Bank Transfers'!$E$15:$E$514,"withdraw")</f>
        <v>0</v>
      </c>
      <c r="E48" s="699">
        <f>IF(B48="","",IF(B48='Bank Transfers'!$L$15,'Bank Transfers'!$H$15,J49))</f>
        <v>53716.72</v>
      </c>
      <c r="F48" s="615">
        <f>IFERROR(IF(B48='Bank Transfers'!$L$15,C48+D48-E48,C48+D48),0)</f>
        <v>0</v>
      </c>
      <c r="G48" s="615">
        <f>SUMIFS('TRADE LOG'!$M$15:$M$9733,WL,"W",datecode,B48)</f>
        <v>0</v>
      </c>
      <c r="H48" s="616">
        <f>SUMIFS('TRADE LOG'!$M$15:$M$9733,WL,"L",datecode,B48)</f>
        <v>0</v>
      </c>
      <c r="I48" s="616">
        <f t="shared" si="8"/>
        <v>0</v>
      </c>
      <c r="J48" s="699">
        <f t="shared" si="39"/>
        <v>53716.72</v>
      </c>
      <c r="K48" s="615">
        <f t="shared" si="40"/>
        <v>0</v>
      </c>
      <c r="L48" s="554">
        <f t="shared" si="47"/>
        <v>0</v>
      </c>
      <c r="M48" s="555"/>
      <c r="N48" s="702">
        <f t="shared" si="48"/>
        <v>0</v>
      </c>
      <c r="O48" s="703" t="str">
        <f t="shared" si="49"/>
        <v/>
      </c>
      <c r="P48" s="703" t="str">
        <f t="shared" si="12"/>
        <v/>
      </c>
      <c r="Q48" s="556" t="str">
        <f t="shared" si="28"/>
        <v/>
      </c>
      <c r="R48" s="704" t="str">
        <f t="shared" si="29"/>
        <v/>
      </c>
      <c r="S48" s="704" t="str">
        <f t="shared" si="41"/>
        <v/>
      </c>
      <c r="T48" s="557" t="str">
        <f t="shared" si="50"/>
        <v/>
      </c>
      <c r="U48" s="558">
        <f>IFERROR(SUMIFS('TRADE LOG'!$W$15:$W$9733,datecode,"="&amp;B48),"")</f>
        <v>0</v>
      </c>
      <c r="V48" s="263"/>
      <c r="W48" s="263"/>
      <c r="X48">
        <f t="shared" si="30"/>
        <v>44013</v>
      </c>
      <c r="Y48">
        <f t="shared" si="31"/>
        <v>53716.72</v>
      </c>
      <c r="Z48">
        <f t="shared" si="51"/>
        <v>44013</v>
      </c>
      <c r="AA48">
        <f>SUMIFS(BuyAmount,datecode,"="&amp;'MONTHLY REPORT'!B48)</f>
        <v>0</v>
      </c>
      <c r="AB48">
        <f t="shared" si="52"/>
        <v>0</v>
      </c>
      <c r="AC48">
        <f t="shared" si="32"/>
        <v>0</v>
      </c>
      <c r="AG48">
        <f t="shared" si="19"/>
        <v>0</v>
      </c>
      <c r="AH48">
        <f t="shared" si="20"/>
        <v>0</v>
      </c>
      <c r="AV48" t="e">
        <f t="shared" si="53"/>
        <v>#DIV/0!</v>
      </c>
      <c r="AW48" t="e">
        <f t="shared" si="54"/>
        <v>#DIV/0!</v>
      </c>
      <c r="AX48">
        <f t="shared" si="25"/>
        <v>0</v>
      </c>
      <c r="AY48">
        <f t="shared" si="26"/>
        <v>0</v>
      </c>
    </row>
    <row r="49" spans="1:51" ht="21.95" customHeight="1">
      <c r="A49" s="697">
        <f t="shared" si="55"/>
        <v>35</v>
      </c>
      <c r="B49" s="700">
        <f t="shared" si="44"/>
        <v>43983</v>
      </c>
      <c r="C49" s="701">
        <f>SUMIFS('Bank Transfers'!$H$15:$H$514,'Bank Transfers'!$L$15:$L$514,B49,'Bank Transfers'!$E$15:$E$514,"deposit")</f>
        <v>0</v>
      </c>
      <c r="D49" s="701">
        <f>SUMIFS('Bank Transfers'!$H$15:$H$514,'Bank Transfers'!$L$15:$L$514,B49,'Bank Transfers'!$E$15:$E$514,"withdraw")</f>
        <v>0</v>
      </c>
      <c r="E49" s="699">
        <f>IF(B49="","",IF(B49='Bank Transfers'!$L$15,'Bank Transfers'!$H$15,J50))</f>
        <v>53892.770000000004</v>
      </c>
      <c r="F49" s="615">
        <f>IFERROR(IF(B49='Bank Transfers'!$L$15,C49+D49-E49,C49+D49),0)</f>
        <v>0</v>
      </c>
      <c r="G49" s="615">
        <f>SUMIFS('TRADE LOG'!$M$15:$M$9733,WL,"W",datecode,B49)</f>
        <v>1690</v>
      </c>
      <c r="H49" s="616">
        <f>SUMIFS('TRADE LOG'!$M$15:$M$9733,WL,"L",datecode,B49)</f>
        <v>-1219.9000000000001</v>
      </c>
      <c r="I49" s="616">
        <f t="shared" si="8"/>
        <v>-646.15</v>
      </c>
      <c r="J49" s="699">
        <f t="shared" si="39"/>
        <v>53716.72</v>
      </c>
      <c r="K49" s="615">
        <f t="shared" si="40"/>
        <v>-176.05000000000007</v>
      </c>
      <c r="L49" s="554">
        <f t="shared" si="47"/>
        <v>-3.2666719487604748E-3</v>
      </c>
      <c r="M49" s="555"/>
      <c r="N49" s="702">
        <f t="shared" si="48"/>
        <v>12</v>
      </c>
      <c r="O49" s="703">
        <f t="shared" si="49"/>
        <v>0.25</v>
      </c>
      <c r="P49" s="703">
        <f t="shared" si="12"/>
        <v>7.0876101210543219E-2</v>
      </c>
      <c r="Q49" s="556">
        <f t="shared" si="28"/>
        <v>-1.5257450125833353E-2</v>
      </c>
      <c r="R49" s="704">
        <f t="shared" si="29"/>
        <v>4.6453437911318103</v>
      </c>
      <c r="S49" s="704">
        <f t="shared" si="41"/>
        <v>2.6921216007461601</v>
      </c>
      <c r="T49" s="557">
        <f t="shared" si="50"/>
        <v>0</v>
      </c>
      <c r="U49" s="558">
        <f>IFERROR(SUMIFS('TRADE LOG'!$W$15:$W$9733,datecode,"="&amp;B49),"")</f>
        <v>-0.30956202151347595</v>
      </c>
      <c r="V49" s="263"/>
      <c r="W49" s="263"/>
      <c r="X49">
        <f t="shared" ref="X49:X50" si="56">EOMONTH(X48,-2)+1</f>
        <v>43983</v>
      </c>
      <c r="Y49">
        <f t="shared" si="31"/>
        <v>53716.72</v>
      </c>
      <c r="Z49">
        <f t="shared" si="51"/>
        <v>43983</v>
      </c>
      <c r="AA49">
        <f>SUMIFS(BuyAmount,datecode,"="&amp;'MONTHLY REPORT'!B49)</f>
        <v>4440718.4956503678</v>
      </c>
      <c r="AB49">
        <f t="shared" si="52"/>
        <v>0</v>
      </c>
      <c r="AC49">
        <f t="shared" si="32"/>
        <v>4440718.4956503678</v>
      </c>
      <c r="AG49">
        <f t="shared" si="19"/>
        <v>3</v>
      </c>
      <c r="AH49">
        <f t="shared" si="20"/>
        <v>9</v>
      </c>
      <c r="AV49">
        <f t="shared" si="53"/>
        <v>513.13333333333333</v>
      </c>
      <c r="AW49">
        <f t="shared" si="54"/>
        <v>190.60555555555553</v>
      </c>
      <c r="AX49">
        <f t="shared" si="25"/>
        <v>1539.4</v>
      </c>
      <c r="AY49">
        <f t="shared" si="26"/>
        <v>-1715.4499999999998</v>
      </c>
    </row>
    <row r="50" spans="1:51" ht="21.95" customHeight="1">
      <c r="A50" s="697">
        <f t="shared" si="55"/>
        <v>36</v>
      </c>
      <c r="B50" s="700">
        <f t="shared" si="44"/>
        <v>43952</v>
      </c>
      <c r="C50" s="701">
        <f>SUMIFS('Bank Transfers'!$H$15:$H$514,'Bank Transfers'!$L$15:$L$514,B50,'Bank Transfers'!$E$15:$E$514,"deposit")</f>
        <v>50000</v>
      </c>
      <c r="D50" s="701">
        <f>SUMIFS('Bank Transfers'!$H$15:$H$514,'Bank Transfers'!$L$15:$L$514,B50,'Bank Transfers'!$E$15:$E$514,"withdraw")</f>
        <v>0</v>
      </c>
      <c r="E50" s="699">
        <f>IF(B50="","",IF(B50='Bank Transfers'!$L$15,'Bank Transfers'!$H$15,J51))</f>
        <v>50000</v>
      </c>
      <c r="F50" s="615">
        <f>IFERROR(IF(B50='Bank Transfers'!$L$15,C50+D50-E50,C50+D50),0)</f>
        <v>0</v>
      </c>
      <c r="G50" s="615">
        <f>SUMIFS('TRADE LOG'!$M$15:$M$9733,WL,"W",datecode,B50)</f>
        <v>13826.939999999999</v>
      </c>
      <c r="H50" s="616">
        <f>SUMIFS('TRADE LOG'!$M$15:$M$9733,WL,"L",datecode,B50)</f>
        <v>-5694.78</v>
      </c>
      <c r="I50" s="616">
        <f t="shared" si="8"/>
        <v>-4239.3899999999994</v>
      </c>
      <c r="J50" s="699">
        <f t="shared" si="39"/>
        <v>53892.770000000004</v>
      </c>
      <c r="K50" s="615">
        <f t="shared" si="40"/>
        <v>3892.7699999999995</v>
      </c>
      <c r="L50" s="554">
        <f t="shared" si="47"/>
        <v>7.7855399999999991E-2</v>
      </c>
      <c r="M50" s="555"/>
      <c r="N50" s="702">
        <f t="shared" si="48"/>
        <v>42</v>
      </c>
      <c r="O50" s="703">
        <f t="shared" si="49"/>
        <v>0.5</v>
      </c>
      <c r="P50" s="703">
        <f t="shared" si="12"/>
        <v>6.7142686707691704E-2</v>
      </c>
      <c r="Q50" s="556">
        <f t="shared" si="28"/>
        <v>-5.7059676497423745E-2</v>
      </c>
      <c r="R50" s="704">
        <f t="shared" si="29"/>
        <v>1.1767099084538835</v>
      </c>
      <c r="S50" s="704">
        <f t="shared" si="41"/>
        <v>1.4979087364931238</v>
      </c>
      <c r="T50" s="557">
        <f t="shared" si="50"/>
        <v>0</v>
      </c>
      <c r="U50" s="558">
        <f>IFERROR(SUMIFS('TRADE LOG'!$W$15:$W$9733,datecode,"="&amp;B50),"")</f>
        <v>7.7983681791282464</v>
      </c>
      <c r="V50" s="263"/>
      <c r="W50" s="263"/>
      <c r="X50">
        <f t="shared" si="56"/>
        <v>43952</v>
      </c>
      <c r="Y50">
        <f t="shared" si="31"/>
        <v>53892.770000000004</v>
      </c>
      <c r="Z50">
        <f t="shared" si="51"/>
        <v>43952</v>
      </c>
      <c r="AA50">
        <f>SUMIFS(BuyAmount,datecode,"="&amp;'MONTHLY REPORT'!B50)</f>
        <v>1403330.5926931622</v>
      </c>
      <c r="AB50">
        <f t="shared" si="52"/>
        <v>1403330.5926931622</v>
      </c>
      <c r="AC50">
        <f t="shared" si="32"/>
        <v>0</v>
      </c>
      <c r="AG50">
        <f t="shared" si="19"/>
        <v>21</v>
      </c>
      <c r="AH50">
        <f t="shared" si="20"/>
        <v>21</v>
      </c>
      <c r="AV50">
        <f t="shared" si="53"/>
        <v>557.66714285714284</v>
      </c>
      <c r="AW50">
        <f t="shared" si="54"/>
        <v>372.29714285714283</v>
      </c>
      <c r="AX50">
        <f t="shared" si="25"/>
        <v>11711.01</v>
      </c>
      <c r="AY50">
        <f t="shared" si="26"/>
        <v>-7818.24</v>
      </c>
    </row>
    <row r="51" spans="1:51" ht="21.95" customHeight="1">
      <c r="E51" s="602"/>
      <c r="F51" s="602"/>
      <c r="G51" s="602"/>
      <c r="H51" s="602"/>
      <c r="I51" s="602"/>
      <c r="J51" s="602"/>
      <c r="K51" s="602"/>
    </row>
    <row r="52" spans="1:51" ht="21.95" customHeight="1"/>
    <row r="53" spans="1:51" ht="21.95" customHeight="1"/>
    <row r="68" spans="11:11">
      <c r="K68" s="581"/>
    </row>
    <row r="90" spans="26:26">
      <c r="Z90" t="e">
        <f>#REF!</f>
        <v>#REF!</v>
      </c>
    </row>
  </sheetData>
  <sheetProtection algorithmName="SHA-512" hashValue="9WuBvN/BdS2reM5pf3//1WbuQkwBy6kmW6dDB1FhOKJy18c2m6eT7NCfvEPSdr6DimUvt5afbC0nDhpCCtFBOQ==" saltValue="EJrkIx+2g3Fq6pBoKHu3rA==" spinCount="100000" sheet="1" objects="1" scenarios="1" formatCells="0"/>
  <phoneticPr fontId="111" type="noConversion"/>
  <conditionalFormatting sqref="U14:U50 K14:L50">
    <cfRule type="cellIs" dxfId="282" priority="239" operator="lessThan">
      <formula>0</formula>
    </cfRule>
  </conditionalFormatting>
  <conditionalFormatting sqref="U14:U50">
    <cfRule type="cellIs" dxfId="281" priority="232" operator="equal">
      <formula>0</formula>
    </cfRule>
  </conditionalFormatting>
  <conditionalFormatting sqref="R14:S14">
    <cfRule type="cellIs" dxfId="280" priority="183" operator="lessThan">
      <formula>1</formula>
    </cfRule>
  </conditionalFormatting>
  <conditionalFormatting sqref="F14:F50 F53">
    <cfRule type="cellIs" dxfId="279" priority="43" operator="lessThan">
      <formula>0</formula>
    </cfRule>
  </conditionalFormatting>
  <conditionalFormatting sqref="R15:S50">
    <cfRule type="cellIs" dxfId="278" priority="2" operator="lessThan">
      <formula>1</formula>
    </cfRule>
  </conditionalFormatting>
  <conditionalFormatting sqref="F15:K50">
    <cfRule type="expression" dxfId="277" priority="1">
      <formula>IF($B15="",1,0)</formula>
    </cfRule>
  </conditionalFormatting>
  <dataValidations count="2">
    <dataValidation allowBlank="1" showInputMessage="1" showErrorMessage="1" prompt="Inactive month is excluded" sqref="B13:D13" xr:uid="{00000000-0002-0000-0700-000000000000}"/>
    <dataValidation type="list" allowBlank="1" showInputMessage="1" showErrorMessage="1" sqref="M12 X1" xr:uid="{9E35BDA4-3E6F-4665-AA61-7CE4497B22EC}">
      <formula1>$AB$8:$AB$11</formula1>
    </dataValidation>
  </dataValidations>
  <pageMargins left="0.25" right="0.25" top="0.75" bottom="0.75" header="0.3" footer="0.3"/>
  <pageSetup paperSize="9" scale="74" fitToHeight="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8FCB2-8A2B-40AF-B1C0-F5FF67D4AEA1}">
  <sheetPr codeName="Sheet4">
    <tabColor theme="8"/>
  </sheetPr>
  <dimension ref="A1:AH266"/>
  <sheetViews>
    <sheetView showGridLines="0" showRowColHeaders="0" topLeftCell="B1" zoomScaleNormal="100" workbookViewId="0">
      <pane ySplit="5" topLeftCell="A6" activePane="bottomLeft" state="frozen"/>
      <selection activeCell="B1" sqref="B1"/>
      <selection pane="bottomLeft" activeCell="F2" sqref="F2"/>
    </sheetView>
  </sheetViews>
  <sheetFormatPr defaultColWidth="0" defaultRowHeight="15"/>
  <cols>
    <col min="1" max="1" width="3" hidden="1" customWidth="1"/>
    <col min="2" max="2" width="15" customWidth="1"/>
    <col min="3" max="9" width="23.28515625" customWidth="1"/>
    <col min="10" max="10" width="26.85546875" customWidth="1"/>
    <col min="11" max="12" width="37.28515625" customWidth="1"/>
    <col min="13" max="27" width="3.140625" hidden="1" customWidth="1"/>
    <col min="28" max="28" width="4.140625" hidden="1" customWidth="1"/>
    <col min="29" max="34" width="6.85546875" hidden="1" customWidth="1"/>
    <col min="35" max="16384" width="9.140625" hidden="1"/>
  </cols>
  <sheetData>
    <row r="1" spans="1:27">
      <c r="B1" s="161"/>
      <c r="C1" s="161"/>
      <c r="D1" s="161"/>
      <c r="E1" s="161"/>
      <c r="F1" s="161"/>
      <c r="G1" s="161"/>
      <c r="H1" s="161"/>
      <c r="I1" s="161"/>
      <c r="J1" s="161"/>
      <c r="K1" s="161"/>
      <c r="L1" s="161"/>
    </row>
    <row r="2" spans="1:27" ht="28.5" customHeight="1" thickBot="1">
      <c r="B2" s="161"/>
      <c r="C2" s="671" t="s">
        <v>780</v>
      </c>
      <c r="D2" s="671" t="s">
        <v>813</v>
      </c>
      <c r="E2" s="161"/>
      <c r="F2" s="161"/>
      <c r="G2" s="161"/>
      <c r="H2" s="161"/>
      <c r="I2" s="161"/>
      <c r="J2" s="161"/>
      <c r="K2" s="161"/>
      <c r="L2" s="161"/>
    </row>
    <row r="3" spans="1:27" s="521" customFormat="1" ht="21.95" customHeight="1" thickBot="1">
      <c r="A3"/>
      <c r="B3" s="520"/>
      <c r="C3" s="622" t="s">
        <v>812</v>
      </c>
      <c r="D3" s="623">
        <v>2020</v>
      </c>
      <c r="E3" s="520"/>
      <c r="F3" s="520"/>
      <c r="G3" s="520"/>
      <c r="H3" s="520"/>
      <c r="I3" s="520"/>
      <c r="J3" s="520"/>
      <c r="K3" s="520"/>
      <c r="L3" s="520"/>
    </row>
    <row r="4" spans="1:27" s="521" customFormat="1" ht="5.0999999999999996" hidden="1" customHeight="1">
      <c r="A4"/>
      <c r="B4" s="520"/>
      <c r="C4" s="522"/>
      <c r="D4" s="522"/>
      <c r="E4" s="523"/>
      <c r="F4" s="520"/>
      <c r="G4" s="520"/>
      <c r="H4" s="520"/>
      <c r="I4" s="520"/>
      <c r="J4" s="520"/>
      <c r="K4" s="520"/>
      <c r="L4" s="520"/>
    </row>
    <row r="5" spans="1:27" ht="5.25" customHeight="1" thickBot="1">
      <c r="B5" s="161"/>
      <c r="C5" s="161"/>
      <c r="D5" s="516"/>
      <c r="E5" s="161"/>
      <c r="F5" s="161"/>
      <c r="G5" s="161"/>
      <c r="H5" s="161"/>
      <c r="I5" s="161"/>
      <c r="J5" s="161"/>
      <c r="K5" s="161"/>
      <c r="L5" s="161"/>
    </row>
    <row r="6" spans="1:27" ht="21.95" customHeight="1">
      <c r="B6" s="161"/>
      <c r="C6" s="582">
        <f>DATEVALUE("1"&amp;C3&amp;D3)</f>
        <v>43952</v>
      </c>
      <c r="D6" s="563"/>
      <c r="E6" s="564"/>
      <c r="F6" s="565"/>
      <c r="G6" s="566"/>
      <c r="H6" s="566"/>
      <c r="I6" s="566"/>
      <c r="J6" s="161"/>
      <c r="K6" s="161"/>
      <c r="L6" s="161"/>
    </row>
    <row r="7" spans="1:27" ht="24.95" customHeight="1" thickBot="1">
      <c r="B7" s="161"/>
      <c r="C7" s="624" t="s">
        <v>781</v>
      </c>
      <c r="D7" s="624" t="s">
        <v>782</v>
      </c>
      <c r="E7" s="624" t="s">
        <v>783</v>
      </c>
      <c r="F7" s="624" t="s">
        <v>784</v>
      </c>
      <c r="G7" s="624" t="s">
        <v>789</v>
      </c>
      <c r="H7" s="624" t="s">
        <v>785</v>
      </c>
      <c r="I7" s="624" t="s">
        <v>786</v>
      </c>
      <c r="J7" s="161"/>
      <c r="K7" s="161"/>
      <c r="L7" s="161"/>
    </row>
    <row r="8" spans="1:27" ht="15" customHeight="1" thickTop="1">
      <c r="B8" s="161"/>
      <c r="C8" s="747" t="str">
        <f>IF(MONTH(C6)&lt;&gt;MONTH((C6-WEEKDAY(C6,1)+1)),"",(C6-WEEKDAY(C6,1)+1))</f>
        <v/>
      </c>
      <c r="D8" s="747" t="str">
        <f>IF(MONTH(C6)&lt;&gt;MONTH((C6-WEEKDAY(C6,1)+2)),"",(C6-WEEKDAY(C6,1)+2))</f>
        <v/>
      </c>
      <c r="E8" s="747" t="str">
        <f>IF(MONTH(C6)&lt;&gt;MONTH((C6-WEEKDAY(C6,1)+3)),"",(C6-WEEKDAY(C6,1)+3))</f>
        <v/>
      </c>
      <c r="F8" s="747" t="str">
        <f>IF(MONTH(C6)&lt;&gt;MONTH((C6-WEEKDAY(C6,1)+4)),"",(C6-WEEKDAY(C6,1)+4))</f>
        <v/>
      </c>
      <c r="G8" s="747" t="str">
        <f>IF(MONTH(C6)&lt;&gt;MONTH((C6-WEEKDAY(C6,1)+5)),"",(C6-WEEKDAY(C6,1)+5))</f>
        <v/>
      </c>
      <c r="H8" s="747">
        <f>IF(MONTH(C6)&lt;&gt;MONTH((C6-WEEKDAY(C6,1)+6)),"",(C6-WEEKDAY(C6,1)+6))</f>
        <v>43952</v>
      </c>
      <c r="I8" s="747">
        <f>IF(MONTH(C6)&lt;&gt;MONTH((C6-WEEKDAY(C6,1)+7)),"",(C6-WEEKDAY(C6,1)+7))</f>
        <v>43953</v>
      </c>
      <c r="J8" s="161"/>
      <c r="K8" s="161"/>
      <c r="L8" s="161"/>
      <c r="U8" s="515"/>
      <c r="V8" s="515"/>
      <c r="W8" s="515"/>
      <c r="X8" s="515"/>
      <c r="Y8" s="515"/>
      <c r="Z8" s="515"/>
      <c r="AA8" s="515"/>
    </row>
    <row r="9" spans="1:27" ht="15" customHeight="1">
      <c r="B9" s="161"/>
      <c r="C9" s="748">
        <f>SUMIFS('TRADE LOG'!$T$15:$T$9733,closeDate,"&gt;="&amp;CALENDAR!C8,closeDate,"&lt;"&amp;D8,SIZE,"&gt;0")</f>
        <v>0</v>
      </c>
      <c r="D9" s="748">
        <f>SUMIFS('TRADE LOG'!$T$15:$T$9733,closeDate,"&gt;="&amp;CALENDAR!D8,closeDate,"&lt;"&amp;E8,SIZE,"&gt;0")</f>
        <v>0</v>
      </c>
      <c r="E9" s="748">
        <f>SUMIFS('TRADE LOG'!$T$15:$T$9733,closeDate,"&gt;="&amp;CALENDAR!E8,closeDate,"&lt;"&amp;F8,SIZE,"&gt;0")</f>
        <v>0</v>
      </c>
      <c r="F9" s="748">
        <f>SUMIFS('TRADE LOG'!$T$15:$T$9733,closeDate,"&gt;="&amp;CALENDAR!F8,closeDate,"&lt;"&amp;G8,SIZE,"&gt;0")</f>
        <v>0</v>
      </c>
      <c r="G9" s="748">
        <f>SUMIFS('TRADE LOG'!$T$15:$T$9733,closeDate,"&gt;="&amp;CALENDAR!G8,closeDate,"&lt;"&amp;H8,SIZE,"&gt;0")</f>
        <v>0</v>
      </c>
      <c r="H9" s="748">
        <f>SUMIFS('TRADE LOG'!$T$15:$T$9733,closeDate,"&gt;="&amp;CALENDAR!H8,closeDate,"&lt;"&amp;I8,SIZE,"&gt;0")</f>
        <v>0</v>
      </c>
      <c r="I9" s="748">
        <f>SUMIFS('TRADE LOG'!$T$15:$T$9733,closeDate,"&gt;="&amp;CALENDAR!I8,closeDate,"&lt;"&amp;C11,SIZE,"&gt;0")</f>
        <v>0</v>
      </c>
      <c r="J9" s="161"/>
      <c r="K9" s="161"/>
      <c r="L9" s="161"/>
      <c r="U9" s="515"/>
      <c r="V9" s="515"/>
      <c r="W9" s="515"/>
      <c r="X9" s="515"/>
      <c r="Y9" s="515"/>
      <c r="Z9" s="515"/>
      <c r="AA9" s="515"/>
    </row>
    <row r="10" spans="1:27" s="518" customFormat="1" ht="15" customHeight="1" thickBot="1">
      <c r="A10"/>
      <c r="B10" s="517"/>
      <c r="C10" s="749">
        <f>COUNTIFS(closeDate,"&gt;="&amp;CALENDAR!C8,closeDate,"&lt;"&amp;D8,SIZE,"&gt;0")</f>
        <v>0</v>
      </c>
      <c r="D10" s="749">
        <f>COUNTIFS(closeDate,"&gt;="&amp;CALENDAR!D8,closeDate,"&lt;"&amp;E8,SIZE,"&gt;0")</f>
        <v>0</v>
      </c>
      <c r="E10" s="749">
        <f>COUNTIFS(closeDate,"&gt;="&amp;CALENDAR!E8,closeDate,"&lt;"&amp;F8,SIZE,"&gt;0")</f>
        <v>0</v>
      </c>
      <c r="F10" s="749">
        <f>COUNTIFS(closeDate,"&gt;="&amp;CALENDAR!F8,closeDate,"&lt;"&amp;G8,SIZE,"&gt;0")</f>
        <v>0</v>
      </c>
      <c r="G10" s="749">
        <f>COUNTIFS(closeDate,"&gt;="&amp;CALENDAR!G8,closeDate,"&lt;"&amp;H8,SIZE,"&gt;0")</f>
        <v>0</v>
      </c>
      <c r="H10" s="749">
        <f>COUNTIFS(closeDate,"&gt;="&amp;CALENDAR!H8,closeDate,"&lt;"&amp;I8,SIZE,"&gt;0")</f>
        <v>0</v>
      </c>
      <c r="I10" s="749">
        <f>COUNTIFS(closeDate,"&gt;="&amp;CALENDAR!I8,closeDate,"&lt;"&amp;(I8+1),SIZE,"&gt;0")</f>
        <v>0</v>
      </c>
      <c r="J10" s="517"/>
      <c r="K10" s="517"/>
      <c r="L10" s="517"/>
      <c r="U10" s="519"/>
      <c r="V10" s="519"/>
      <c r="W10" s="519"/>
      <c r="X10" s="519"/>
      <c r="Y10" s="519"/>
      <c r="Z10" s="519"/>
      <c r="AA10" s="519"/>
    </row>
    <row r="11" spans="1:27" ht="15" customHeight="1" thickTop="1">
      <c r="B11" s="161"/>
      <c r="C11" s="747">
        <f>I8+1</f>
        <v>43954</v>
      </c>
      <c r="D11" s="747">
        <f>C11+1</f>
        <v>43955</v>
      </c>
      <c r="E11" s="747">
        <f t="shared" ref="E11:I17" si="0">D11+1</f>
        <v>43956</v>
      </c>
      <c r="F11" s="747">
        <f t="shared" si="0"/>
        <v>43957</v>
      </c>
      <c r="G11" s="747">
        <f t="shared" si="0"/>
        <v>43958</v>
      </c>
      <c r="H11" s="747">
        <f t="shared" si="0"/>
        <v>43959</v>
      </c>
      <c r="I11" s="747">
        <f t="shared" si="0"/>
        <v>43960</v>
      </c>
      <c r="J11" s="161"/>
      <c r="K11" s="161"/>
      <c r="L11" s="161"/>
      <c r="U11" s="515"/>
      <c r="V11" s="515"/>
      <c r="W11" s="515"/>
      <c r="X11" s="515"/>
      <c r="Y11" s="515"/>
      <c r="Z11" s="515"/>
      <c r="AA11" s="515"/>
    </row>
    <row r="12" spans="1:27" ht="15" customHeight="1">
      <c r="B12" s="161"/>
      <c r="C12" s="748">
        <f>SUMIFS('TRADE LOG'!$T$15:$T$9733,closeDate,"&gt;="&amp;CALENDAR!C11,closeDate,"&lt;"&amp;D11,SIZE,"&gt;0")</f>
        <v>0</v>
      </c>
      <c r="D12" s="748">
        <f>SUMIFS('TRADE LOG'!$T$15:$T$9733,closeDate,"&gt;="&amp;CALENDAR!D11,closeDate,"&lt;"&amp;E11,SIZE,"&gt;0")</f>
        <v>0</v>
      </c>
      <c r="E12" s="748">
        <f>SUMIFS('TRADE LOG'!$T$15:$T$9733,closeDate,"&gt;="&amp;CALENDAR!E11,closeDate,"&lt;"&amp;F11,SIZE,"&gt;0")</f>
        <v>0</v>
      </c>
      <c r="F12" s="748">
        <f>SUMIFS('TRADE LOG'!$T$15:$T$9733,closeDate,"&gt;="&amp;CALENDAR!F11,closeDate,"&lt;"&amp;G11,SIZE,"&gt;0")</f>
        <v>0</v>
      </c>
      <c r="G12" s="748">
        <f>SUMIFS('TRADE LOG'!$T$15:$T$9733,closeDate,"&gt;="&amp;CALENDAR!G11,closeDate,"&lt;"&amp;H11,SIZE,"&gt;0")</f>
        <v>0</v>
      </c>
      <c r="H12" s="748">
        <f>SUMIFS('TRADE LOG'!$T$15:$T$9733,closeDate,"&gt;="&amp;CALENDAR!H11,closeDate,"&lt;"&amp;I11,SIZE,"&gt;0")</f>
        <v>0</v>
      </c>
      <c r="I12" s="748">
        <f>SUMIFS('TRADE LOG'!$T$15:$T$9733,closeDate,"&gt;="&amp;CALENDAR!I11,closeDate,"&lt;"&amp;C14,SIZE,"&gt;0")</f>
        <v>0</v>
      </c>
      <c r="J12" s="161"/>
      <c r="K12" s="161"/>
      <c r="L12" s="161"/>
      <c r="U12" s="515"/>
      <c r="V12" s="515"/>
      <c r="W12" s="515"/>
      <c r="X12" s="515"/>
      <c r="Y12" s="515"/>
      <c r="Z12" s="515"/>
      <c r="AA12" s="515"/>
    </row>
    <row r="13" spans="1:27" s="518" customFormat="1" ht="15" customHeight="1" thickBot="1">
      <c r="A13"/>
      <c r="B13" s="517"/>
      <c r="C13" s="749">
        <f>COUNTIFS(closeDate,"&gt;="&amp;CALENDAR!C11,closeDate,"&lt;"&amp;D11,SIZE,"&gt;0")</f>
        <v>0</v>
      </c>
      <c r="D13" s="749">
        <f>COUNTIFS(closeDate,"&gt;="&amp;CALENDAR!D11,closeDate,"&lt;"&amp;E11,SIZE,"&gt;0")</f>
        <v>0</v>
      </c>
      <c r="E13" s="749">
        <f>COUNTIFS(closeDate,"&gt;="&amp;CALENDAR!E11,closeDate,"&lt;"&amp;F11,SIZE,"&gt;0")</f>
        <v>0</v>
      </c>
      <c r="F13" s="749">
        <f>COUNTIFS(closeDate,"&gt;="&amp;CALENDAR!F11,closeDate,"&lt;"&amp;G11,SIZE,"&gt;0")</f>
        <v>0</v>
      </c>
      <c r="G13" s="749">
        <f>COUNTIFS(closeDate,"&gt;="&amp;CALENDAR!G11,closeDate,"&lt;"&amp;H11,SIZE,"&gt;0")</f>
        <v>0</v>
      </c>
      <c r="H13" s="749">
        <f>COUNTIFS(closeDate,"&gt;="&amp;CALENDAR!H11,closeDate,"&lt;"&amp;I11,SIZE,"&gt;0")</f>
        <v>0</v>
      </c>
      <c r="I13" s="749">
        <f>COUNTIFS(closeDate,"&gt;="&amp;CALENDAR!I11,closeDate,"&lt;"&amp;(I11+1),SIZE,"&gt;0")</f>
        <v>0</v>
      </c>
      <c r="J13" s="517"/>
      <c r="K13" s="517"/>
      <c r="L13" s="517"/>
      <c r="U13" s="519"/>
      <c r="V13" s="519"/>
      <c r="W13" s="519"/>
      <c r="X13" s="519"/>
      <c r="Y13" s="519"/>
      <c r="Z13" s="519"/>
      <c r="AA13" s="519"/>
    </row>
    <row r="14" spans="1:27" ht="15" customHeight="1" thickTop="1">
      <c r="B14" s="161"/>
      <c r="C14" s="747">
        <f>I11+1</f>
        <v>43961</v>
      </c>
      <c r="D14" s="747">
        <f>C14+1</f>
        <v>43962</v>
      </c>
      <c r="E14" s="747">
        <f t="shared" si="0"/>
        <v>43963</v>
      </c>
      <c r="F14" s="747">
        <f t="shared" si="0"/>
        <v>43964</v>
      </c>
      <c r="G14" s="747">
        <f t="shared" si="0"/>
        <v>43965</v>
      </c>
      <c r="H14" s="747">
        <f t="shared" si="0"/>
        <v>43966</v>
      </c>
      <c r="I14" s="747">
        <f t="shared" si="0"/>
        <v>43967</v>
      </c>
      <c r="J14" s="161"/>
      <c r="K14" s="161"/>
      <c r="L14" s="161"/>
      <c r="U14" s="515"/>
      <c r="V14" s="515"/>
      <c r="W14" s="515"/>
      <c r="X14" s="515"/>
      <c r="Y14" s="515"/>
      <c r="Z14" s="515"/>
      <c r="AA14" s="515"/>
    </row>
    <row r="15" spans="1:27" ht="15" customHeight="1">
      <c r="B15" s="161"/>
      <c r="C15" s="748">
        <f>SUMIFS('TRADE LOG'!$T$15:$T$9733,closeDate,"&gt;="&amp;CALENDAR!C14,closeDate,"&lt;"&amp;D14,SIZE,"&gt;0")</f>
        <v>0</v>
      </c>
      <c r="D15" s="748">
        <f>SUMIFS('TRADE LOG'!$T$15:$T$9733,closeDate,"&gt;="&amp;CALENDAR!D14,closeDate,"&lt;"&amp;E14,SIZE,"&gt;0")</f>
        <v>0</v>
      </c>
      <c r="E15" s="748">
        <f>SUMIFS('TRADE LOG'!$T$15:$T$9733,closeDate,"&gt;="&amp;CALENDAR!E14,closeDate,"&lt;"&amp;F14,SIZE,"&gt;0")</f>
        <v>0</v>
      </c>
      <c r="F15" s="748">
        <f>SUMIFS('TRADE LOG'!$T$15:$T$9733,closeDate,"&gt;="&amp;CALENDAR!F14,closeDate,"&lt;"&amp;G14,SIZE,"&gt;0")</f>
        <v>0</v>
      </c>
      <c r="G15" s="748">
        <f>SUMIFS('TRADE LOG'!$T$15:$T$9733,closeDate,"&gt;="&amp;CALENDAR!G14,closeDate,"&lt;"&amp;H14,SIZE,"&gt;0")</f>
        <v>0</v>
      </c>
      <c r="H15" s="748">
        <f>SUMIFS('TRADE LOG'!$T$15:$T$9733,closeDate,"&gt;="&amp;CALENDAR!H14,closeDate,"&lt;"&amp;I14,SIZE,"&gt;0")</f>
        <v>0</v>
      </c>
      <c r="I15" s="748">
        <f>SUMIFS('TRADE LOG'!$T$15:$T$9733,closeDate,"&gt;="&amp;CALENDAR!I14,closeDate,"&lt;"&amp;C17,SIZE,"&gt;0")</f>
        <v>0</v>
      </c>
      <c r="J15" s="161"/>
      <c r="K15" s="161"/>
      <c r="L15" s="161"/>
      <c r="U15" s="515"/>
      <c r="V15" s="515"/>
      <c r="W15" s="515"/>
      <c r="X15" s="515"/>
      <c r="Y15" s="515"/>
      <c r="Z15" s="515"/>
      <c r="AA15" s="515"/>
    </row>
    <row r="16" spans="1:27" s="518" customFormat="1" ht="15" customHeight="1" thickBot="1">
      <c r="A16"/>
      <c r="B16" s="517"/>
      <c r="C16" s="749">
        <f>COUNTIFS(closeDate,"&gt;="&amp;CALENDAR!C14,closeDate,"&lt;"&amp;D14,SIZE,"&gt;0")</f>
        <v>0</v>
      </c>
      <c r="D16" s="749">
        <f>COUNTIFS(closeDate,"&gt;="&amp;CALENDAR!D14,closeDate,"&lt;"&amp;E14,SIZE,"&gt;0")</f>
        <v>0</v>
      </c>
      <c r="E16" s="749">
        <f>COUNTIFS(closeDate,"&gt;="&amp;CALENDAR!E14,closeDate,"&lt;"&amp;F14,SIZE,"&gt;0")</f>
        <v>0</v>
      </c>
      <c r="F16" s="749">
        <f>COUNTIFS(closeDate,"&gt;="&amp;CALENDAR!F14,closeDate,"&lt;"&amp;G14,SIZE,"&gt;0")</f>
        <v>0</v>
      </c>
      <c r="G16" s="749">
        <f>COUNTIFS(closeDate,"&gt;="&amp;CALENDAR!G14,closeDate,"&lt;"&amp;H14,SIZE,"&gt;0")</f>
        <v>0</v>
      </c>
      <c r="H16" s="749">
        <f>COUNTIFS(closeDate,"&gt;="&amp;CALENDAR!H14,closeDate,"&lt;"&amp;I14,SIZE,"&gt;0")</f>
        <v>0</v>
      </c>
      <c r="I16" s="749">
        <f>COUNTIFS(closeDate,"&gt;="&amp;CALENDAR!I14,closeDate,"&lt;"&amp;(I14+1),SIZE,"&gt;0")</f>
        <v>0</v>
      </c>
      <c r="J16" s="517"/>
      <c r="K16" s="517"/>
      <c r="L16" s="517"/>
      <c r="U16" s="519"/>
      <c r="V16" s="519"/>
      <c r="W16" s="519"/>
      <c r="X16" s="519"/>
      <c r="Y16" s="519"/>
      <c r="Z16" s="519"/>
      <c r="AA16" s="519"/>
    </row>
    <row r="17" spans="1:27" ht="15" customHeight="1" thickTop="1">
      <c r="B17" s="161"/>
      <c r="C17" s="747">
        <f>I14+1</f>
        <v>43968</v>
      </c>
      <c r="D17" s="747">
        <f>C17+1</f>
        <v>43969</v>
      </c>
      <c r="E17" s="747">
        <f t="shared" si="0"/>
        <v>43970</v>
      </c>
      <c r="F17" s="747">
        <f t="shared" si="0"/>
        <v>43971</v>
      </c>
      <c r="G17" s="747">
        <f t="shared" si="0"/>
        <v>43972</v>
      </c>
      <c r="H17" s="747">
        <f t="shared" si="0"/>
        <v>43973</v>
      </c>
      <c r="I17" s="747">
        <f t="shared" si="0"/>
        <v>43974</v>
      </c>
      <c r="J17" s="161"/>
      <c r="K17" s="161"/>
      <c r="L17" s="161"/>
      <c r="U17" s="515"/>
      <c r="V17" s="515"/>
      <c r="W17" s="515"/>
      <c r="X17" s="515"/>
      <c r="Y17" s="515"/>
      <c r="Z17" s="515"/>
      <c r="AA17" s="515"/>
    </row>
    <row r="18" spans="1:27" ht="15" customHeight="1">
      <c r="B18" s="161"/>
      <c r="C18" s="748">
        <f>SUMIFS('TRADE LOG'!$T$15:$T$9733,closeDate,"&gt;="&amp;CALENDAR!C17,closeDate,"&lt;"&amp;D17,SIZE,"&gt;0")</f>
        <v>0</v>
      </c>
      <c r="D18" s="748">
        <f>SUMIFS('TRADE LOG'!$T$15:$T$9733,closeDate,"&gt;="&amp;CALENDAR!D17,closeDate,"&lt;"&amp;E17,SIZE,"&gt;0")</f>
        <v>0</v>
      </c>
      <c r="E18" s="748">
        <f>SUMIFS('TRADE LOG'!$T$15:$T$9733,closeDate,"&gt;="&amp;CALENDAR!E17,closeDate,"&lt;"&amp;F17,SIZE,"&gt;0")</f>
        <v>0</v>
      </c>
      <c r="F18" s="748">
        <f>SUMIFS('TRADE LOG'!$T$15:$T$9733,closeDate,"&gt;="&amp;CALENDAR!F17,closeDate,"&lt;"&amp;G17,SIZE,"&gt;0")</f>
        <v>0</v>
      </c>
      <c r="G18" s="748">
        <f>SUMIFS('TRADE LOG'!$T$15:$T$9733,closeDate,"&gt;="&amp;CALENDAR!G17,closeDate,"&lt;"&amp;H17,SIZE,"&gt;0")</f>
        <v>0</v>
      </c>
      <c r="H18" s="748">
        <f>SUMIFS('TRADE LOG'!$T$15:$T$9733,closeDate,"&gt;="&amp;CALENDAR!H17,closeDate,"&lt;"&amp;I17,SIZE,"&gt;0")</f>
        <v>0</v>
      </c>
      <c r="I18" s="748">
        <f>SUMIFS('TRADE LOG'!$T$15:$T$9733,closeDate,"&gt;="&amp;CALENDAR!I17,closeDate,"&lt;"&amp;I17+1,SIZE,"&gt;0")</f>
        <v>0</v>
      </c>
      <c r="J18" s="161"/>
      <c r="K18" s="161"/>
      <c r="L18" s="161"/>
      <c r="U18" s="515"/>
      <c r="V18" s="515"/>
      <c r="W18" s="515"/>
      <c r="X18" s="515"/>
      <c r="Y18" s="515"/>
      <c r="Z18" s="515"/>
      <c r="AA18" s="515"/>
    </row>
    <row r="19" spans="1:27" s="518" customFormat="1" ht="15" customHeight="1" thickBot="1">
      <c r="A19"/>
      <c r="B19" s="517"/>
      <c r="C19" s="749">
        <f>COUNTIFS(closeDate,"&gt;="&amp;CALENDAR!C17,closeDate,"&lt;"&amp;D17,SIZE,"&gt;0")</f>
        <v>0</v>
      </c>
      <c r="D19" s="749">
        <f>COUNTIFS(closeDate,"&gt;="&amp;CALENDAR!D17,closeDate,"&lt;"&amp;E17,SIZE,"&gt;0")</f>
        <v>0</v>
      </c>
      <c r="E19" s="749">
        <f>COUNTIFS(closeDate,"&gt;="&amp;CALENDAR!E17,closeDate,"&lt;"&amp;F17,SIZE,"&gt;0")</f>
        <v>0</v>
      </c>
      <c r="F19" s="749">
        <f>COUNTIFS(closeDate,"&gt;="&amp;CALENDAR!F17,closeDate,"&lt;"&amp;G17,SIZE,"&gt;0")</f>
        <v>0</v>
      </c>
      <c r="G19" s="749">
        <f>COUNTIFS(closeDate,"&gt;="&amp;CALENDAR!G17,closeDate,"&lt;"&amp;H17,SIZE,"&gt;0")</f>
        <v>0</v>
      </c>
      <c r="H19" s="749">
        <f>COUNTIFS(closeDate,"&gt;="&amp;CALENDAR!H17,closeDate,"&lt;"&amp;I17,SIZE,"&gt;0")</f>
        <v>0</v>
      </c>
      <c r="I19" s="749">
        <f>COUNTIFS(closeDate,"&gt;="&amp;CALENDAR!I17,closeDate,"&lt;"&amp;(I17+1),SIZE,"&gt;0")</f>
        <v>0</v>
      </c>
      <c r="J19" s="517"/>
      <c r="K19" s="517"/>
      <c r="L19" s="517"/>
      <c r="U19" s="519"/>
      <c r="V19" s="519"/>
      <c r="W19" s="519"/>
      <c r="X19" s="519"/>
      <c r="Y19" s="519"/>
      <c r="Z19" s="519"/>
      <c r="AA19" s="519"/>
    </row>
    <row r="20" spans="1:27" ht="15" customHeight="1" thickTop="1">
      <c r="B20" s="161"/>
      <c r="C20" s="747">
        <f>IFERROR(IF(MONTH(C6)&lt;&gt;MONTH(I17+1),"",(I17+1)),"")</f>
        <v>43975</v>
      </c>
      <c r="D20" s="747">
        <f>IFERROR(IF(MONTH(C6)&lt;&gt;MONTH(C20+1),"",(C20+1)),"")</f>
        <v>43976</v>
      </c>
      <c r="E20" s="747">
        <f>IFERROR(IF(MONTH(C6)&lt;&gt;MONTH(D20+1),"",(D20+1)),"")</f>
        <v>43977</v>
      </c>
      <c r="F20" s="747">
        <f>IFERROR(IF(MONTH(C6)&lt;&gt;MONTH(E20+1),"",(E20+1)),"")</f>
        <v>43978</v>
      </c>
      <c r="G20" s="747">
        <f>IFERROR(IF(MONTH(C6)&lt;&gt;MONTH(F20+1),"",(F20+1)),"")</f>
        <v>43979</v>
      </c>
      <c r="H20" s="747">
        <f>IFERROR(IF(MONTH(C6)&lt;&gt;MONTH(G20+1),"",(G20+1)),"")</f>
        <v>43980</v>
      </c>
      <c r="I20" s="747">
        <f>IFERROR(IF(MONTH(C6)&lt;&gt;MONTH(H20+1),"",(H20+1)),"")</f>
        <v>43981</v>
      </c>
      <c r="J20" s="161"/>
      <c r="K20" s="161"/>
      <c r="L20" s="161"/>
    </row>
    <row r="21" spans="1:27" ht="15" customHeight="1">
      <c r="B21" s="161"/>
      <c r="C21" s="748">
        <f>SUMIFS('TRADE LOG'!$T$15:$T$9733,closeDate,"&gt;="&amp;CALENDAR!C20,closeDate,"&lt;"&amp;C20+1,SIZE,"&gt;0")</f>
        <v>0</v>
      </c>
      <c r="D21" s="748">
        <f>SUMIFS('TRADE LOG'!$T$15:$T$9733,closeDate,"&gt;="&amp;CALENDAR!D20,closeDate,"&lt;"&amp;D20+1,SIZE,"&gt;0")</f>
        <v>0</v>
      </c>
      <c r="E21" s="748">
        <f>SUMIFS('TRADE LOG'!$T$15:$T$9733,closeDate,"&gt;="&amp;CALENDAR!E20,closeDate,"&lt;"&amp;E20+1,SIZE,"&gt;0")</f>
        <v>0</v>
      </c>
      <c r="F21" s="748">
        <f>SUMIFS('TRADE LOG'!$T$15:$T$9733,closeDate,"&gt;="&amp;CALENDAR!F20,closeDate,"&lt;"&amp;F20+1,SIZE,"&gt;0")</f>
        <v>-467.65</v>
      </c>
      <c r="G21" s="748">
        <f>SUMIFS('TRADE LOG'!$T$15:$T$9733,closeDate,"&gt;="&amp;CALENDAR!G20,closeDate,"&lt;"&amp;G20+1,SIZE,"&gt;0")</f>
        <v>2872.9600000000005</v>
      </c>
      <c r="H21" s="748">
        <f>SUMIFS('TRADE LOG'!$T$15:$T$9733,closeDate,"&gt;="&amp;CALENDAR!H20,closeDate,"&lt;"&amp;H20+1,SIZE,"&gt;0")</f>
        <v>1487.46</v>
      </c>
      <c r="I21" s="748">
        <f>SUMIFS('TRADE LOG'!$T$15:$T$9733,closeDate,"&gt;="&amp;CALENDAR!I20,closeDate,"&lt;"&amp;I20+1,SIZE,"&gt;0")</f>
        <v>0</v>
      </c>
      <c r="J21" s="161"/>
      <c r="K21" s="161"/>
      <c r="L21" s="161"/>
    </row>
    <row r="22" spans="1:27" s="518" customFormat="1" ht="15" customHeight="1" thickBot="1">
      <c r="A22"/>
      <c r="B22" s="517"/>
      <c r="C22" s="749">
        <f>COUNTIFS(closeDate,"&gt;="&amp;CALENDAR!C20,closeDate,"&lt;"&amp;C20+1,SIZE,"&gt;0")</f>
        <v>0</v>
      </c>
      <c r="D22" s="749">
        <f>COUNTIFS(closeDate,"&gt;="&amp;CALENDAR!D20,closeDate,"&lt;"&amp;D20+1,SIZE,"&gt;0")</f>
        <v>0</v>
      </c>
      <c r="E22" s="749">
        <f>COUNTIFS(closeDate,"&gt;="&amp;CALENDAR!E20,closeDate,"&lt;"&amp;E20+1,SIZE,"&gt;0")</f>
        <v>0</v>
      </c>
      <c r="F22" s="749">
        <f>COUNTIFS(closeDate,"&gt;="&amp;CALENDAR!F20,closeDate,"&lt;"&amp;F20+1,SIZE,"&gt;0")</f>
        <v>2</v>
      </c>
      <c r="G22" s="749">
        <f>COUNTIFS(closeDate,"&gt;="&amp;CALENDAR!G20,closeDate,"&lt;"&amp;G20+1,SIZE,"&gt;0")</f>
        <v>28</v>
      </c>
      <c r="H22" s="749">
        <f>COUNTIFS(closeDate,"&gt;="&amp;CALENDAR!H20,closeDate,"&lt;"&amp;H20+1,SIZE,"&gt;0")</f>
        <v>12</v>
      </c>
      <c r="I22" s="749">
        <f>COUNTIFS(closeDate,"&gt;="&amp;CALENDAR!I20,closeDate,"&lt;"&amp;(I20+1),SIZE,"&gt;0")</f>
        <v>0</v>
      </c>
      <c r="J22" s="517"/>
      <c r="K22" s="517"/>
      <c r="L22" s="517"/>
      <c r="U22" s="519"/>
      <c r="V22" s="519"/>
      <c r="W22" s="519"/>
      <c r="X22" s="519"/>
      <c r="Y22" s="519"/>
      <c r="Z22" s="519"/>
      <c r="AA22" s="519"/>
    </row>
    <row r="23" spans="1:27" ht="15" customHeight="1" thickTop="1">
      <c r="B23" s="161"/>
      <c r="C23" s="747">
        <f>IFERROR(IF(MONTH(C6)&lt;&gt;MONTH(I20+1),"",(I20+1)),"")</f>
        <v>43982</v>
      </c>
      <c r="D23" s="747" t="str">
        <f>IFERROR(IF(MONTH(C6)&lt;&gt;MONTH(C23+1),"",(C23+1)),"")</f>
        <v/>
      </c>
      <c r="E23" s="747" t="str">
        <f>IFERROR(IF(MONTH(C6)&lt;&gt;MONTH(D23+1),"",(D23+1)),"")</f>
        <v/>
      </c>
      <c r="F23" s="747" t="str">
        <f>IFERROR(IF(MONTH(C6)&lt;&gt;MONTH(E23+1),"",(E23+1)),"")</f>
        <v/>
      </c>
      <c r="G23" s="747" t="str">
        <f>IFERROR(IF(MONTH(C6)&lt;&gt;MONTH(F23+1),"",(F23+1)),"")</f>
        <v/>
      </c>
      <c r="H23" s="747" t="str">
        <f>IFERROR(IF(MONTH(C6)&lt;&gt;MONTH(G23+1),"",(G23+1)),"")</f>
        <v/>
      </c>
      <c r="I23" s="747" t="str">
        <f>IFERROR(IF(MONTH(C6)&lt;&gt;MONTH(H23+1),"",(H23+1)),"")</f>
        <v/>
      </c>
      <c r="J23" s="161"/>
      <c r="K23" s="161"/>
      <c r="L23" s="161"/>
      <c r="U23" s="515"/>
      <c r="V23" s="515"/>
      <c r="W23" s="515"/>
      <c r="X23" s="515"/>
      <c r="Y23" s="515"/>
      <c r="Z23" s="515"/>
      <c r="AA23" s="515"/>
    </row>
    <row r="24" spans="1:27" ht="15" customHeight="1">
      <c r="B24" s="161"/>
      <c r="C24" s="748">
        <f>SUMIFS('TRADE LOG'!$T$15:$T$9733,closeDate,"&gt;="&amp;CALENDAR!C23,closeDate,"&lt;"&amp;C23+1,SIZE,"&gt;0")</f>
        <v>0</v>
      </c>
      <c r="D24" s="748">
        <f>SUMIFS('TRADE LOG'!$T$15:$T$9733,closeDate,"&gt;="&amp;CALENDAR!D23,closeDate,"&lt;"&amp;D23+1,SIZE,"&gt;0")</f>
        <v>0</v>
      </c>
      <c r="E24" s="748">
        <f>SUMIFS('TRADE LOG'!$T$15:$T$9733,closeDate,"&gt;="&amp;CALENDAR!E23,closeDate,"&lt;"&amp;E23+1,SIZE,"&gt;0")</f>
        <v>0</v>
      </c>
      <c r="F24" s="748">
        <f>SUMIFS('TRADE LOG'!$T$15:$T$9733,closeDate,"&gt;="&amp;CALENDAR!F23,closeDate,"&lt;"&amp;F23+1,SIZE,"&gt;0")</f>
        <v>0</v>
      </c>
      <c r="G24" s="748">
        <f>SUMIFS('TRADE LOG'!$T$15:$T$9733,closeDate,"&gt;="&amp;CALENDAR!G23,closeDate,"&lt;"&amp;G23+1,SIZE,"&gt;0")</f>
        <v>0</v>
      </c>
      <c r="H24" s="748">
        <f>SUMIFS('TRADE LOG'!$T$15:$T$9733,closeDate,"&gt;="&amp;CALENDAR!H23,closeDate,"&lt;"&amp;H23+1,SIZE,"&gt;0")</f>
        <v>0</v>
      </c>
      <c r="I24" s="748">
        <f>SUMIFS('TRADE LOG'!$T$15:$T$9733,closeDate,"&gt;="&amp;CALENDAR!I23,closeDate,"&lt;"&amp;I23+1,SIZE,"&gt;0")</f>
        <v>0</v>
      </c>
      <c r="J24" s="161"/>
      <c r="K24" s="161"/>
      <c r="L24" s="161"/>
      <c r="U24" s="515"/>
      <c r="V24" s="515"/>
      <c r="W24" s="515"/>
      <c r="X24" s="515"/>
      <c r="Y24" s="515"/>
      <c r="Z24" s="515"/>
      <c r="AA24" s="515"/>
    </row>
    <row r="25" spans="1:27" ht="15" customHeight="1">
      <c r="B25" s="161"/>
      <c r="C25" s="750">
        <f>COUNTIFS(closeDate,"&gt;="&amp;CALENDAR!C23,closeDate,"&lt;"&amp;C23+1,SIZE,"&gt;0")</f>
        <v>0</v>
      </c>
      <c r="D25" s="750">
        <f>COUNTIFS(closeDate,"&gt;="&amp;CALENDAR!D23,closeDate,"&lt;"&amp;D23+1,SIZE,"&gt;0")</f>
        <v>0</v>
      </c>
      <c r="E25" s="750">
        <f>COUNTIFS(closeDate,"&gt;="&amp;CALENDAR!E23,closeDate,"&lt;"&amp;E23+1,SIZE,"&gt;0")</f>
        <v>0</v>
      </c>
      <c r="F25" s="750">
        <f>COUNTIFS(closeDate,"&gt;="&amp;CALENDAR!F23,closeDate,"&lt;"&amp;F23+1,SIZE,"&gt;0")</f>
        <v>0</v>
      </c>
      <c r="G25" s="750">
        <f>COUNTIFS(closeDate,"&gt;="&amp;CALENDAR!G23,closeDate,"&lt;"&amp;G23+1,SIZE,"&gt;0")</f>
        <v>0</v>
      </c>
      <c r="H25" s="750">
        <f>COUNTIFS(closeDate,"&gt;="&amp;CALENDAR!H23,closeDate,"&lt;"&amp;H23+1,SIZE,"&gt;0")</f>
        <v>0</v>
      </c>
      <c r="I25" s="750">
        <f>COUNTIFS(closeDate,"&gt;="&amp;CALENDAR!I23,closeDate,"&lt;"&amp;(I23+1),SIZE,"&gt;0")</f>
        <v>0</v>
      </c>
      <c r="J25" s="161"/>
      <c r="K25" s="161"/>
      <c r="L25" s="161"/>
      <c r="U25" s="515"/>
      <c r="V25" s="515"/>
      <c r="W25" s="515"/>
      <c r="X25" s="515"/>
      <c r="Y25" s="515"/>
      <c r="Z25" s="515"/>
      <c r="AA25" s="515"/>
    </row>
    <row r="26" spans="1:27" ht="18" customHeight="1" thickBot="1">
      <c r="B26" s="161"/>
      <c r="C26" s="751"/>
      <c r="D26" s="751"/>
      <c r="E26" s="751"/>
      <c r="F26" s="751"/>
      <c r="G26" s="751"/>
      <c r="H26" s="751"/>
      <c r="I26" s="751"/>
      <c r="J26" s="161"/>
      <c r="K26" s="161"/>
      <c r="L26" s="161"/>
      <c r="U26" s="515"/>
      <c r="V26" s="515"/>
      <c r="W26" s="515"/>
      <c r="X26" s="515"/>
      <c r="Y26" s="515"/>
      <c r="Z26" s="515"/>
      <c r="AA26" s="515"/>
    </row>
    <row r="27" spans="1:27" ht="21.95" customHeight="1">
      <c r="B27" s="161"/>
      <c r="C27" s="752">
        <f>EOMONTH(C6,0)+1</f>
        <v>43983</v>
      </c>
      <c r="D27" s="753"/>
      <c r="E27" s="754"/>
      <c r="F27" s="755"/>
      <c r="G27" s="756"/>
      <c r="H27" s="756"/>
      <c r="I27" s="756"/>
      <c r="J27" s="161"/>
      <c r="K27" s="161"/>
      <c r="L27" s="161"/>
      <c r="U27" s="515"/>
      <c r="V27" s="515"/>
      <c r="W27" s="515"/>
      <c r="X27" s="515"/>
      <c r="Y27" s="515"/>
      <c r="Z27" s="515"/>
      <c r="AA27" s="515"/>
    </row>
    <row r="28" spans="1:27" ht="24.95" customHeight="1" thickBot="1">
      <c r="B28" s="161"/>
      <c r="C28" s="757" t="s">
        <v>781</v>
      </c>
      <c r="D28" s="757" t="s">
        <v>782</v>
      </c>
      <c r="E28" s="757" t="s">
        <v>783</v>
      </c>
      <c r="F28" s="757" t="s">
        <v>784</v>
      </c>
      <c r="G28" s="757" t="s">
        <v>789</v>
      </c>
      <c r="H28" s="757" t="s">
        <v>785</v>
      </c>
      <c r="I28" s="757" t="s">
        <v>786</v>
      </c>
      <c r="J28" s="161"/>
      <c r="K28" s="161"/>
      <c r="L28" s="161"/>
      <c r="U28" s="515"/>
      <c r="V28" s="515"/>
      <c r="W28" s="515"/>
      <c r="X28" s="515"/>
      <c r="Y28" s="515"/>
      <c r="Z28" s="515"/>
      <c r="AA28" s="515"/>
    </row>
    <row r="29" spans="1:27" ht="15" customHeight="1" thickTop="1">
      <c r="B29" s="161"/>
      <c r="C29" s="747" t="str">
        <f>IF(MONTH(C27)&lt;&gt;MONTH((C27-WEEKDAY(C27,1)+1)),"",(C27-WEEKDAY(C27,1)+1))</f>
        <v/>
      </c>
      <c r="D29" s="747">
        <f>IF(MONTH(C27)&lt;&gt;MONTH((C27-WEEKDAY(C27,1)+2)),"",(C27-WEEKDAY(C27,1)+2))</f>
        <v>43983</v>
      </c>
      <c r="E29" s="747">
        <f>IF(MONTH(C27)&lt;&gt;MONTH((C27-WEEKDAY(C27,1)+3)),"",(C27-WEEKDAY(C27,1)+3))</f>
        <v>43984</v>
      </c>
      <c r="F29" s="747">
        <f>IF(MONTH(C27)&lt;&gt;MONTH((C27-WEEKDAY(C27,1)+4)),"",(C27-WEEKDAY(C27,1)+4))</f>
        <v>43985</v>
      </c>
      <c r="G29" s="747">
        <f>IF(MONTH(C27)&lt;&gt;MONTH((C27-WEEKDAY(C27,1)+5)),"",(C27-WEEKDAY(C27,1)+5))</f>
        <v>43986</v>
      </c>
      <c r="H29" s="747">
        <f>IF(MONTH(C27)&lt;&gt;MONTH((C27-WEEKDAY(C27,1)+6)),"",(C27-WEEKDAY(C27,1)+6))</f>
        <v>43987</v>
      </c>
      <c r="I29" s="747">
        <f>IF(MONTH(C27)&lt;&gt;MONTH((C27-WEEKDAY(C27,1)+7)),"",(C27-WEEKDAY(C27,1)+7))</f>
        <v>43988</v>
      </c>
      <c r="J29" s="161"/>
      <c r="K29" s="161"/>
      <c r="L29" s="161"/>
      <c r="U29" s="515"/>
      <c r="V29" s="515"/>
      <c r="W29" s="515"/>
      <c r="X29" s="515"/>
      <c r="Y29" s="515"/>
      <c r="Z29" s="515"/>
      <c r="AA29" s="515"/>
    </row>
    <row r="30" spans="1:27" ht="15" customHeight="1">
      <c r="B30" s="161"/>
      <c r="C30" s="748">
        <f>SUMIFS('TRADE LOG'!$T$15:$T$9733,closeDate,"&gt;="&amp;CALENDAR!C29,closeDate,"&lt;"&amp;D29,SIZE,"&gt;0")</f>
        <v>0</v>
      </c>
      <c r="D30" s="748">
        <f>SUMIFS('TRADE LOG'!$T$15:$T$9733,closeDate,"&gt;="&amp;CALENDAR!D29,closeDate,"&lt;"&amp;E29,SIZE,"&gt;0")</f>
        <v>-176.04999999999973</v>
      </c>
      <c r="E30" s="748">
        <f>SUMIFS('TRADE LOG'!$T$15:$T$9733,closeDate,"&gt;="&amp;CALENDAR!E29,closeDate,"&lt;"&amp;F29,SIZE,"&gt;0")</f>
        <v>0</v>
      </c>
      <c r="F30" s="748">
        <f>SUMIFS('TRADE LOG'!$T$15:$T$9733,closeDate,"&gt;="&amp;CALENDAR!F29,closeDate,"&lt;"&amp;G29,SIZE,"&gt;0")</f>
        <v>0</v>
      </c>
      <c r="G30" s="748">
        <f>SUMIFS('TRADE LOG'!$T$15:$T$9733,closeDate,"&gt;="&amp;CALENDAR!G29,closeDate,"&lt;"&amp;H29,SIZE,"&gt;0")</f>
        <v>0</v>
      </c>
      <c r="H30" s="748">
        <f>SUMIFS('TRADE LOG'!$T$15:$T$9733,closeDate,"&gt;="&amp;CALENDAR!H29,closeDate,"&lt;"&amp;I29,SIZE,"&gt;0")</f>
        <v>0</v>
      </c>
      <c r="I30" s="748">
        <f>SUMIFS('TRADE LOG'!$T$15:$T$9733,closeDate,"&gt;="&amp;CALENDAR!I29,closeDate,"&lt;"&amp;C32,SIZE,"&gt;0")</f>
        <v>0</v>
      </c>
      <c r="J30" s="161"/>
      <c r="K30" s="161"/>
      <c r="L30" s="161"/>
      <c r="U30" s="515"/>
      <c r="V30" s="515"/>
      <c r="W30" s="515"/>
      <c r="X30" s="515"/>
      <c r="Y30" s="515"/>
      <c r="Z30" s="515"/>
      <c r="AA30" s="515"/>
    </row>
    <row r="31" spans="1:27" ht="15" customHeight="1" thickBot="1">
      <c r="B31" s="161"/>
      <c r="C31" s="749">
        <f>COUNTIFS(closeDate,"&gt;="&amp;CALENDAR!C29,closeDate,"&lt;"&amp;D29,SIZE,"&gt;0")</f>
        <v>0</v>
      </c>
      <c r="D31" s="749">
        <f>COUNTIFS(closeDate,"&gt;="&amp;CALENDAR!D29,closeDate,"&lt;"&amp;E29,SIZE,"&gt;0")</f>
        <v>12</v>
      </c>
      <c r="E31" s="749">
        <f>COUNTIFS(closeDate,"&gt;="&amp;CALENDAR!E29,closeDate,"&lt;"&amp;F29,SIZE,"&gt;0")</f>
        <v>0</v>
      </c>
      <c r="F31" s="749">
        <f>COUNTIFS(closeDate,"&gt;="&amp;CALENDAR!F29,closeDate,"&lt;"&amp;G29,SIZE,"&gt;0")</f>
        <v>0</v>
      </c>
      <c r="G31" s="749">
        <f>COUNTIFS(closeDate,"&gt;="&amp;CALENDAR!G29,closeDate,"&lt;"&amp;H29,SIZE,"&gt;0")</f>
        <v>0</v>
      </c>
      <c r="H31" s="749">
        <f>COUNTIFS(closeDate,"&gt;="&amp;CALENDAR!H29,closeDate,"&lt;"&amp;I29,SIZE,"&gt;0")</f>
        <v>0</v>
      </c>
      <c r="I31" s="749">
        <f>COUNTIFS(closeDate,"&gt;="&amp;CALENDAR!I29,closeDate,"&lt;"&amp;(I29+1),SIZE,"&gt;0")</f>
        <v>0</v>
      </c>
      <c r="J31" s="161"/>
      <c r="K31" s="161"/>
      <c r="L31" s="161"/>
      <c r="U31" s="515"/>
      <c r="V31" s="515"/>
      <c r="W31" s="515"/>
      <c r="X31" s="515"/>
      <c r="Y31" s="515"/>
      <c r="Z31" s="515"/>
      <c r="AA31" s="515"/>
    </row>
    <row r="32" spans="1:27" ht="15" customHeight="1" thickTop="1">
      <c r="B32" s="161"/>
      <c r="C32" s="747">
        <f>I29+1</f>
        <v>43989</v>
      </c>
      <c r="D32" s="747">
        <f>C32+1</f>
        <v>43990</v>
      </c>
      <c r="E32" s="747">
        <f t="shared" ref="E32:E38" si="1">D32+1</f>
        <v>43991</v>
      </c>
      <c r="F32" s="747">
        <f t="shared" ref="F32:F38" si="2">E32+1</f>
        <v>43992</v>
      </c>
      <c r="G32" s="747">
        <f t="shared" ref="G32:G38" si="3">F32+1</f>
        <v>43993</v>
      </c>
      <c r="H32" s="747">
        <f t="shared" ref="H32:H38" si="4">G32+1</f>
        <v>43994</v>
      </c>
      <c r="I32" s="747">
        <f t="shared" ref="I32:I38" si="5">H32+1</f>
        <v>43995</v>
      </c>
      <c r="J32" s="161"/>
      <c r="K32" s="161"/>
      <c r="L32" s="161"/>
      <c r="U32" s="515"/>
      <c r="V32" s="515"/>
      <c r="W32" s="515"/>
      <c r="X32" s="515"/>
      <c r="Y32" s="515"/>
      <c r="Z32" s="515"/>
      <c r="AA32" s="515"/>
    </row>
    <row r="33" spans="2:27" ht="15" customHeight="1">
      <c r="B33" s="161"/>
      <c r="C33" s="748">
        <f>SUMIFS('TRADE LOG'!$T$15:$T$9733,closeDate,"&gt;="&amp;CALENDAR!C32,closeDate,"&lt;"&amp;D32,SIZE,"&gt;0")</f>
        <v>0</v>
      </c>
      <c r="D33" s="748">
        <f>SUMIFS('TRADE LOG'!$T$15:$T$9733,closeDate,"&gt;="&amp;CALENDAR!D32,closeDate,"&lt;"&amp;E32,SIZE,"&gt;0")</f>
        <v>0</v>
      </c>
      <c r="E33" s="748">
        <f>SUMIFS('TRADE LOG'!$T$15:$T$9733,closeDate,"&gt;="&amp;CALENDAR!E32,closeDate,"&lt;"&amp;F32,SIZE,"&gt;0")</f>
        <v>0</v>
      </c>
      <c r="F33" s="748">
        <f>SUMIFS('TRADE LOG'!$T$15:$T$9733,closeDate,"&gt;="&amp;CALENDAR!F32,closeDate,"&lt;"&amp;G32,SIZE,"&gt;0")</f>
        <v>0</v>
      </c>
      <c r="G33" s="748">
        <f>SUMIFS('TRADE LOG'!$T$15:$T$9733,closeDate,"&gt;="&amp;CALENDAR!G32,closeDate,"&lt;"&amp;H32,SIZE,"&gt;0")</f>
        <v>0</v>
      </c>
      <c r="H33" s="748">
        <f>SUMIFS('TRADE LOG'!$T$15:$T$9733,closeDate,"&gt;="&amp;CALENDAR!H32,closeDate,"&lt;"&amp;I32,SIZE,"&gt;0")</f>
        <v>0</v>
      </c>
      <c r="I33" s="748">
        <f>SUMIFS('TRADE LOG'!$T$15:$T$9733,closeDate,"&gt;="&amp;CALENDAR!I32,closeDate,"&lt;"&amp;C35,SIZE,"&gt;0")</f>
        <v>0</v>
      </c>
      <c r="J33" s="161"/>
      <c r="K33" s="161"/>
      <c r="L33" s="161"/>
      <c r="U33" s="515"/>
      <c r="V33" s="515"/>
      <c r="W33" s="515"/>
      <c r="X33" s="515"/>
      <c r="Y33" s="515"/>
      <c r="Z33" s="515"/>
      <c r="AA33" s="515"/>
    </row>
    <row r="34" spans="2:27" ht="15" customHeight="1" thickBot="1">
      <c r="B34" s="161"/>
      <c r="C34" s="749">
        <f>COUNTIFS(closeDate,"&gt;="&amp;CALENDAR!C32,closeDate,"&lt;"&amp;D32,SIZE,"&gt;0")</f>
        <v>0</v>
      </c>
      <c r="D34" s="749">
        <f>COUNTIFS(closeDate,"&gt;="&amp;CALENDAR!D32,closeDate,"&lt;"&amp;E32,SIZE,"&gt;0")</f>
        <v>0</v>
      </c>
      <c r="E34" s="749">
        <f>COUNTIFS(closeDate,"&gt;="&amp;CALENDAR!E32,closeDate,"&lt;"&amp;F32,SIZE,"&gt;0")</f>
        <v>0</v>
      </c>
      <c r="F34" s="749">
        <f>COUNTIFS(closeDate,"&gt;="&amp;CALENDAR!F32,closeDate,"&lt;"&amp;G32,SIZE,"&gt;0")</f>
        <v>0</v>
      </c>
      <c r="G34" s="749">
        <f>COUNTIFS(closeDate,"&gt;="&amp;CALENDAR!G32,closeDate,"&lt;"&amp;H32,SIZE,"&gt;0")</f>
        <v>0</v>
      </c>
      <c r="H34" s="749">
        <f>COUNTIFS(closeDate,"&gt;="&amp;CALENDAR!H32,closeDate,"&lt;"&amp;I32,SIZE,"&gt;0")</f>
        <v>0</v>
      </c>
      <c r="I34" s="749">
        <f>COUNTIFS(closeDate,"&gt;="&amp;CALENDAR!I32,closeDate,"&lt;"&amp;(I32+1),SIZE,"&gt;0")</f>
        <v>0</v>
      </c>
      <c r="J34" s="161"/>
      <c r="K34" s="161"/>
      <c r="L34" s="161"/>
      <c r="U34" s="515"/>
      <c r="V34" s="515"/>
      <c r="W34" s="515"/>
      <c r="X34" s="515"/>
      <c r="Y34" s="515"/>
      <c r="Z34" s="515"/>
      <c r="AA34" s="515"/>
    </row>
    <row r="35" spans="2:27" ht="15" customHeight="1" thickTop="1">
      <c r="B35" s="161"/>
      <c r="C35" s="747">
        <f>I32+1</f>
        <v>43996</v>
      </c>
      <c r="D35" s="747">
        <f>C35+1</f>
        <v>43997</v>
      </c>
      <c r="E35" s="747">
        <f t="shared" ref="E35:E41" si="6">D35+1</f>
        <v>43998</v>
      </c>
      <c r="F35" s="747">
        <f t="shared" ref="F35:F41" si="7">E35+1</f>
        <v>43999</v>
      </c>
      <c r="G35" s="747">
        <f t="shared" ref="G35:G41" si="8">F35+1</f>
        <v>44000</v>
      </c>
      <c r="H35" s="747">
        <f t="shared" ref="H35:H41" si="9">G35+1</f>
        <v>44001</v>
      </c>
      <c r="I35" s="747">
        <f t="shared" ref="I35:I41" si="10">H35+1</f>
        <v>44002</v>
      </c>
      <c r="J35" s="161"/>
      <c r="K35" s="161"/>
      <c r="L35" s="161"/>
      <c r="U35" s="515"/>
      <c r="V35" s="515"/>
      <c r="W35" s="515"/>
      <c r="X35" s="515"/>
      <c r="Y35" s="515"/>
      <c r="Z35" s="515"/>
      <c r="AA35" s="515"/>
    </row>
    <row r="36" spans="2:27" ht="15" customHeight="1">
      <c r="B36" s="161"/>
      <c r="C36" s="748">
        <f>SUMIFS('TRADE LOG'!$T$15:$T$9733,closeDate,"&gt;="&amp;CALENDAR!C35,closeDate,"&lt;"&amp;D35,SIZE,"&gt;0")</f>
        <v>0</v>
      </c>
      <c r="D36" s="748">
        <f>SUMIFS('TRADE LOG'!$T$15:$T$9733,closeDate,"&gt;="&amp;CALENDAR!D35,closeDate,"&lt;"&amp;E35,SIZE,"&gt;0")</f>
        <v>0</v>
      </c>
      <c r="E36" s="748">
        <f>SUMIFS('TRADE LOG'!$T$15:$T$9733,closeDate,"&gt;="&amp;CALENDAR!E35,closeDate,"&lt;"&amp;F35,SIZE,"&gt;0")</f>
        <v>0</v>
      </c>
      <c r="F36" s="748">
        <f>SUMIFS('TRADE LOG'!$T$15:$T$9733,closeDate,"&gt;="&amp;CALENDAR!F35,closeDate,"&lt;"&amp;G35,SIZE,"&gt;0")</f>
        <v>0</v>
      </c>
      <c r="G36" s="748">
        <f>SUMIFS('TRADE LOG'!$T$15:$T$9733,closeDate,"&gt;="&amp;CALENDAR!G35,closeDate,"&lt;"&amp;H35,SIZE,"&gt;0")</f>
        <v>0</v>
      </c>
      <c r="H36" s="748">
        <f>SUMIFS('TRADE LOG'!$T$15:$T$9733,closeDate,"&gt;="&amp;CALENDAR!H35,closeDate,"&lt;"&amp;I35,SIZE,"&gt;0")</f>
        <v>0</v>
      </c>
      <c r="I36" s="748">
        <f>SUMIFS('TRADE LOG'!$T$15:$T$9733,closeDate,"&gt;="&amp;CALENDAR!I35,closeDate,"&lt;"&amp;C38,SIZE,"&gt;0")</f>
        <v>0</v>
      </c>
      <c r="J36" s="161"/>
      <c r="K36" s="161"/>
      <c r="L36" s="161"/>
      <c r="U36" s="515"/>
      <c r="V36" s="515"/>
      <c r="W36" s="515"/>
      <c r="X36" s="515"/>
      <c r="Y36" s="515"/>
      <c r="Z36" s="515"/>
      <c r="AA36" s="515"/>
    </row>
    <row r="37" spans="2:27" ht="15" customHeight="1" thickBot="1">
      <c r="B37" s="161"/>
      <c r="C37" s="749">
        <f>COUNTIFS(closeDate,"&gt;="&amp;CALENDAR!C35,closeDate,"&lt;"&amp;D35,SIZE,"&gt;0")</f>
        <v>0</v>
      </c>
      <c r="D37" s="749">
        <f>COUNTIFS(closeDate,"&gt;="&amp;CALENDAR!D35,closeDate,"&lt;"&amp;E35,SIZE,"&gt;0")</f>
        <v>0</v>
      </c>
      <c r="E37" s="749">
        <f>COUNTIFS(closeDate,"&gt;="&amp;CALENDAR!E35,closeDate,"&lt;"&amp;F35,SIZE,"&gt;0")</f>
        <v>0</v>
      </c>
      <c r="F37" s="749">
        <f>COUNTIFS(closeDate,"&gt;="&amp;CALENDAR!F35,closeDate,"&lt;"&amp;G35,SIZE,"&gt;0")</f>
        <v>0</v>
      </c>
      <c r="G37" s="749">
        <f>COUNTIFS(closeDate,"&gt;="&amp;CALENDAR!G35,closeDate,"&lt;"&amp;H35,SIZE,"&gt;0")</f>
        <v>0</v>
      </c>
      <c r="H37" s="749">
        <f>COUNTIFS(closeDate,"&gt;="&amp;CALENDAR!H35,closeDate,"&lt;"&amp;I35,SIZE,"&gt;0")</f>
        <v>0</v>
      </c>
      <c r="I37" s="749">
        <f>COUNTIFS(closeDate,"&gt;="&amp;CALENDAR!I35,closeDate,"&lt;"&amp;(I35+1),SIZE,"&gt;0")</f>
        <v>0</v>
      </c>
      <c r="J37" s="161"/>
      <c r="K37" s="161"/>
      <c r="L37" s="161"/>
      <c r="U37" s="515"/>
      <c r="V37" s="515"/>
      <c r="W37" s="515"/>
      <c r="X37" s="515"/>
      <c r="Y37" s="515"/>
      <c r="Z37" s="515"/>
      <c r="AA37" s="515"/>
    </row>
    <row r="38" spans="2:27" ht="15" customHeight="1" thickTop="1">
      <c r="B38" s="161"/>
      <c r="C38" s="747">
        <f>I35+1</f>
        <v>44003</v>
      </c>
      <c r="D38" s="747">
        <f>C38+1</f>
        <v>44004</v>
      </c>
      <c r="E38" s="747">
        <f t="shared" ref="E38:E44" si="11">D38+1</f>
        <v>44005</v>
      </c>
      <c r="F38" s="747">
        <f t="shared" ref="F38:F44" si="12">E38+1</f>
        <v>44006</v>
      </c>
      <c r="G38" s="747">
        <f t="shared" ref="G38:G44" si="13">F38+1</f>
        <v>44007</v>
      </c>
      <c r="H38" s="747">
        <f t="shared" ref="H38:H44" si="14">G38+1</f>
        <v>44008</v>
      </c>
      <c r="I38" s="747">
        <f t="shared" ref="I38:I44" si="15">H38+1</f>
        <v>44009</v>
      </c>
      <c r="J38" s="161"/>
      <c r="K38" s="161"/>
      <c r="L38" s="161"/>
      <c r="U38" s="515"/>
      <c r="V38" s="515"/>
      <c r="W38" s="515"/>
      <c r="X38" s="515"/>
      <c r="Y38" s="515"/>
      <c r="Z38" s="515"/>
      <c r="AA38" s="515"/>
    </row>
    <row r="39" spans="2:27" ht="15" customHeight="1">
      <c r="B39" s="161"/>
      <c r="C39" s="748">
        <f>SUMIFS('TRADE LOG'!$T$15:$T$9733,closeDate,"&gt;="&amp;CALENDAR!C38,closeDate,"&lt;"&amp;D38,SIZE,"&gt;0")</f>
        <v>0</v>
      </c>
      <c r="D39" s="748">
        <f>SUMIFS('TRADE LOG'!$T$15:$T$9733,closeDate,"&gt;="&amp;CALENDAR!D38,closeDate,"&lt;"&amp;E38,SIZE,"&gt;0")</f>
        <v>0</v>
      </c>
      <c r="E39" s="748">
        <f>SUMIFS('TRADE LOG'!$T$15:$T$9733,closeDate,"&gt;="&amp;CALENDAR!E38,closeDate,"&lt;"&amp;F38,SIZE,"&gt;0")</f>
        <v>0</v>
      </c>
      <c r="F39" s="748">
        <f>SUMIFS('TRADE LOG'!$T$15:$T$9733,closeDate,"&gt;="&amp;CALENDAR!F38,closeDate,"&lt;"&amp;G38,SIZE,"&gt;0")</f>
        <v>0</v>
      </c>
      <c r="G39" s="748">
        <f>SUMIFS('TRADE LOG'!$T$15:$T$9733,closeDate,"&gt;="&amp;CALENDAR!G38,closeDate,"&lt;"&amp;H38,SIZE,"&gt;0")</f>
        <v>0</v>
      </c>
      <c r="H39" s="748">
        <f>SUMIFS('TRADE LOG'!$T$15:$T$9733,closeDate,"&gt;="&amp;CALENDAR!H38,closeDate,"&lt;"&amp;I38,SIZE,"&gt;0")</f>
        <v>0</v>
      </c>
      <c r="I39" s="748">
        <f>SUMIFS('TRADE LOG'!$T$15:$T$9733,closeDate,"&gt;="&amp;CALENDAR!I38,closeDate,"&lt;"&amp;I38+1,SIZE,"&gt;0")</f>
        <v>0</v>
      </c>
      <c r="J39" s="161"/>
      <c r="K39" s="161"/>
      <c r="L39" s="161"/>
      <c r="U39" s="515"/>
      <c r="V39" s="515"/>
      <c r="W39" s="515"/>
      <c r="X39" s="515"/>
      <c r="Y39" s="515"/>
      <c r="Z39" s="515"/>
      <c r="AA39" s="515"/>
    </row>
    <row r="40" spans="2:27" ht="15" customHeight="1" thickBot="1">
      <c r="B40" s="161"/>
      <c r="C40" s="749">
        <f>COUNTIFS(closeDate,"&gt;="&amp;CALENDAR!C38,closeDate,"&lt;"&amp;D38,SIZE,"&gt;0")</f>
        <v>0</v>
      </c>
      <c r="D40" s="749">
        <f>COUNTIFS(closeDate,"&gt;="&amp;CALENDAR!D38,closeDate,"&lt;"&amp;E38,SIZE,"&gt;0")</f>
        <v>0</v>
      </c>
      <c r="E40" s="749">
        <f>COUNTIFS(closeDate,"&gt;="&amp;CALENDAR!E38,closeDate,"&lt;"&amp;F38,SIZE,"&gt;0")</f>
        <v>0</v>
      </c>
      <c r="F40" s="749">
        <f>COUNTIFS(closeDate,"&gt;="&amp;CALENDAR!F38,closeDate,"&lt;"&amp;G38,SIZE,"&gt;0")</f>
        <v>0</v>
      </c>
      <c r="G40" s="749">
        <f>COUNTIFS(closeDate,"&gt;="&amp;CALENDAR!G38,closeDate,"&lt;"&amp;H38,SIZE,"&gt;0")</f>
        <v>0</v>
      </c>
      <c r="H40" s="749">
        <f>COUNTIFS(closeDate,"&gt;="&amp;CALENDAR!H38,closeDate,"&lt;"&amp;I38,SIZE,"&gt;0")</f>
        <v>0</v>
      </c>
      <c r="I40" s="749">
        <f>COUNTIFS(closeDate,"&gt;="&amp;CALENDAR!I38,closeDate,"&lt;"&amp;(I38+1),SIZE,"&gt;0")</f>
        <v>0</v>
      </c>
      <c r="J40" s="161"/>
      <c r="K40" s="161"/>
      <c r="L40" s="161"/>
      <c r="U40" s="515"/>
      <c r="V40" s="515"/>
      <c r="W40" s="515"/>
      <c r="X40" s="515"/>
      <c r="Y40" s="515"/>
      <c r="Z40" s="515"/>
      <c r="AA40" s="515"/>
    </row>
    <row r="41" spans="2:27" ht="15" customHeight="1" thickTop="1">
      <c r="B41" s="161"/>
      <c r="C41" s="747">
        <f>IFERROR(IF(MONTH(C27)&lt;&gt;MONTH(I38+1),"",(I38+1)),"")</f>
        <v>44010</v>
      </c>
      <c r="D41" s="747">
        <f>IFERROR(IF(MONTH(C27)&lt;&gt;MONTH(C41+1),"",(C41+1)),"")</f>
        <v>44011</v>
      </c>
      <c r="E41" s="747">
        <f>IFERROR(IF(MONTH(C27)&lt;&gt;MONTH(D41+1),"",(D41+1)),"")</f>
        <v>44012</v>
      </c>
      <c r="F41" s="747" t="str">
        <f>IFERROR(IF(MONTH(C27)&lt;&gt;MONTH(E41+1),"",(E41+1)),"")</f>
        <v/>
      </c>
      <c r="G41" s="747" t="str">
        <f>IFERROR(IF(MONTH(C27)&lt;&gt;MONTH(F41+1),"",(F41+1)),"")</f>
        <v/>
      </c>
      <c r="H41" s="747" t="str">
        <f>IFERROR(IF(MONTH(C27)&lt;&gt;MONTH(G41+1),"",(G41+1)),"")</f>
        <v/>
      </c>
      <c r="I41" s="747" t="str">
        <f>IFERROR(IF(MONTH(C27)&lt;&gt;MONTH(H41+1),"",(H41+1)),"")</f>
        <v/>
      </c>
      <c r="J41" s="161"/>
      <c r="K41" s="161"/>
      <c r="L41" s="161"/>
      <c r="U41" s="515"/>
      <c r="V41" s="515"/>
      <c r="W41" s="515"/>
      <c r="X41" s="515"/>
      <c r="Y41" s="515"/>
      <c r="Z41" s="515"/>
      <c r="AA41" s="515"/>
    </row>
    <row r="42" spans="2:27" ht="15" customHeight="1">
      <c r="B42" s="161"/>
      <c r="C42" s="748">
        <f>SUMIFS('TRADE LOG'!$T$15:$T$9733,closeDate,"&gt;="&amp;CALENDAR!C41,closeDate,"&lt;"&amp;C41+1,SIZE,"&gt;0")</f>
        <v>0</v>
      </c>
      <c r="D42" s="748">
        <f>SUMIFS('TRADE LOG'!$T$15:$T$9733,closeDate,"&gt;="&amp;CALENDAR!D41,closeDate,"&lt;"&amp;D41+1,SIZE,"&gt;0")</f>
        <v>0</v>
      </c>
      <c r="E42" s="748">
        <f>SUMIFS('TRADE LOG'!$T$15:$T$9733,closeDate,"&gt;="&amp;CALENDAR!E41,closeDate,"&lt;"&amp;E41+1,SIZE,"&gt;0")</f>
        <v>0</v>
      </c>
      <c r="F42" s="748">
        <f>SUMIFS('TRADE LOG'!$T$15:$T$9733,closeDate,"&gt;="&amp;CALENDAR!F41,closeDate,"&lt;"&amp;F41+1,SIZE,"&gt;0")</f>
        <v>0</v>
      </c>
      <c r="G42" s="748">
        <f>SUMIFS('TRADE LOG'!$T$15:$T$9733,closeDate,"&gt;="&amp;CALENDAR!G41,closeDate,"&lt;"&amp;G41+1,SIZE,"&gt;0")</f>
        <v>0</v>
      </c>
      <c r="H42" s="748">
        <f>SUMIFS('TRADE LOG'!$T$15:$T$9733,closeDate,"&gt;="&amp;CALENDAR!H41,closeDate,"&lt;"&amp;H41+1,SIZE,"&gt;0")</f>
        <v>0</v>
      </c>
      <c r="I42" s="748">
        <f>SUMIFS('TRADE LOG'!$T$15:$T$9733,closeDate,"&gt;="&amp;CALENDAR!I41,closeDate,"&lt;"&amp;I41+1,SIZE,"&gt;0")</f>
        <v>0</v>
      </c>
      <c r="J42" s="161"/>
      <c r="K42" s="161"/>
      <c r="L42" s="161"/>
      <c r="U42" s="515"/>
      <c r="V42" s="515"/>
      <c r="W42" s="515"/>
      <c r="X42" s="515"/>
      <c r="Y42" s="515"/>
      <c r="Z42" s="515"/>
      <c r="AA42" s="515"/>
    </row>
    <row r="43" spans="2:27" ht="15" customHeight="1" thickBot="1">
      <c r="B43" s="161"/>
      <c r="C43" s="749">
        <f>COUNTIFS(closeDate,"&gt;="&amp;CALENDAR!C41,closeDate,"&lt;"&amp;C41+1,SIZE,"&gt;0")</f>
        <v>0</v>
      </c>
      <c r="D43" s="749">
        <f>COUNTIFS(closeDate,"&gt;="&amp;CALENDAR!D41,closeDate,"&lt;"&amp;D41+1,SIZE,"&gt;0")</f>
        <v>0</v>
      </c>
      <c r="E43" s="749">
        <f>COUNTIFS(closeDate,"&gt;="&amp;CALENDAR!E41,closeDate,"&lt;"&amp;E41+1,SIZE,"&gt;0")</f>
        <v>0</v>
      </c>
      <c r="F43" s="749">
        <f>COUNTIFS(closeDate,"&gt;="&amp;CALENDAR!F41,closeDate,"&lt;"&amp;F41+1,SIZE,"&gt;0")</f>
        <v>0</v>
      </c>
      <c r="G43" s="749">
        <f>COUNTIFS(closeDate,"&gt;="&amp;CALENDAR!G41,closeDate,"&lt;"&amp;G41+1,SIZE,"&gt;0")</f>
        <v>0</v>
      </c>
      <c r="H43" s="749">
        <f>COUNTIFS(closeDate,"&gt;="&amp;CALENDAR!H41,closeDate,"&lt;"&amp;H41+1,SIZE,"&gt;0")</f>
        <v>0</v>
      </c>
      <c r="I43" s="749">
        <f>COUNTIFS(closeDate,"&gt;="&amp;CALENDAR!I41,closeDate,"&lt;"&amp;(I41+1),SIZE,"&gt;0")</f>
        <v>0</v>
      </c>
      <c r="J43" s="161"/>
      <c r="K43" s="161"/>
      <c r="L43" s="161"/>
      <c r="U43" s="515"/>
      <c r="V43" s="515"/>
      <c r="W43" s="515"/>
      <c r="X43" s="515"/>
      <c r="Y43" s="515"/>
      <c r="Z43" s="515"/>
      <c r="AA43" s="515"/>
    </row>
    <row r="44" spans="2:27" ht="15" customHeight="1" thickTop="1">
      <c r="B44" s="161"/>
      <c r="C44" s="747" t="str">
        <f>IFERROR(IF(MONTH(C27)&lt;&gt;MONTH(I41+1),"",(I41+1)),"")</f>
        <v/>
      </c>
      <c r="D44" s="747" t="str">
        <f>IFERROR(IF(MONTH(C27)&lt;&gt;MONTH(C44+1),"",(C44+1)),"")</f>
        <v/>
      </c>
      <c r="E44" s="747" t="str">
        <f>IFERROR(IF(MONTH(C27)&lt;&gt;MONTH(D44+1),"",(D44+1)),"")</f>
        <v/>
      </c>
      <c r="F44" s="747" t="str">
        <f>IFERROR(IF(MONTH(C27)&lt;&gt;MONTH(E44+1),"",(E44+1)),"")</f>
        <v/>
      </c>
      <c r="G44" s="747" t="str">
        <f>IFERROR(IF(MONTH(C27)&lt;&gt;MONTH(F44+1),"",(F44+1)),"")</f>
        <v/>
      </c>
      <c r="H44" s="747" t="str">
        <f>IFERROR(IF(MONTH(C27)&lt;&gt;MONTH(G44+1),"",(G44+1)),"")</f>
        <v/>
      </c>
      <c r="I44" s="747" t="str">
        <f>IFERROR(IF(MONTH(C27)&lt;&gt;MONTH(H44+1),"",(H44+1)),"")</f>
        <v/>
      </c>
      <c r="J44" s="161"/>
      <c r="K44" s="161"/>
      <c r="L44" s="161"/>
      <c r="U44" s="515"/>
      <c r="V44" s="515"/>
      <c r="W44" s="515"/>
      <c r="X44" s="515"/>
      <c r="Y44" s="515"/>
      <c r="Z44" s="515"/>
      <c r="AA44" s="515"/>
    </row>
    <row r="45" spans="2:27" ht="15" customHeight="1">
      <c r="B45" s="161"/>
      <c r="C45" s="748">
        <f>SUMIFS('TRADE LOG'!$T$15:$T$9733,closeDate,"&gt;="&amp;CALENDAR!C44,closeDate,"&lt;"&amp;C44+1,SIZE,"&gt;0")</f>
        <v>0</v>
      </c>
      <c r="D45" s="748">
        <f>SUMIFS('TRADE LOG'!$T$15:$T$9733,closeDate,"&gt;="&amp;CALENDAR!D44,closeDate,"&lt;"&amp;D44+1,SIZE,"&gt;0")</f>
        <v>0</v>
      </c>
      <c r="E45" s="748">
        <f>SUMIFS('TRADE LOG'!$T$15:$T$9733,closeDate,"&gt;="&amp;CALENDAR!E44,closeDate,"&lt;"&amp;E44+1,SIZE,"&gt;0")</f>
        <v>0</v>
      </c>
      <c r="F45" s="748">
        <f>SUMIFS('TRADE LOG'!$T$15:$T$9733,closeDate,"&gt;="&amp;CALENDAR!F44,closeDate,"&lt;"&amp;F44+1,SIZE,"&gt;0")</f>
        <v>0</v>
      </c>
      <c r="G45" s="748">
        <f>SUMIFS('TRADE LOG'!$T$15:$T$9733,closeDate,"&gt;="&amp;CALENDAR!G44,closeDate,"&lt;"&amp;G44+1,SIZE,"&gt;0")</f>
        <v>0</v>
      </c>
      <c r="H45" s="748">
        <f>SUMIFS('TRADE LOG'!$T$15:$T$9733,closeDate,"&gt;="&amp;CALENDAR!H44,closeDate,"&lt;"&amp;H44+1,SIZE,"&gt;0")</f>
        <v>0</v>
      </c>
      <c r="I45" s="748">
        <f>SUMIFS('TRADE LOG'!$T$15:$T$9733,closeDate,"&gt;="&amp;CALENDAR!I44,closeDate,"&lt;"&amp;I44+1,SIZE,"&gt;0")</f>
        <v>0</v>
      </c>
      <c r="J45" s="161"/>
      <c r="K45" s="161"/>
      <c r="L45" s="161"/>
      <c r="U45" s="515"/>
      <c r="V45" s="515"/>
      <c r="W45" s="515"/>
      <c r="X45" s="515"/>
      <c r="Y45" s="515"/>
      <c r="Z45" s="515"/>
      <c r="AA45" s="515"/>
    </row>
    <row r="46" spans="2:27" ht="15" customHeight="1">
      <c r="B46" s="161"/>
      <c r="C46" s="750">
        <f>COUNTIFS(closeDate,"&gt;="&amp;CALENDAR!C44,closeDate,"&lt;"&amp;C44+1,SIZE,"&gt;0")</f>
        <v>0</v>
      </c>
      <c r="D46" s="750">
        <f>COUNTIFS(closeDate,"&gt;="&amp;CALENDAR!D44,closeDate,"&lt;"&amp;D44+1,SIZE,"&gt;0")</f>
        <v>0</v>
      </c>
      <c r="E46" s="750">
        <f>COUNTIFS(closeDate,"&gt;="&amp;CALENDAR!E44,closeDate,"&lt;"&amp;E44+1,SIZE,"&gt;0")</f>
        <v>0</v>
      </c>
      <c r="F46" s="750">
        <f>COUNTIFS(closeDate,"&gt;="&amp;CALENDAR!F44,closeDate,"&lt;"&amp;F44+1,SIZE,"&gt;0")</f>
        <v>0</v>
      </c>
      <c r="G46" s="750">
        <f>COUNTIFS(closeDate,"&gt;="&amp;CALENDAR!G44,closeDate,"&lt;"&amp;G44+1,SIZE,"&gt;0")</f>
        <v>0</v>
      </c>
      <c r="H46" s="750">
        <f>COUNTIFS(closeDate,"&gt;="&amp;CALENDAR!H44,closeDate,"&lt;"&amp;H44+1,SIZE,"&gt;0")</f>
        <v>0</v>
      </c>
      <c r="I46" s="750">
        <f>COUNTIFS(closeDate,"&gt;="&amp;CALENDAR!I44,closeDate,"&lt;"&amp;(I44+1),SIZE,"&gt;0")</f>
        <v>0</v>
      </c>
      <c r="J46" s="161"/>
      <c r="K46" s="161"/>
      <c r="L46" s="161"/>
      <c r="U46" s="515"/>
      <c r="V46" s="515"/>
      <c r="W46" s="515"/>
      <c r="X46" s="515"/>
      <c r="Y46" s="515"/>
      <c r="Z46" s="515"/>
      <c r="AA46" s="515"/>
    </row>
    <row r="47" spans="2:27" ht="18" customHeight="1" thickBot="1">
      <c r="B47" s="161"/>
      <c r="C47" s="751"/>
      <c r="D47" s="751"/>
      <c r="E47" s="751"/>
      <c r="F47" s="751"/>
      <c r="G47" s="751"/>
      <c r="H47" s="751"/>
      <c r="I47" s="751"/>
      <c r="J47" s="161"/>
      <c r="K47" s="161"/>
      <c r="L47" s="161"/>
      <c r="U47" s="515"/>
      <c r="V47" s="515"/>
      <c r="W47" s="515"/>
      <c r="X47" s="515"/>
      <c r="Y47" s="515"/>
      <c r="Z47" s="515"/>
      <c r="AA47" s="515"/>
    </row>
    <row r="48" spans="2:27" ht="21.95" customHeight="1">
      <c r="B48" s="161"/>
      <c r="C48" s="752">
        <f>EOMONTH(C27,0)+1</f>
        <v>44013</v>
      </c>
      <c r="D48" s="753"/>
      <c r="E48" s="754"/>
      <c r="F48" s="755"/>
      <c r="G48" s="756"/>
      <c r="H48" s="756"/>
      <c r="I48" s="756"/>
      <c r="J48" s="161"/>
      <c r="K48" s="161"/>
      <c r="L48" s="161"/>
      <c r="U48" s="515"/>
      <c r="V48" s="515"/>
      <c r="W48" s="515"/>
      <c r="X48" s="515"/>
      <c r="Y48" s="515"/>
      <c r="Z48" s="515"/>
      <c r="AA48" s="515"/>
    </row>
    <row r="49" spans="2:27" ht="24.95" customHeight="1" thickBot="1">
      <c r="B49" s="161"/>
      <c r="C49" s="757" t="s">
        <v>781</v>
      </c>
      <c r="D49" s="757" t="s">
        <v>782</v>
      </c>
      <c r="E49" s="757" t="s">
        <v>783</v>
      </c>
      <c r="F49" s="757" t="s">
        <v>784</v>
      </c>
      <c r="G49" s="757" t="s">
        <v>789</v>
      </c>
      <c r="H49" s="757" t="s">
        <v>785</v>
      </c>
      <c r="I49" s="757" t="s">
        <v>786</v>
      </c>
      <c r="J49" s="161"/>
      <c r="K49" s="161"/>
      <c r="L49" s="161"/>
      <c r="U49" s="515"/>
      <c r="V49" s="515"/>
      <c r="W49" s="515"/>
      <c r="X49" s="515"/>
      <c r="Y49" s="515"/>
      <c r="Z49" s="515"/>
      <c r="AA49" s="515"/>
    </row>
    <row r="50" spans="2:27" ht="15" customHeight="1" thickTop="1">
      <c r="B50" s="161"/>
      <c r="C50" s="747" t="str">
        <f>IF(MONTH(C48)&lt;&gt;MONTH((C48-WEEKDAY(C48,1)+1)),"",(C48-WEEKDAY(C48,1)+1))</f>
        <v/>
      </c>
      <c r="D50" s="747" t="str">
        <f>IF(MONTH(C48)&lt;&gt;MONTH((C48-WEEKDAY(C48,1)+2)),"",(C48-WEEKDAY(C48,1)+2))</f>
        <v/>
      </c>
      <c r="E50" s="747" t="str">
        <f>IF(MONTH(C48)&lt;&gt;MONTH((C48-WEEKDAY(C48,1)+3)),"",(C48-WEEKDAY(C48,1)+3))</f>
        <v/>
      </c>
      <c r="F50" s="747">
        <f>IF(MONTH(C48)&lt;&gt;MONTH((C48-WEEKDAY(C48,1)+4)),"",(C48-WEEKDAY(C48,1)+4))</f>
        <v>44013</v>
      </c>
      <c r="G50" s="747">
        <f>IF(MONTH(C48)&lt;&gt;MONTH((C48-WEEKDAY(C48,1)+5)),"",(C48-WEEKDAY(C48,1)+5))</f>
        <v>44014</v>
      </c>
      <c r="H50" s="747">
        <f>IF(MONTH(C48)&lt;&gt;MONTH((C48-WEEKDAY(C48,1)+6)),"",(C48-WEEKDAY(C48,1)+6))</f>
        <v>44015</v>
      </c>
      <c r="I50" s="747">
        <f>IF(MONTH(C48)&lt;&gt;MONTH((C48-WEEKDAY(C48,1)+7)),"",(C48-WEEKDAY(C48,1)+7))</f>
        <v>44016</v>
      </c>
      <c r="J50" s="161"/>
      <c r="K50" s="161"/>
      <c r="L50" s="161"/>
      <c r="U50" s="515"/>
      <c r="V50" s="515"/>
      <c r="W50" s="515"/>
      <c r="X50" s="515"/>
      <c r="Y50" s="515"/>
      <c r="Z50" s="515"/>
      <c r="AA50" s="515"/>
    </row>
    <row r="51" spans="2:27" ht="15" customHeight="1">
      <c r="B51" s="161"/>
      <c r="C51" s="748">
        <f>SUMIFS('TRADE LOG'!$T$15:$T$9733,closeDate,"&gt;="&amp;CALENDAR!C50,closeDate,"&lt;"&amp;D50,SIZE,"&gt;0")</f>
        <v>0</v>
      </c>
      <c r="D51" s="748">
        <f>SUMIFS('TRADE LOG'!$T$15:$T$9733,closeDate,"&gt;="&amp;CALENDAR!D50,closeDate,"&lt;"&amp;E50,SIZE,"&gt;0")</f>
        <v>0</v>
      </c>
      <c r="E51" s="748">
        <f>SUMIFS('TRADE LOG'!$T$15:$T$9733,closeDate,"&gt;="&amp;CALENDAR!E50,closeDate,"&lt;"&amp;F50,SIZE,"&gt;0")</f>
        <v>0</v>
      </c>
      <c r="F51" s="748">
        <f>SUMIFS('TRADE LOG'!$T$15:$T$9733,closeDate,"&gt;="&amp;CALENDAR!F50,closeDate,"&lt;"&amp;G50,SIZE,"&gt;0")</f>
        <v>0</v>
      </c>
      <c r="G51" s="748">
        <f>SUMIFS('TRADE LOG'!$T$15:$T$9733,closeDate,"&gt;="&amp;CALENDAR!G50,closeDate,"&lt;"&amp;H50,SIZE,"&gt;0")</f>
        <v>0</v>
      </c>
      <c r="H51" s="748">
        <f>SUMIFS('TRADE LOG'!$T$15:$T$9733,closeDate,"&gt;="&amp;CALENDAR!H50,closeDate,"&lt;"&amp;I50,SIZE,"&gt;0")</f>
        <v>0</v>
      </c>
      <c r="I51" s="748">
        <f>SUMIFS('TRADE LOG'!$T$15:$T$9733,closeDate,"&gt;="&amp;CALENDAR!I50,closeDate,"&lt;"&amp;C53,SIZE,"&gt;0")</f>
        <v>0</v>
      </c>
      <c r="J51" s="161"/>
      <c r="K51" s="161"/>
      <c r="L51" s="161"/>
      <c r="U51" s="515"/>
      <c r="V51" s="515"/>
      <c r="W51" s="515"/>
      <c r="X51" s="515"/>
      <c r="Y51" s="515"/>
      <c r="Z51" s="515"/>
      <c r="AA51" s="515"/>
    </row>
    <row r="52" spans="2:27" ht="15" customHeight="1" thickBot="1">
      <c r="B52" s="161"/>
      <c r="C52" s="749">
        <f>COUNTIFS(closeDate,"&gt;="&amp;CALENDAR!C50,closeDate,"&lt;"&amp;D50,SIZE,"&gt;0")</f>
        <v>0</v>
      </c>
      <c r="D52" s="749">
        <f>COUNTIFS(closeDate,"&gt;="&amp;CALENDAR!D50,closeDate,"&lt;"&amp;E50,SIZE,"&gt;0")</f>
        <v>0</v>
      </c>
      <c r="E52" s="749">
        <f>COUNTIFS(closeDate,"&gt;="&amp;CALENDAR!E50,closeDate,"&lt;"&amp;F50,SIZE,"&gt;0")</f>
        <v>0</v>
      </c>
      <c r="F52" s="749">
        <f>COUNTIFS(closeDate,"&gt;="&amp;CALENDAR!F50,closeDate,"&lt;"&amp;G50,SIZE,"&gt;0")</f>
        <v>0</v>
      </c>
      <c r="G52" s="749">
        <f>COUNTIFS(closeDate,"&gt;="&amp;CALENDAR!G50,closeDate,"&lt;"&amp;H50,SIZE,"&gt;0")</f>
        <v>0</v>
      </c>
      <c r="H52" s="749">
        <f>COUNTIFS(closeDate,"&gt;="&amp;CALENDAR!H50,closeDate,"&lt;"&amp;I50,SIZE,"&gt;0")</f>
        <v>0</v>
      </c>
      <c r="I52" s="749">
        <f>COUNTIFS(closeDate,"&gt;="&amp;CALENDAR!I50,closeDate,"&lt;"&amp;(I50+1),SIZE,"&gt;0")</f>
        <v>0</v>
      </c>
      <c r="J52" s="161"/>
      <c r="K52" s="161"/>
      <c r="L52" s="161"/>
      <c r="U52" s="515"/>
      <c r="V52" s="515"/>
      <c r="W52" s="515"/>
      <c r="X52" s="515"/>
      <c r="Y52" s="515"/>
      <c r="Z52" s="515"/>
      <c r="AA52" s="515"/>
    </row>
    <row r="53" spans="2:27" ht="15" customHeight="1" thickTop="1">
      <c r="B53" s="161"/>
      <c r="C53" s="747">
        <f>I50+1</f>
        <v>44017</v>
      </c>
      <c r="D53" s="747">
        <f>C53+1</f>
        <v>44018</v>
      </c>
      <c r="E53" s="747">
        <f t="shared" ref="E53:E59" si="16">D53+1</f>
        <v>44019</v>
      </c>
      <c r="F53" s="747">
        <f t="shared" ref="F53:F59" si="17">E53+1</f>
        <v>44020</v>
      </c>
      <c r="G53" s="747">
        <f t="shared" ref="G53:G59" si="18">F53+1</f>
        <v>44021</v>
      </c>
      <c r="H53" s="747">
        <f t="shared" ref="H53:H59" si="19">G53+1</f>
        <v>44022</v>
      </c>
      <c r="I53" s="747">
        <f t="shared" ref="I53:I59" si="20">H53+1</f>
        <v>44023</v>
      </c>
      <c r="J53" s="161"/>
      <c r="K53" s="161"/>
      <c r="L53" s="161"/>
      <c r="U53" s="515"/>
      <c r="V53" s="515"/>
      <c r="W53" s="515"/>
      <c r="X53" s="515"/>
      <c r="Y53" s="515"/>
      <c r="Z53" s="515"/>
      <c r="AA53" s="515"/>
    </row>
    <row r="54" spans="2:27" ht="15" customHeight="1">
      <c r="B54" s="161"/>
      <c r="C54" s="748">
        <f>SUMIFS('TRADE LOG'!$T$15:$T$9733,closeDate,"&gt;="&amp;CALENDAR!C53,closeDate,"&lt;"&amp;D53,SIZE,"&gt;0")</f>
        <v>0</v>
      </c>
      <c r="D54" s="748">
        <f>SUMIFS('TRADE LOG'!$T$15:$T$9733,closeDate,"&gt;="&amp;CALENDAR!D53,closeDate,"&lt;"&amp;E53,SIZE,"&gt;0")</f>
        <v>0</v>
      </c>
      <c r="E54" s="748">
        <f>SUMIFS('TRADE LOG'!$T$15:$T$9733,closeDate,"&gt;="&amp;CALENDAR!E53,closeDate,"&lt;"&amp;F53,SIZE,"&gt;0")</f>
        <v>0</v>
      </c>
      <c r="F54" s="748">
        <f>SUMIFS('TRADE LOG'!$T$15:$T$9733,closeDate,"&gt;="&amp;CALENDAR!F53,closeDate,"&lt;"&amp;G53,SIZE,"&gt;0")</f>
        <v>0</v>
      </c>
      <c r="G54" s="748">
        <f>SUMIFS('TRADE LOG'!$T$15:$T$9733,closeDate,"&gt;="&amp;CALENDAR!G53,closeDate,"&lt;"&amp;H53,SIZE,"&gt;0")</f>
        <v>0</v>
      </c>
      <c r="H54" s="748">
        <f>SUMIFS('TRADE LOG'!$T$15:$T$9733,closeDate,"&gt;="&amp;CALENDAR!H53,closeDate,"&lt;"&amp;I53,SIZE,"&gt;0")</f>
        <v>0</v>
      </c>
      <c r="I54" s="748">
        <f>SUMIFS('TRADE LOG'!$T$15:$T$9733,closeDate,"&gt;="&amp;CALENDAR!I53,closeDate,"&lt;"&amp;C56,SIZE,"&gt;0")</f>
        <v>0</v>
      </c>
      <c r="J54" s="161"/>
      <c r="K54" s="161"/>
      <c r="L54" s="161"/>
      <c r="U54" s="515"/>
      <c r="V54" s="515"/>
      <c r="W54" s="515"/>
      <c r="X54" s="515"/>
      <c r="Y54" s="515"/>
      <c r="Z54" s="515"/>
      <c r="AA54" s="515"/>
    </row>
    <row r="55" spans="2:27" ht="15" customHeight="1" thickBot="1">
      <c r="B55" s="161"/>
      <c r="C55" s="749">
        <f>COUNTIFS(closeDate,"&gt;="&amp;CALENDAR!C53,closeDate,"&lt;"&amp;D53,SIZE,"&gt;0")</f>
        <v>0</v>
      </c>
      <c r="D55" s="749">
        <f>COUNTIFS(closeDate,"&gt;="&amp;CALENDAR!D53,closeDate,"&lt;"&amp;E53,SIZE,"&gt;0")</f>
        <v>0</v>
      </c>
      <c r="E55" s="749">
        <f>COUNTIFS(closeDate,"&gt;="&amp;CALENDAR!E53,closeDate,"&lt;"&amp;F53,SIZE,"&gt;0")</f>
        <v>0</v>
      </c>
      <c r="F55" s="749">
        <f>COUNTIFS(closeDate,"&gt;="&amp;CALENDAR!F53,closeDate,"&lt;"&amp;G53,SIZE,"&gt;0")</f>
        <v>0</v>
      </c>
      <c r="G55" s="749">
        <f>COUNTIFS(closeDate,"&gt;="&amp;CALENDAR!G53,closeDate,"&lt;"&amp;H53,SIZE,"&gt;0")</f>
        <v>0</v>
      </c>
      <c r="H55" s="749">
        <f>COUNTIFS(closeDate,"&gt;="&amp;CALENDAR!H53,closeDate,"&lt;"&amp;I53,SIZE,"&gt;0")</f>
        <v>0</v>
      </c>
      <c r="I55" s="749">
        <f>COUNTIFS(closeDate,"&gt;="&amp;CALENDAR!I53,closeDate,"&lt;"&amp;(I53+1),SIZE,"&gt;0")</f>
        <v>0</v>
      </c>
      <c r="J55" s="161"/>
      <c r="K55" s="161"/>
      <c r="L55" s="161"/>
      <c r="U55" s="515"/>
      <c r="V55" s="515"/>
      <c r="W55" s="515"/>
      <c r="X55" s="515"/>
      <c r="Y55" s="515"/>
      <c r="Z55" s="515"/>
      <c r="AA55" s="515"/>
    </row>
    <row r="56" spans="2:27" ht="15" customHeight="1" thickTop="1">
      <c r="B56" s="161"/>
      <c r="C56" s="747">
        <f>I53+1</f>
        <v>44024</v>
      </c>
      <c r="D56" s="747">
        <f>C56+1</f>
        <v>44025</v>
      </c>
      <c r="E56" s="747">
        <f t="shared" ref="E56:E62" si="21">D56+1</f>
        <v>44026</v>
      </c>
      <c r="F56" s="747">
        <f t="shared" ref="F56:F62" si="22">E56+1</f>
        <v>44027</v>
      </c>
      <c r="G56" s="747">
        <f t="shared" ref="G56:G62" si="23">F56+1</f>
        <v>44028</v>
      </c>
      <c r="H56" s="747">
        <f t="shared" ref="H56:H62" si="24">G56+1</f>
        <v>44029</v>
      </c>
      <c r="I56" s="747">
        <f t="shared" ref="I56:I62" si="25">H56+1</f>
        <v>44030</v>
      </c>
      <c r="J56" s="161"/>
      <c r="K56" s="161"/>
      <c r="L56" s="161"/>
      <c r="U56" s="515"/>
      <c r="V56" s="515"/>
      <c r="W56" s="515"/>
      <c r="X56" s="515"/>
      <c r="Y56" s="515"/>
      <c r="Z56" s="515"/>
      <c r="AA56" s="515"/>
    </row>
    <row r="57" spans="2:27" ht="15" customHeight="1">
      <c r="B57" s="161"/>
      <c r="C57" s="748">
        <f>SUMIFS('TRADE LOG'!$T$15:$T$9733,closeDate,"&gt;="&amp;CALENDAR!C56,closeDate,"&lt;"&amp;D56,SIZE,"&gt;0")</f>
        <v>0</v>
      </c>
      <c r="D57" s="748">
        <f>SUMIFS('TRADE LOG'!$T$15:$T$9733,closeDate,"&gt;="&amp;CALENDAR!D56,closeDate,"&lt;"&amp;E56,SIZE,"&gt;0")</f>
        <v>0</v>
      </c>
      <c r="E57" s="748">
        <f>SUMIFS('TRADE LOG'!$T$15:$T$9733,closeDate,"&gt;="&amp;CALENDAR!E56,closeDate,"&lt;"&amp;F56,SIZE,"&gt;0")</f>
        <v>0</v>
      </c>
      <c r="F57" s="748">
        <f>SUMIFS('TRADE LOG'!$T$15:$T$9733,closeDate,"&gt;="&amp;CALENDAR!F56,closeDate,"&lt;"&amp;G56,SIZE,"&gt;0")</f>
        <v>0</v>
      </c>
      <c r="G57" s="748">
        <f>SUMIFS('TRADE LOG'!$T$15:$T$9733,closeDate,"&gt;="&amp;CALENDAR!G56,closeDate,"&lt;"&amp;H56,SIZE,"&gt;0")</f>
        <v>0</v>
      </c>
      <c r="H57" s="748">
        <f>SUMIFS('TRADE LOG'!$T$15:$T$9733,closeDate,"&gt;="&amp;CALENDAR!H56,closeDate,"&lt;"&amp;I56,SIZE,"&gt;0")</f>
        <v>0</v>
      </c>
      <c r="I57" s="748">
        <f>SUMIFS('TRADE LOG'!$T$15:$T$9733,closeDate,"&gt;="&amp;CALENDAR!I56,closeDate,"&lt;"&amp;C59,SIZE,"&gt;0")</f>
        <v>0</v>
      </c>
      <c r="J57" s="161"/>
      <c r="K57" s="161"/>
      <c r="L57" s="161"/>
      <c r="U57" s="515"/>
      <c r="V57" s="515"/>
      <c r="W57" s="515"/>
      <c r="X57" s="515"/>
      <c r="Y57" s="515"/>
      <c r="Z57" s="515"/>
      <c r="AA57" s="515"/>
    </row>
    <row r="58" spans="2:27" ht="15" customHeight="1" thickBot="1">
      <c r="B58" s="161"/>
      <c r="C58" s="749">
        <f>COUNTIFS(closeDate,"&gt;="&amp;CALENDAR!C56,closeDate,"&lt;"&amp;D56,SIZE,"&gt;0")</f>
        <v>0</v>
      </c>
      <c r="D58" s="749">
        <f>COUNTIFS(closeDate,"&gt;="&amp;CALENDAR!D56,closeDate,"&lt;"&amp;E56,SIZE,"&gt;0")</f>
        <v>0</v>
      </c>
      <c r="E58" s="749">
        <f>COUNTIFS(closeDate,"&gt;="&amp;CALENDAR!E56,closeDate,"&lt;"&amp;F56,SIZE,"&gt;0")</f>
        <v>0</v>
      </c>
      <c r="F58" s="749">
        <f>COUNTIFS(closeDate,"&gt;="&amp;CALENDAR!F56,closeDate,"&lt;"&amp;G56,SIZE,"&gt;0")</f>
        <v>0</v>
      </c>
      <c r="G58" s="749">
        <f>COUNTIFS(closeDate,"&gt;="&amp;CALENDAR!G56,closeDate,"&lt;"&amp;H56,SIZE,"&gt;0")</f>
        <v>0</v>
      </c>
      <c r="H58" s="749">
        <f>COUNTIFS(closeDate,"&gt;="&amp;CALENDAR!H56,closeDate,"&lt;"&amp;I56,SIZE,"&gt;0")</f>
        <v>0</v>
      </c>
      <c r="I58" s="749">
        <f>COUNTIFS(closeDate,"&gt;="&amp;CALENDAR!I56,closeDate,"&lt;"&amp;(I56+1),SIZE,"&gt;0")</f>
        <v>0</v>
      </c>
      <c r="J58" s="161"/>
      <c r="K58" s="161"/>
      <c r="L58" s="161"/>
      <c r="U58" s="515"/>
      <c r="V58" s="515"/>
      <c r="W58" s="515"/>
      <c r="X58" s="515"/>
      <c r="Y58" s="515"/>
      <c r="Z58" s="515"/>
      <c r="AA58" s="515"/>
    </row>
    <row r="59" spans="2:27" ht="15" customHeight="1" thickTop="1">
      <c r="B59" s="161"/>
      <c r="C59" s="747">
        <f>I56+1</f>
        <v>44031</v>
      </c>
      <c r="D59" s="747">
        <f>C59+1</f>
        <v>44032</v>
      </c>
      <c r="E59" s="747">
        <f t="shared" ref="E59:E65" si="26">D59+1</f>
        <v>44033</v>
      </c>
      <c r="F59" s="747">
        <f t="shared" ref="F59:F65" si="27">E59+1</f>
        <v>44034</v>
      </c>
      <c r="G59" s="747">
        <f t="shared" ref="G59:G65" si="28">F59+1</f>
        <v>44035</v>
      </c>
      <c r="H59" s="747">
        <f t="shared" ref="H59:H65" si="29">G59+1</f>
        <v>44036</v>
      </c>
      <c r="I59" s="747">
        <f t="shared" ref="I59:I65" si="30">H59+1</f>
        <v>44037</v>
      </c>
      <c r="J59" s="161"/>
      <c r="K59" s="161"/>
      <c r="L59" s="161"/>
      <c r="U59" s="515"/>
      <c r="V59" s="515"/>
      <c r="W59" s="515"/>
      <c r="X59" s="515"/>
      <c r="Y59" s="515"/>
      <c r="Z59" s="515"/>
      <c r="AA59" s="515"/>
    </row>
    <row r="60" spans="2:27" ht="15" customHeight="1">
      <c r="B60" s="161"/>
      <c r="C60" s="748">
        <f>SUMIFS('TRADE LOG'!$T$15:$T$9733,closeDate,"&gt;="&amp;CALENDAR!C59,closeDate,"&lt;"&amp;D59,SIZE,"&gt;0")</f>
        <v>0</v>
      </c>
      <c r="D60" s="748">
        <f>SUMIFS('TRADE LOG'!$T$15:$T$9733,closeDate,"&gt;="&amp;CALENDAR!D59,closeDate,"&lt;"&amp;E59,SIZE,"&gt;0")</f>
        <v>0</v>
      </c>
      <c r="E60" s="748">
        <f>SUMIFS('TRADE LOG'!$T$15:$T$9733,closeDate,"&gt;="&amp;CALENDAR!E59,closeDate,"&lt;"&amp;F59,SIZE,"&gt;0")</f>
        <v>0</v>
      </c>
      <c r="F60" s="748">
        <f>SUMIFS('TRADE LOG'!$T$15:$T$9733,closeDate,"&gt;="&amp;CALENDAR!F59,closeDate,"&lt;"&amp;G59,SIZE,"&gt;0")</f>
        <v>0</v>
      </c>
      <c r="G60" s="748">
        <f>SUMIFS('TRADE LOG'!$T$15:$T$9733,closeDate,"&gt;="&amp;CALENDAR!G59,closeDate,"&lt;"&amp;H59,SIZE,"&gt;0")</f>
        <v>0</v>
      </c>
      <c r="H60" s="748">
        <f>SUMIFS('TRADE LOG'!$T$15:$T$9733,closeDate,"&gt;="&amp;CALENDAR!H59,closeDate,"&lt;"&amp;I59,SIZE,"&gt;0")</f>
        <v>0</v>
      </c>
      <c r="I60" s="748">
        <f>SUMIFS('TRADE LOG'!$T$15:$T$9733,closeDate,"&gt;="&amp;CALENDAR!I59,closeDate,"&lt;"&amp;I59+1,SIZE,"&gt;0")</f>
        <v>0</v>
      </c>
      <c r="J60" s="161"/>
      <c r="K60" s="161"/>
      <c r="L60" s="161"/>
      <c r="U60" s="515"/>
      <c r="V60" s="515"/>
      <c r="W60" s="515"/>
      <c r="X60" s="515"/>
      <c r="Y60" s="515"/>
      <c r="Z60" s="515"/>
      <c r="AA60" s="515"/>
    </row>
    <row r="61" spans="2:27" ht="15" customHeight="1" thickBot="1">
      <c r="B61" s="161"/>
      <c r="C61" s="749">
        <f>COUNTIFS(closeDate,"&gt;="&amp;CALENDAR!C59,closeDate,"&lt;"&amp;D59,SIZE,"&gt;0")</f>
        <v>0</v>
      </c>
      <c r="D61" s="749">
        <f>COUNTIFS(closeDate,"&gt;="&amp;CALENDAR!D59,closeDate,"&lt;"&amp;E59,SIZE,"&gt;0")</f>
        <v>0</v>
      </c>
      <c r="E61" s="749">
        <f>COUNTIFS(closeDate,"&gt;="&amp;CALENDAR!E59,closeDate,"&lt;"&amp;F59,SIZE,"&gt;0")</f>
        <v>0</v>
      </c>
      <c r="F61" s="749">
        <f>COUNTIFS(closeDate,"&gt;="&amp;CALENDAR!F59,closeDate,"&lt;"&amp;G59,SIZE,"&gt;0")</f>
        <v>0</v>
      </c>
      <c r="G61" s="749">
        <f>COUNTIFS(closeDate,"&gt;="&amp;CALENDAR!G59,closeDate,"&lt;"&amp;H59,SIZE,"&gt;0")</f>
        <v>0</v>
      </c>
      <c r="H61" s="749">
        <f>COUNTIFS(closeDate,"&gt;="&amp;CALENDAR!H59,closeDate,"&lt;"&amp;I59,SIZE,"&gt;0")</f>
        <v>0</v>
      </c>
      <c r="I61" s="749">
        <f>COUNTIFS(closeDate,"&gt;="&amp;CALENDAR!I59,closeDate,"&lt;"&amp;(I59+1),SIZE,"&gt;0")</f>
        <v>0</v>
      </c>
      <c r="J61" s="161"/>
      <c r="K61" s="161"/>
      <c r="L61" s="161"/>
      <c r="U61" s="515"/>
      <c r="V61" s="515"/>
      <c r="W61" s="515"/>
      <c r="X61" s="515"/>
      <c r="Y61" s="515"/>
      <c r="Z61" s="515"/>
      <c r="AA61" s="515"/>
    </row>
    <row r="62" spans="2:27" ht="15" customHeight="1" thickTop="1">
      <c r="B62" s="161"/>
      <c r="C62" s="747">
        <f>IFERROR(IF(MONTH(C48)&lt;&gt;MONTH(I59+1),"",(I59+1)),"")</f>
        <v>44038</v>
      </c>
      <c r="D62" s="747">
        <f>IFERROR(IF(MONTH(C48)&lt;&gt;MONTH(C62+1),"",(C62+1)),"")</f>
        <v>44039</v>
      </c>
      <c r="E62" s="747">
        <f>IFERROR(IF(MONTH(C48)&lt;&gt;MONTH(D62+1),"",(D62+1)),"")</f>
        <v>44040</v>
      </c>
      <c r="F62" s="747">
        <f>IFERROR(IF(MONTH(C48)&lt;&gt;MONTH(E62+1),"",(E62+1)),"")</f>
        <v>44041</v>
      </c>
      <c r="G62" s="747">
        <f>IFERROR(IF(MONTH(C48)&lt;&gt;MONTH(F62+1),"",(F62+1)),"")</f>
        <v>44042</v>
      </c>
      <c r="H62" s="747">
        <f>IFERROR(IF(MONTH(C48)&lt;&gt;MONTH(G62+1),"",(G62+1)),"")</f>
        <v>44043</v>
      </c>
      <c r="I62" s="747" t="str">
        <f>IFERROR(IF(MONTH(C48)&lt;&gt;MONTH(H62+1),"",(H62+1)),"")</f>
        <v/>
      </c>
      <c r="J62" s="161"/>
      <c r="K62" s="161"/>
      <c r="L62" s="161"/>
      <c r="U62" s="515"/>
      <c r="V62" s="515"/>
      <c r="W62" s="515"/>
      <c r="X62" s="515"/>
      <c r="Y62" s="515"/>
      <c r="Z62" s="515"/>
      <c r="AA62" s="515"/>
    </row>
    <row r="63" spans="2:27" ht="15" customHeight="1">
      <c r="B63" s="161"/>
      <c r="C63" s="748">
        <f>SUMIFS('TRADE LOG'!$T$15:$T$9733,closeDate,"&gt;="&amp;CALENDAR!C62,closeDate,"&lt;"&amp;C62+1,SIZE,"&gt;0")</f>
        <v>0</v>
      </c>
      <c r="D63" s="748">
        <f>SUMIFS('TRADE LOG'!$T$15:$T$9733,closeDate,"&gt;="&amp;CALENDAR!D62,closeDate,"&lt;"&amp;D62+1,SIZE,"&gt;0")</f>
        <v>0</v>
      </c>
      <c r="E63" s="748">
        <f>SUMIFS('TRADE LOG'!$T$15:$T$9733,closeDate,"&gt;="&amp;CALENDAR!E62,closeDate,"&lt;"&amp;E62+1,SIZE,"&gt;0")</f>
        <v>0</v>
      </c>
      <c r="F63" s="748">
        <f>SUMIFS('TRADE LOG'!$T$15:$T$9733,closeDate,"&gt;="&amp;CALENDAR!F62,closeDate,"&lt;"&amp;F62+1,SIZE,"&gt;0")</f>
        <v>0</v>
      </c>
      <c r="G63" s="748">
        <f>SUMIFS('TRADE LOG'!$T$15:$T$9733,closeDate,"&gt;="&amp;CALENDAR!G62,closeDate,"&lt;"&amp;G62+1,SIZE,"&gt;0")</f>
        <v>0</v>
      </c>
      <c r="H63" s="748">
        <f>SUMIFS('TRADE LOG'!$T$15:$T$9733,closeDate,"&gt;="&amp;CALENDAR!H62,closeDate,"&lt;"&amp;H62+1,SIZE,"&gt;0")</f>
        <v>0</v>
      </c>
      <c r="I63" s="748">
        <f>SUMIFS('TRADE LOG'!$T$15:$T$9733,closeDate,"&gt;="&amp;CALENDAR!I62,closeDate,"&lt;"&amp;I62+1,SIZE,"&gt;0")</f>
        <v>0</v>
      </c>
      <c r="J63" s="161"/>
      <c r="K63" s="161"/>
      <c r="L63" s="161"/>
      <c r="U63" s="515"/>
      <c r="V63" s="515"/>
      <c r="W63" s="515"/>
      <c r="X63" s="515"/>
      <c r="Y63" s="515"/>
      <c r="Z63" s="515"/>
      <c r="AA63" s="515"/>
    </row>
    <row r="64" spans="2:27" ht="15" customHeight="1" thickBot="1">
      <c r="B64" s="161"/>
      <c r="C64" s="749">
        <f>COUNTIFS(closeDate,"&gt;="&amp;CALENDAR!C62,closeDate,"&lt;"&amp;C62+1,SIZE,"&gt;0")</f>
        <v>0</v>
      </c>
      <c r="D64" s="749">
        <f>COUNTIFS(closeDate,"&gt;="&amp;CALENDAR!D62,closeDate,"&lt;"&amp;D62+1,SIZE,"&gt;0")</f>
        <v>0</v>
      </c>
      <c r="E64" s="749">
        <f>COUNTIFS(closeDate,"&gt;="&amp;CALENDAR!E62,closeDate,"&lt;"&amp;E62+1,SIZE,"&gt;0")</f>
        <v>0</v>
      </c>
      <c r="F64" s="749">
        <f>COUNTIFS(closeDate,"&gt;="&amp;CALENDAR!F62,closeDate,"&lt;"&amp;F62+1,SIZE,"&gt;0")</f>
        <v>0</v>
      </c>
      <c r="G64" s="749">
        <f>COUNTIFS(closeDate,"&gt;="&amp;CALENDAR!G62,closeDate,"&lt;"&amp;G62+1,SIZE,"&gt;0")</f>
        <v>0</v>
      </c>
      <c r="H64" s="749">
        <f>COUNTIFS(closeDate,"&gt;="&amp;CALENDAR!H62,closeDate,"&lt;"&amp;H62+1,SIZE,"&gt;0")</f>
        <v>0</v>
      </c>
      <c r="I64" s="749">
        <f>COUNTIFS(closeDate,"&gt;="&amp;CALENDAR!I62,closeDate,"&lt;"&amp;(I62+1),SIZE,"&gt;0")</f>
        <v>0</v>
      </c>
      <c r="J64" s="161"/>
      <c r="K64" s="161"/>
      <c r="L64" s="161"/>
      <c r="U64" s="515"/>
      <c r="V64" s="515"/>
      <c r="W64" s="515"/>
      <c r="X64" s="515"/>
      <c r="Y64" s="515"/>
      <c r="Z64" s="515"/>
      <c r="AA64" s="515"/>
    </row>
    <row r="65" spans="1:27" ht="15" customHeight="1" thickTop="1">
      <c r="B65" s="161"/>
      <c r="C65" s="747" t="str">
        <f>IFERROR(IF(MONTH(C48)&lt;&gt;MONTH(I62+1),"",(I62+1)),"")</f>
        <v/>
      </c>
      <c r="D65" s="747" t="str">
        <f>IFERROR(IF(MONTH(C48)&lt;&gt;MONTH(C65+1),"",(C65+1)),"")</f>
        <v/>
      </c>
      <c r="E65" s="747" t="str">
        <f>IFERROR(IF(MONTH(C48)&lt;&gt;MONTH(D65+1),"",(D65+1)),"")</f>
        <v/>
      </c>
      <c r="F65" s="747" t="str">
        <f>IFERROR(IF(MONTH(C48)&lt;&gt;MONTH(E65+1),"",(E65+1)),"")</f>
        <v/>
      </c>
      <c r="G65" s="747" t="str">
        <f>IFERROR(IF(MONTH(C48)&lt;&gt;MONTH(F65+1),"",(F65+1)),"")</f>
        <v/>
      </c>
      <c r="H65" s="747" t="str">
        <f>IFERROR(IF(MONTH(C48)&lt;&gt;MONTH(G65+1),"",(G65+1)),"")</f>
        <v/>
      </c>
      <c r="I65" s="747" t="str">
        <f>IFERROR(IF(MONTH(C48)&lt;&gt;MONTH(H65+1),"",(H65+1)),"")</f>
        <v/>
      </c>
      <c r="J65" s="161"/>
      <c r="K65" s="161"/>
      <c r="L65" s="161"/>
      <c r="U65" s="515"/>
      <c r="V65" s="515"/>
      <c r="W65" s="515"/>
      <c r="X65" s="515"/>
      <c r="Y65" s="515"/>
      <c r="Z65" s="515"/>
      <c r="AA65" s="515"/>
    </row>
    <row r="66" spans="1:27" ht="15" customHeight="1">
      <c r="B66" s="161"/>
      <c r="C66" s="748">
        <f>SUMIFS('TRADE LOG'!$T$15:$T$9733,closeDate,"&gt;="&amp;CALENDAR!C65,closeDate,"&lt;"&amp;C65+1,SIZE,"&gt;0")</f>
        <v>0</v>
      </c>
      <c r="D66" s="748">
        <f>SUMIFS('TRADE LOG'!$T$15:$T$9733,closeDate,"&gt;="&amp;CALENDAR!D65,closeDate,"&lt;"&amp;D65+1,SIZE,"&gt;0")</f>
        <v>0</v>
      </c>
      <c r="E66" s="748">
        <f>SUMIFS('TRADE LOG'!$T$15:$T$9733,closeDate,"&gt;="&amp;CALENDAR!E65,closeDate,"&lt;"&amp;E65+1,SIZE,"&gt;0")</f>
        <v>0</v>
      </c>
      <c r="F66" s="748">
        <f>SUMIFS('TRADE LOG'!$T$15:$T$9733,closeDate,"&gt;="&amp;CALENDAR!F65,closeDate,"&lt;"&amp;F65+1,SIZE,"&gt;0")</f>
        <v>0</v>
      </c>
      <c r="G66" s="748">
        <f>SUMIFS('TRADE LOG'!$T$15:$T$9733,closeDate,"&gt;="&amp;CALENDAR!G65,closeDate,"&lt;"&amp;G65+1,SIZE,"&gt;0")</f>
        <v>0</v>
      </c>
      <c r="H66" s="748">
        <f>SUMIFS('TRADE LOG'!$T$15:$T$9733,closeDate,"&gt;="&amp;CALENDAR!H65,closeDate,"&lt;"&amp;H65+1,SIZE,"&gt;0")</f>
        <v>0</v>
      </c>
      <c r="I66" s="748">
        <f>SUMIFS('TRADE LOG'!$T$15:$T$9733,closeDate,"&gt;="&amp;CALENDAR!I65,closeDate,"&lt;"&amp;I65+1,SIZE,"&gt;0")</f>
        <v>0</v>
      </c>
      <c r="J66" s="161"/>
      <c r="K66" s="161"/>
      <c r="L66" s="161"/>
      <c r="U66" s="515"/>
      <c r="V66" s="515"/>
      <c r="W66" s="515"/>
      <c r="X66" s="515"/>
      <c r="Y66" s="515"/>
      <c r="Z66" s="515"/>
      <c r="AA66" s="515"/>
    </row>
    <row r="67" spans="1:27" ht="15" customHeight="1">
      <c r="B67" s="161"/>
      <c r="C67" s="750">
        <f>COUNTIFS(closeDate,"&gt;="&amp;CALENDAR!C65,closeDate,"&lt;"&amp;C65+1,SIZE,"&gt;0")</f>
        <v>0</v>
      </c>
      <c r="D67" s="750">
        <f>COUNTIFS(closeDate,"&gt;="&amp;CALENDAR!D65,closeDate,"&lt;"&amp;D65+1,SIZE,"&gt;0")</f>
        <v>0</v>
      </c>
      <c r="E67" s="750">
        <f>COUNTIFS(closeDate,"&gt;="&amp;CALENDAR!E65,closeDate,"&lt;"&amp;E65+1,SIZE,"&gt;0")</f>
        <v>0</v>
      </c>
      <c r="F67" s="750">
        <f>COUNTIFS(closeDate,"&gt;="&amp;CALENDAR!F65,closeDate,"&lt;"&amp;F65+1,SIZE,"&gt;0")</f>
        <v>0</v>
      </c>
      <c r="G67" s="750">
        <f>COUNTIFS(closeDate,"&gt;="&amp;CALENDAR!G65,closeDate,"&lt;"&amp;G65+1,SIZE,"&gt;0")</f>
        <v>0</v>
      </c>
      <c r="H67" s="750">
        <f>COUNTIFS(closeDate,"&gt;="&amp;CALENDAR!H65,closeDate,"&lt;"&amp;H65+1,SIZE,"&gt;0")</f>
        <v>0</v>
      </c>
      <c r="I67" s="750">
        <f>COUNTIFS(closeDate,"&gt;="&amp;CALENDAR!I65,closeDate,"&lt;"&amp;(I65+1),SIZE,"&gt;0")</f>
        <v>0</v>
      </c>
      <c r="J67" s="161"/>
      <c r="K67" s="161"/>
      <c r="L67" s="161"/>
      <c r="U67" s="515"/>
      <c r="V67" s="515"/>
      <c r="W67" s="515"/>
      <c r="X67" s="515"/>
      <c r="Y67" s="515"/>
      <c r="Z67" s="515"/>
      <c r="AA67" s="515"/>
    </row>
    <row r="68" spans="1:27" ht="18" customHeight="1" thickBot="1">
      <c r="B68" s="161"/>
      <c r="C68" s="751"/>
      <c r="D68" s="751"/>
      <c r="E68" s="751"/>
      <c r="F68" s="751"/>
      <c r="G68" s="751"/>
      <c r="H68" s="751"/>
      <c r="I68" s="751"/>
      <c r="J68" s="161"/>
      <c r="K68" s="161"/>
      <c r="L68" s="161"/>
      <c r="U68" s="515"/>
      <c r="V68" s="515"/>
      <c r="W68" s="515"/>
      <c r="X68" s="515"/>
      <c r="Y68" s="515"/>
      <c r="Z68" s="515"/>
      <c r="AA68" s="515"/>
    </row>
    <row r="69" spans="1:27" ht="21.95" customHeight="1">
      <c r="B69" s="161"/>
      <c r="C69" s="752">
        <f>EOMONTH(C48,0)+1</f>
        <v>44044</v>
      </c>
      <c r="D69" s="753"/>
      <c r="E69" s="754"/>
      <c r="F69" s="755"/>
      <c r="G69" s="756"/>
      <c r="H69" s="756"/>
      <c r="I69" s="756"/>
      <c r="J69" s="161"/>
      <c r="K69" s="161"/>
      <c r="L69" s="161"/>
      <c r="U69" s="515"/>
      <c r="V69" s="515"/>
      <c r="W69" s="515"/>
      <c r="X69" s="515"/>
      <c r="Y69" s="515"/>
      <c r="Z69" s="515"/>
      <c r="AA69" s="515"/>
    </row>
    <row r="70" spans="1:27" ht="24.95" customHeight="1" thickBot="1">
      <c r="B70" s="161"/>
      <c r="C70" s="757" t="s">
        <v>781</v>
      </c>
      <c r="D70" s="757" t="s">
        <v>782</v>
      </c>
      <c r="E70" s="757" t="s">
        <v>783</v>
      </c>
      <c r="F70" s="757" t="s">
        <v>784</v>
      </c>
      <c r="G70" s="757" t="s">
        <v>789</v>
      </c>
      <c r="H70" s="757" t="s">
        <v>785</v>
      </c>
      <c r="I70" s="757" t="s">
        <v>786</v>
      </c>
      <c r="J70" s="161"/>
      <c r="K70" s="161"/>
      <c r="L70" s="161"/>
      <c r="U70" s="515"/>
      <c r="V70" s="515"/>
      <c r="W70" s="515"/>
      <c r="X70" s="515"/>
      <c r="Y70" s="515"/>
      <c r="Z70" s="515"/>
      <c r="AA70" s="515"/>
    </row>
    <row r="71" spans="1:27" ht="15" customHeight="1" thickTop="1">
      <c r="B71" s="161"/>
      <c r="C71" s="747" t="str">
        <f>IF(MONTH(C69)&lt;&gt;MONTH((C69-WEEKDAY(C69,1)+1)),"",(C69-WEEKDAY(C69,1)+1))</f>
        <v/>
      </c>
      <c r="D71" s="747" t="str">
        <f>IF(MONTH(C69)&lt;&gt;MONTH((C69-WEEKDAY(C69,1)+2)),"",(C69-WEEKDAY(C69,1)+2))</f>
        <v/>
      </c>
      <c r="E71" s="747" t="str">
        <f>IF(MONTH(C69)&lt;&gt;MONTH((C69-WEEKDAY(C69,1)+3)),"",(C69-WEEKDAY(C69,1)+3))</f>
        <v/>
      </c>
      <c r="F71" s="747" t="str">
        <f>IF(MONTH(C69)&lt;&gt;MONTH((C69-WEEKDAY(C69,1)+4)),"",(C69-WEEKDAY(C69,1)+4))</f>
        <v/>
      </c>
      <c r="G71" s="747" t="str">
        <f>IF(MONTH(C69)&lt;&gt;MONTH((C69-WEEKDAY(C69,1)+5)),"",(C69-WEEKDAY(C69,1)+5))</f>
        <v/>
      </c>
      <c r="H71" s="747" t="str">
        <f>IF(MONTH(C69)&lt;&gt;MONTH((C69-WEEKDAY(C69,1)+6)),"",(C69-WEEKDAY(C69,1)+6))</f>
        <v/>
      </c>
      <c r="I71" s="747">
        <f>IF(MONTH(C69)&lt;&gt;MONTH((C69-WEEKDAY(C69,1)+7)),"",(C69-WEEKDAY(C69,1)+7))</f>
        <v>44044</v>
      </c>
      <c r="J71" s="161"/>
      <c r="K71" s="161"/>
      <c r="L71" s="161"/>
      <c r="U71" s="515"/>
      <c r="V71" s="515"/>
      <c r="W71" s="515"/>
      <c r="X71" s="515"/>
      <c r="Y71" s="515"/>
      <c r="Z71" s="515"/>
      <c r="AA71" s="515"/>
    </row>
    <row r="72" spans="1:27" ht="15" customHeight="1">
      <c r="B72" s="161"/>
      <c r="C72" s="748">
        <f>SUMIFS('TRADE LOG'!$T$15:$T$9733,closeDate,"&gt;="&amp;CALENDAR!C71,closeDate,"&lt;"&amp;D71,SIZE,"&gt;0")</f>
        <v>0</v>
      </c>
      <c r="D72" s="748">
        <f>SUMIFS('TRADE LOG'!$T$15:$T$9733,closeDate,"&gt;="&amp;CALENDAR!D71,closeDate,"&lt;"&amp;E71,SIZE,"&gt;0")</f>
        <v>0</v>
      </c>
      <c r="E72" s="748">
        <f>SUMIFS('TRADE LOG'!$T$15:$T$9733,closeDate,"&gt;="&amp;CALENDAR!E71,closeDate,"&lt;"&amp;F71,SIZE,"&gt;0")</f>
        <v>0</v>
      </c>
      <c r="F72" s="748">
        <f>SUMIFS('TRADE LOG'!$T$15:$T$9733,closeDate,"&gt;="&amp;CALENDAR!F71,closeDate,"&lt;"&amp;G71,SIZE,"&gt;0")</f>
        <v>0</v>
      </c>
      <c r="G72" s="748">
        <f>SUMIFS('TRADE LOG'!$T$15:$T$9733,closeDate,"&gt;="&amp;CALENDAR!G71,closeDate,"&lt;"&amp;H71,SIZE,"&gt;0")</f>
        <v>0</v>
      </c>
      <c r="H72" s="748">
        <f>SUMIFS('TRADE LOG'!$T$15:$T$9733,closeDate,"&gt;="&amp;CALENDAR!H71,closeDate,"&lt;"&amp;I71,SIZE,"&gt;0")</f>
        <v>0</v>
      </c>
      <c r="I72" s="748">
        <f>SUMIFS('TRADE LOG'!$T$15:$T$9733,closeDate,"&gt;="&amp;CALENDAR!I71,closeDate,"&lt;"&amp;C74,SIZE,"&gt;0")</f>
        <v>0</v>
      </c>
      <c r="J72" s="161"/>
      <c r="K72" s="161"/>
      <c r="L72" s="161"/>
      <c r="U72" s="515"/>
      <c r="V72" s="515"/>
      <c r="W72" s="515"/>
      <c r="X72" s="515"/>
      <c r="Y72" s="515"/>
      <c r="Z72" s="515"/>
      <c r="AA72" s="515"/>
    </row>
    <row r="73" spans="1:27" ht="15" customHeight="1" thickBot="1">
      <c r="B73" s="161"/>
      <c r="C73" s="749">
        <f>COUNTIFS(closeDate,"&gt;="&amp;CALENDAR!C71,closeDate,"&lt;"&amp;D71,SIZE,"&gt;0")</f>
        <v>0</v>
      </c>
      <c r="D73" s="749">
        <f>COUNTIFS(closeDate,"&gt;="&amp;CALENDAR!D71,closeDate,"&lt;"&amp;E71,SIZE,"&gt;0")</f>
        <v>0</v>
      </c>
      <c r="E73" s="749">
        <f>COUNTIFS(closeDate,"&gt;="&amp;CALENDAR!E71,closeDate,"&lt;"&amp;F71,SIZE,"&gt;0")</f>
        <v>0</v>
      </c>
      <c r="F73" s="749">
        <f>COUNTIFS(closeDate,"&gt;="&amp;CALENDAR!F71,closeDate,"&lt;"&amp;G71,SIZE,"&gt;0")</f>
        <v>0</v>
      </c>
      <c r="G73" s="749">
        <f>COUNTIFS(closeDate,"&gt;="&amp;CALENDAR!G71,closeDate,"&lt;"&amp;H71,SIZE,"&gt;0")</f>
        <v>0</v>
      </c>
      <c r="H73" s="749">
        <f>COUNTIFS(closeDate,"&gt;="&amp;CALENDAR!H71,closeDate,"&lt;"&amp;I71,SIZE,"&gt;0")</f>
        <v>0</v>
      </c>
      <c r="I73" s="749">
        <f>COUNTIFS(closeDate,"&gt;="&amp;CALENDAR!I71,closeDate,"&lt;"&amp;(I71+1),SIZE,"&gt;0")</f>
        <v>0</v>
      </c>
      <c r="J73" s="161"/>
      <c r="K73" s="161"/>
      <c r="L73" s="161"/>
      <c r="U73" s="515"/>
      <c r="V73" s="515"/>
      <c r="W73" s="515"/>
      <c r="X73" s="515"/>
      <c r="Y73" s="515"/>
      <c r="Z73" s="515"/>
      <c r="AA73" s="515"/>
    </row>
    <row r="74" spans="1:27" ht="15" customHeight="1" thickTop="1">
      <c r="B74" s="161"/>
      <c r="C74" s="747">
        <f>I71+1</f>
        <v>44045</v>
      </c>
      <c r="D74" s="747">
        <f>C74+1</f>
        <v>44046</v>
      </c>
      <c r="E74" s="747">
        <f t="shared" ref="E74:E80" si="31">D74+1</f>
        <v>44047</v>
      </c>
      <c r="F74" s="747">
        <f t="shared" ref="F74:F80" si="32">E74+1</f>
        <v>44048</v>
      </c>
      <c r="G74" s="747">
        <f t="shared" ref="G74:G80" si="33">F74+1</f>
        <v>44049</v>
      </c>
      <c r="H74" s="747">
        <f t="shared" ref="H74:H80" si="34">G74+1</f>
        <v>44050</v>
      </c>
      <c r="I74" s="747">
        <f t="shared" ref="I74:I80" si="35">H74+1</f>
        <v>44051</v>
      </c>
      <c r="J74" s="161"/>
      <c r="K74" s="161"/>
      <c r="L74" s="161"/>
      <c r="U74" s="515"/>
      <c r="V74" s="515"/>
      <c r="W74" s="515"/>
      <c r="X74" s="515"/>
      <c r="Y74" s="515"/>
      <c r="Z74" s="515"/>
      <c r="AA74" s="515"/>
    </row>
    <row r="75" spans="1:27" ht="15" customHeight="1">
      <c r="B75" s="161"/>
      <c r="C75" s="748">
        <f>SUMIFS('TRADE LOG'!$T$15:$T$9733,closeDate,"&gt;="&amp;CALENDAR!C74,closeDate,"&lt;"&amp;D74,SIZE,"&gt;0")</f>
        <v>0</v>
      </c>
      <c r="D75" s="748">
        <f>SUMIFS('TRADE LOG'!$T$15:$T$9733,closeDate,"&gt;="&amp;CALENDAR!D74,closeDate,"&lt;"&amp;E74,SIZE,"&gt;0")</f>
        <v>0</v>
      </c>
      <c r="E75" s="748">
        <f>SUMIFS('TRADE LOG'!$T$15:$T$9733,closeDate,"&gt;="&amp;CALENDAR!E74,closeDate,"&lt;"&amp;F74,SIZE,"&gt;0")</f>
        <v>0</v>
      </c>
      <c r="F75" s="748">
        <f>SUMIFS('TRADE LOG'!$T$15:$T$9733,closeDate,"&gt;="&amp;CALENDAR!F74,closeDate,"&lt;"&amp;G74,SIZE,"&gt;0")</f>
        <v>0</v>
      </c>
      <c r="G75" s="748">
        <f>SUMIFS('TRADE LOG'!$T$15:$T$9733,closeDate,"&gt;="&amp;CALENDAR!G74,closeDate,"&lt;"&amp;H74,SIZE,"&gt;0")</f>
        <v>0</v>
      </c>
      <c r="H75" s="748">
        <f>SUMIFS('TRADE LOG'!$T$15:$T$9733,closeDate,"&gt;="&amp;CALENDAR!H74,closeDate,"&lt;"&amp;I74,SIZE,"&gt;0")</f>
        <v>0</v>
      </c>
      <c r="I75" s="748">
        <f>SUMIFS('TRADE LOG'!$T$15:$T$9733,closeDate,"&gt;="&amp;CALENDAR!I74,closeDate,"&lt;"&amp;C77,SIZE,"&gt;0")</f>
        <v>0</v>
      </c>
      <c r="J75" s="161"/>
      <c r="K75" s="161"/>
      <c r="L75" s="161"/>
      <c r="U75" s="515"/>
      <c r="V75" s="515"/>
      <c r="W75" s="515"/>
      <c r="X75" s="515"/>
      <c r="Y75" s="515"/>
      <c r="Z75" s="515"/>
      <c r="AA75" s="515"/>
    </row>
    <row r="76" spans="1:27" ht="15" customHeight="1" thickBot="1">
      <c r="B76" s="161"/>
      <c r="C76" s="749">
        <f>COUNTIFS(closeDate,"&gt;="&amp;CALENDAR!C74,closeDate,"&lt;"&amp;D74,SIZE,"&gt;0")</f>
        <v>0</v>
      </c>
      <c r="D76" s="749">
        <f>COUNTIFS(closeDate,"&gt;="&amp;CALENDAR!D74,closeDate,"&lt;"&amp;E74,SIZE,"&gt;0")</f>
        <v>0</v>
      </c>
      <c r="E76" s="749">
        <f>COUNTIFS(closeDate,"&gt;="&amp;CALENDAR!E74,closeDate,"&lt;"&amp;F74,SIZE,"&gt;0")</f>
        <v>0</v>
      </c>
      <c r="F76" s="749">
        <f>COUNTIFS(closeDate,"&gt;="&amp;CALENDAR!F74,closeDate,"&lt;"&amp;G74,SIZE,"&gt;0")</f>
        <v>0</v>
      </c>
      <c r="G76" s="749">
        <f>COUNTIFS(closeDate,"&gt;="&amp;CALENDAR!G74,closeDate,"&lt;"&amp;H74,SIZE,"&gt;0")</f>
        <v>0</v>
      </c>
      <c r="H76" s="749">
        <f>COUNTIFS(closeDate,"&gt;="&amp;CALENDAR!H74,closeDate,"&lt;"&amp;I74,SIZE,"&gt;0")</f>
        <v>0</v>
      </c>
      <c r="I76" s="749">
        <f>COUNTIFS(closeDate,"&gt;="&amp;CALENDAR!I74,closeDate,"&lt;"&amp;(I74+1),SIZE,"&gt;0")</f>
        <v>0</v>
      </c>
      <c r="J76" s="161"/>
      <c r="K76" s="161"/>
      <c r="L76" s="161"/>
      <c r="U76" s="515"/>
      <c r="V76" s="515"/>
      <c r="W76" s="515"/>
      <c r="X76" s="515"/>
      <c r="Y76" s="515"/>
      <c r="Z76" s="515"/>
      <c r="AA76" s="515"/>
    </row>
    <row r="77" spans="1:27" ht="15" customHeight="1" thickTop="1">
      <c r="B77" s="161"/>
      <c r="C77" s="747">
        <f>I74+1</f>
        <v>44052</v>
      </c>
      <c r="D77" s="747">
        <f>C77+1</f>
        <v>44053</v>
      </c>
      <c r="E77" s="747">
        <f t="shared" ref="E77:E83" si="36">D77+1</f>
        <v>44054</v>
      </c>
      <c r="F77" s="747">
        <f t="shared" ref="F77:F83" si="37">E77+1</f>
        <v>44055</v>
      </c>
      <c r="G77" s="747">
        <f t="shared" ref="G77:G83" si="38">F77+1</f>
        <v>44056</v>
      </c>
      <c r="H77" s="747">
        <f t="shared" ref="H77:H83" si="39">G77+1</f>
        <v>44057</v>
      </c>
      <c r="I77" s="747">
        <f t="shared" ref="I77:I83" si="40">H77+1</f>
        <v>44058</v>
      </c>
      <c r="J77" s="161"/>
      <c r="K77" s="161"/>
      <c r="L77" s="161"/>
      <c r="U77" s="515"/>
      <c r="V77" s="515"/>
      <c r="W77" s="515"/>
      <c r="X77" s="515"/>
      <c r="Y77" s="515"/>
      <c r="Z77" s="515"/>
      <c r="AA77" s="515"/>
    </row>
    <row r="78" spans="1:27" ht="15" customHeight="1">
      <c r="B78" s="161"/>
      <c r="C78" s="748">
        <f>SUMIFS('TRADE LOG'!$T$15:$T$9733,closeDate,"&gt;="&amp;CALENDAR!C77,closeDate,"&lt;"&amp;D77,SIZE,"&gt;0")</f>
        <v>0</v>
      </c>
      <c r="D78" s="748">
        <f>SUMIFS('TRADE LOG'!$T$15:$T$9733,closeDate,"&gt;="&amp;CALENDAR!D77,closeDate,"&lt;"&amp;E77,SIZE,"&gt;0")</f>
        <v>0</v>
      </c>
      <c r="E78" s="748">
        <f>SUMIFS('TRADE LOG'!$T$15:$T$9733,closeDate,"&gt;="&amp;CALENDAR!E77,closeDate,"&lt;"&amp;F77,SIZE,"&gt;0")</f>
        <v>0</v>
      </c>
      <c r="F78" s="748">
        <f>SUMIFS('TRADE LOG'!$T$15:$T$9733,closeDate,"&gt;="&amp;CALENDAR!F77,closeDate,"&lt;"&amp;G77,SIZE,"&gt;0")</f>
        <v>0</v>
      </c>
      <c r="G78" s="748">
        <f>SUMIFS('TRADE LOG'!$T$15:$T$9733,closeDate,"&gt;="&amp;CALENDAR!G77,closeDate,"&lt;"&amp;H77,SIZE,"&gt;0")</f>
        <v>0</v>
      </c>
      <c r="H78" s="748">
        <f>SUMIFS('TRADE LOG'!$T$15:$T$9733,closeDate,"&gt;="&amp;CALENDAR!H77,closeDate,"&lt;"&amp;I77,SIZE,"&gt;0")</f>
        <v>0</v>
      </c>
      <c r="I78" s="748">
        <f>SUMIFS('TRADE LOG'!$T$15:$T$9733,closeDate,"&gt;="&amp;CALENDAR!I77,closeDate,"&lt;"&amp;C80,SIZE,"&gt;0")</f>
        <v>0</v>
      </c>
      <c r="J78" s="161"/>
      <c r="K78" s="161"/>
      <c r="L78" s="161"/>
      <c r="U78" s="515"/>
      <c r="V78" s="515"/>
      <c r="W78" s="515"/>
      <c r="X78" s="515"/>
      <c r="Y78" s="515"/>
      <c r="Z78" s="515"/>
      <c r="AA78" s="515"/>
    </row>
    <row r="79" spans="1:27" s="518" customFormat="1" ht="15" customHeight="1" thickBot="1">
      <c r="A79"/>
      <c r="B79" s="517"/>
      <c r="C79" s="749">
        <f>COUNTIFS(closeDate,"&gt;="&amp;CALENDAR!C77,closeDate,"&lt;"&amp;D77,SIZE,"&gt;0")</f>
        <v>0</v>
      </c>
      <c r="D79" s="749">
        <f>COUNTIFS(closeDate,"&gt;="&amp;CALENDAR!D77,closeDate,"&lt;"&amp;E77,SIZE,"&gt;0")</f>
        <v>0</v>
      </c>
      <c r="E79" s="749">
        <f>COUNTIFS(closeDate,"&gt;="&amp;CALENDAR!E77,closeDate,"&lt;"&amp;F77,SIZE,"&gt;0")</f>
        <v>0</v>
      </c>
      <c r="F79" s="749">
        <f>COUNTIFS(closeDate,"&gt;="&amp;CALENDAR!F77,closeDate,"&lt;"&amp;G77,SIZE,"&gt;0")</f>
        <v>0</v>
      </c>
      <c r="G79" s="749">
        <f>COUNTIFS(closeDate,"&gt;="&amp;CALENDAR!G77,closeDate,"&lt;"&amp;H77,SIZE,"&gt;0")</f>
        <v>0</v>
      </c>
      <c r="H79" s="749">
        <f>COUNTIFS(closeDate,"&gt;="&amp;CALENDAR!H77,closeDate,"&lt;"&amp;I77,SIZE,"&gt;0")</f>
        <v>0</v>
      </c>
      <c r="I79" s="749">
        <f>COUNTIFS(closeDate,"&gt;="&amp;CALENDAR!I77,closeDate,"&lt;"&amp;(I77+1),SIZE,"&gt;0")</f>
        <v>0</v>
      </c>
      <c r="J79" s="517"/>
      <c r="K79" s="517"/>
      <c r="L79" s="517"/>
    </row>
    <row r="80" spans="1:27" ht="15" customHeight="1" thickTop="1">
      <c r="B80" s="161"/>
      <c r="C80" s="747">
        <f>I77+1</f>
        <v>44059</v>
      </c>
      <c r="D80" s="747">
        <f>C80+1</f>
        <v>44060</v>
      </c>
      <c r="E80" s="747">
        <f t="shared" ref="E80:E86" si="41">D80+1</f>
        <v>44061</v>
      </c>
      <c r="F80" s="747">
        <f t="shared" ref="F80:F86" si="42">E80+1</f>
        <v>44062</v>
      </c>
      <c r="G80" s="747">
        <f t="shared" ref="G80:G86" si="43">F80+1</f>
        <v>44063</v>
      </c>
      <c r="H80" s="747">
        <f t="shared" ref="H80:H86" si="44">G80+1</f>
        <v>44064</v>
      </c>
      <c r="I80" s="747">
        <f t="shared" ref="I80:I86" si="45">H80+1</f>
        <v>44065</v>
      </c>
      <c r="J80" s="161"/>
      <c r="K80" s="161"/>
      <c r="L80" s="161"/>
    </row>
    <row r="81" spans="2:27" ht="15" customHeight="1">
      <c r="B81" s="161"/>
      <c r="C81" s="748">
        <f>SUMIFS('TRADE LOG'!$T$15:$T$9733,closeDate,"&gt;="&amp;CALENDAR!C80,closeDate,"&lt;"&amp;D80,SIZE,"&gt;0")</f>
        <v>0</v>
      </c>
      <c r="D81" s="748">
        <f>SUMIFS('TRADE LOG'!$T$15:$T$9733,closeDate,"&gt;="&amp;CALENDAR!D80,closeDate,"&lt;"&amp;E80,SIZE,"&gt;0")</f>
        <v>0</v>
      </c>
      <c r="E81" s="748">
        <f>SUMIFS('TRADE LOG'!$T$15:$T$9733,closeDate,"&gt;="&amp;CALENDAR!E80,closeDate,"&lt;"&amp;F80,SIZE,"&gt;0")</f>
        <v>0</v>
      </c>
      <c r="F81" s="748">
        <f>SUMIFS('TRADE LOG'!$T$15:$T$9733,closeDate,"&gt;="&amp;CALENDAR!F80,closeDate,"&lt;"&amp;G80,SIZE,"&gt;0")</f>
        <v>0</v>
      </c>
      <c r="G81" s="748">
        <f>SUMIFS('TRADE LOG'!$T$15:$T$9733,closeDate,"&gt;="&amp;CALENDAR!G80,closeDate,"&lt;"&amp;H80,SIZE,"&gt;0")</f>
        <v>0</v>
      </c>
      <c r="H81" s="748">
        <f>SUMIFS('TRADE LOG'!$T$15:$T$9733,closeDate,"&gt;="&amp;CALENDAR!H80,closeDate,"&lt;"&amp;I80,SIZE,"&gt;0")</f>
        <v>0</v>
      </c>
      <c r="I81" s="748">
        <f>SUMIFS('TRADE LOG'!$T$15:$T$9733,closeDate,"&gt;="&amp;CALENDAR!I80,closeDate,"&lt;"&amp;I80+1,SIZE,"&gt;0")</f>
        <v>0</v>
      </c>
      <c r="J81" s="161"/>
      <c r="K81" s="161"/>
      <c r="L81" s="161"/>
    </row>
    <row r="82" spans="2:27" ht="15" customHeight="1" thickBot="1">
      <c r="B82" s="161"/>
      <c r="C82" s="749">
        <f>COUNTIFS(closeDate,"&gt;="&amp;CALENDAR!C80,closeDate,"&lt;"&amp;D80,SIZE,"&gt;0")</f>
        <v>0</v>
      </c>
      <c r="D82" s="749">
        <f>COUNTIFS(closeDate,"&gt;="&amp;CALENDAR!D80,closeDate,"&lt;"&amp;E80,SIZE,"&gt;0")</f>
        <v>0</v>
      </c>
      <c r="E82" s="749">
        <f>COUNTIFS(closeDate,"&gt;="&amp;CALENDAR!E80,closeDate,"&lt;"&amp;F80,SIZE,"&gt;0")</f>
        <v>0</v>
      </c>
      <c r="F82" s="749">
        <f>COUNTIFS(closeDate,"&gt;="&amp;CALENDAR!F80,closeDate,"&lt;"&amp;G80,SIZE,"&gt;0")</f>
        <v>0</v>
      </c>
      <c r="G82" s="749">
        <f>COUNTIFS(closeDate,"&gt;="&amp;CALENDAR!G80,closeDate,"&lt;"&amp;H80,SIZE,"&gt;0")</f>
        <v>0</v>
      </c>
      <c r="H82" s="749">
        <f>COUNTIFS(closeDate,"&gt;="&amp;CALENDAR!H80,closeDate,"&lt;"&amp;I80,SIZE,"&gt;0")</f>
        <v>0</v>
      </c>
      <c r="I82" s="749">
        <f>COUNTIFS(closeDate,"&gt;="&amp;CALENDAR!I80,closeDate,"&lt;"&amp;(I80+1),SIZE,"&gt;0")</f>
        <v>0</v>
      </c>
      <c r="J82" s="161"/>
      <c r="K82" s="161"/>
      <c r="L82" s="161"/>
      <c r="U82" s="515"/>
      <c r="V82" s="515"/>
      <c r="W82" s="515"/>
      <c r="X82" s="515"/>
      <c r="Y82" s="515"/>
      <c r="Z82" s="515"/>
      <c r="AA82" s="515"/>
    </row>
    <row r="83" spans="2:27" ht="15" customHeight="1" thickTop="1">
      <c r="B83" s="161"/>
      <c r="C83" s="747">
        <f>IFERROR(IF(MONTH(C69)&lt;&gt;MONTH(I80+1),"",(I80+1)),"")</f>
        <v>44066</v>
      </c>
      <c r="D83" s="747">
        <f>IFERROR(IF(MONTH(C69)&lt;&gt;MONTH(C83+1),"",(C83+1)),"")</f>
        <v>44067</v>
      </c>
      <c r="E83" s="747">
        <f>IFERROR(IF(MONTH(C69)&lt;&gt;MONTH(D83+1),"",(D83+1)),"")</f>
        <v>44068</v>
      </c>
      <c r="F83" s="747">
        <f>IFERROR(IF(MONTH(C69)&lt;&gt;MONTH(E83+1),"",(E83+1)),"")</f>
        <v>44069</v>
      </c>
      <c r="G83" s="747">
        <f>IFERROR(IF(MONTH(C69)&lt;&gt;MONTH(F83+1),"",(F83+1)),"")</f>
        <v>44070</v>
      </c>
      <c r="H83" s="747">
        <f>IFERROR(IF(MONTH(C69)&lt;&gt;MONTH(G83+1),"",(G83+1)),"")</f>
        <v>44071</v>
      </c>
      <c r="I83" s="747">
        <f>IFERROR(IF(MONTH(C69)&lt;&gt;MONTH(H83+1),"",(H83+1)),"")</f>
        <v>44072</v>
      </c>
      <c r="J83" s="161"/>
      <c r="K83" s="161"/>
      <c r="L83" s="161"/>
      <c r="U83" s="515"/>
      <c r="V83" s="515"/>
      <c r="W83" s="515"/>
      <c r="X83" s="515"/>
      <c r="Y83" s="515"/>
      <c r="Z83" s="515"/>
      <c r="AA83" s="515"/>
    </row>
    <row r="84" spans="2:27" ht="15" customHeight="1">
      <c r="B84" s="161"/>
      <c r="C84" s="748">
        <f>SUMIFS('TRADE LOG'!$T$15:$T$9733,closeDate,"&gt;="&amp;CALENDAR!C83,closeDate,"&lt;"&amp;C83+1,SIZE,"&gt;0")</f>
        <v>0</v>
      </c>
      <c r="D84" s="748">
        <f>SUMIFS('TRADE LOG'!$T$15:$T$9733,closeDate,"&gt;="&amp;CALENDAR!D83,closeDate,"&lt;"&amp;D83+1,SIZE,"&gt;0")</f>
        <v>0</v>
      </c>
      <c r="E84" s="748">
        <f>SUMIFS('TRADE LOG'!$T$15:$T$9733,closeDate,"&gt;="&amp;CALENDAR!E83,closeDate,"&lt;"&amp;E83+1,SIZE,"&gt;0")</f>
        <v>0</v>
      </c>
      <c r="F84" s="748">
        <f>SUMIFS('TRADE LOG'!$T$15:$T$9733,closeDate,"&gt;="&amp;CALENDAR!F83,closeDate,"&lt;"&amp;F83+1,SIZE,"&gt;0")</f>
        <v>0</v>
      </c>
      <c r="G84" s="748">
        <f>SUMIFS('TRADE LOG'!$T$15:$T$9733,closeDate,"&gt;="&amp;CALENDAR!G83,closeDate,"&lt;"&amp;G83+1,SIZE,"&gt;0")</f>
        <v>0</v>
      </c>
      <c r="H84" s="748">
        <f>SUMIFS('TRADE LOG'!$T$15:$T$9733,closeDate,"&gt;="&amp;CALENDAR!H83,closeDate,"&lt;"&amp;H83+1,SIZE,"&gt;0")</f>
        <v>0</v>
      </c>
      <c r="I84" s="748">
        <f>SUMIFS('TRADE LOG'!$T$15:$T$9733,closeDate,"&gt;="&amp;CALENDAR!I83,closeDate,"&lt;"&amp;I83+1,SIZE,"&gt;0")</f>
        <v>0</v>
      </c>
      <c r="J84" s="161"/>
      <c r="K84" s="161"/>
      <c r="L84" s="161"/>
      <c r="U84" s="515"/>
      <c r="V84" s="515"/>
      <c r="W84" s="515"/>
      <c r="X84" s="515"/>
      <c r="Y84" s="515"/>
      <c r="Z84" s="515"/>
      <c r="AA84" s="515"/>
    </row>
    <row r="85" spans="2:27" ht="15" customHeight="1" thickBot="1">
      <c r="B85" s="161"/>
      <c r="C85" s="749">
        <f>COUNTIFS(closeDate,"&gt;="&amp;CALENDAR!C83,closeDate,"&lt;"&amp;C83+1,SIZE,"&gt;0")</f>
        <v>0</v>
      </c>
      <c r="D85" s="749">
        <f>COUNTIFS(closeDate,"&gt;="&amp;CALENDAR!D83,closeDate,"&lt;"&amp;D83+1,SIZE,"&gt;0")</f>
        <v>0</v>
      </c>
      <c r="E85" s="749">
        <f>COUNTIFS(closeDate,"&gt;="&amp;CALENDAR!E83,closeDate,"&lt;"&amp;E83+1,SIZE,"&gt;0")</f>
        <v>0</v>
      </c>
      <c r="F85" s="749">
        <f>COUNTIFS(closeDate,"&gt;="&amp;CALENDAR!F83,closeDate,"&lt;"&amp;F83+1,SIZE,"&gt;0")</f>
        <v>0</v>
      </c>
      <c r="G85" s="749">
        <f>COUNTIFS(closeDate,"&gt;="&amp;CALENDAR!G83,closeDate,"&lt;"&amp;G83+1,SIZE,"&gt;0")</f>
        <v>0</v>
      </c>
      <c r="H85" s="749">
        <f>COUNTIFS(closeDate,"&gt;="&amp;CALENDAR!H83,closeDate,"&lt;"&amp;H83+1,SIZE,"&gt;0")</f>
        <v>0</v>
      </c>
      <c r="I85" s="749">
        <f>COUNTIFS(closeDate,"&gt;="&amp;CALENDAR!I83,closeDate,"&lt;"&amp;(I83+1),SIZE,"&gt;0")</f>
        <v>0</v>
      </c>
      <c r="J85" s="161"/>
      <c r="K85" s="161"/>
      <c r="L85" s="161"/>
      <c r="U85" s="515"/>
      <c r="V85" s="515"/>
      <c r="W85" s="515"/>
      <c r="X85" s="515"/>
      <c r="Y85" s="515"/>
      <c r="Z85" s="515"/>
      <c r="AA85" s="515"/>
    </row>
    <row r="86" spans="2:27" ht="15" customHeight="1" thickTop="1">
      <c r="B86" s="161"/>
      <c r="C86" s="747">
        <f>IFERROR(IF(MONTH(C69)&lt;&gt;MONTH(I83+1),"",(I83+1)),"")</f>
        <v>44073</v>
      </c>
      <c r="D86" s="747">
        <f>IFERROR(IF(MONTH(C69)&lt;&gt;MONTH(C86+1),"",(C86+1)),"")</f>
        <v>44074</v>
      </c>
      <c r="E86" s="747" t="str">
        <f>IFERROR(IF(MONTH(C69)&lt;&gt;MONTH(D86+1),"",(D86+1)),"")</f>
        <v/>
      </c>
      <c r="F86" s="747" t="str">
        <f>IFERROR(IF(MONTH(C69)&lt;&gt;MONTH(E86+1),"",(E86+1)),"")</f>
        <v/>
      </c>
      <c r="G86" s="747" t="str">
        <f>IFERROR(IF(MONTH(C69)&lt;&gt;MONTH(F86+1),"",(F86+1)),"")</f>
        <v/>
      </c>
      <c r="H86" s="747" t="str">
        <f>IFERROR(IF(MONTH(C69)&lt;&gt;MONTH(G86+1),"",(G86+1)),"")</f>
        <v/>
      </c>
      <c r="I86" s="747" t="str">
        <f>IFERROR(IF(MONTH(C69)&lt;&gt;MONTH(H86+1),"",(H86+1)),"")</f>
        <v/>
      </c>
      <c r="J86" s="161"/>
      <c r="K86" s="161"/>
      <c r="L86" s="161"/>
      <c r="U86" s="515"/>
      <c r="V86" s="515"/>
      <c r="W86" s="515"/>
      <c r="X86" s="515"/>
      <c r="Y86" s="515"/>
      <c r="Z86" s="515"/>
      <c r="AA86" s="515"/>
    </row>
    <row r="87" spans="2:27" ht="15" customHeight="1">
      <c r="B87" s="161"/>
      <c r="C87" s="748">
        <f>SUMIFS('TRADE LOG'!$T$15:$T$9733,closeDate,"&gt;="&amp;CALENDAR!C86,closeDate,"&lt;"&amp;C86+1,SIZE,"&gt;0")</f>
        <v>0</v>
      </c>
      <c r="D87" s="748">
        <f>SUMIFS('TRADE LOG'!$T$15:$T$9733,closeDate,"&gt;="&amp;CALENDAR!D86,closeDate,"&lt;"&amp;D86+1,SIZE,"&gt;0")</f>
        <v>0</v>
      </c>
      <c r="E87" s="748">
        <f>SUMIFS('TRADE LOG'!$T$15:$T$9733,closeDate,"&gt;="&amp;CALENDAR!E86,closeDate,"&lt;"&amp;E86+1,SIZE,"&gt;0")</f>
        <v>0</v>
      </c>
      <c r="F87" s="748">
        <f>SUMIFS('TRADE LOG'!$T$15:$T$9733,closeDate,"&gt;="&amp;CALENDAR!F86,closeDate,"&lt;"&amp;F86+1,SIZE,"&gt;0")</f>
        <v>0</v>
      </c>
      <c r="G87" s="748">
        <f>SUMIFS('TRADE LOG'!$T$15:$T$9733,closeDate,"&gt;="&amp;CALENDAR!G86,closeDate,"&lt;"&amp;G86+1,SIZE,"&gt;0")</f>
        <v>0</v>
      </c>
      <c r="H87" s="748">
        <f>SUMIFS('TRADE LOG'!$T$15:$T$9733,closeDate,"&gt;="&amp;CALENDAR!H86,closeDate,"&lt;"&amp;H86+1,SIZE,"&gt;0")</f>
        <v>0</v>
      </c>
      <c r="I87" s="748">
        <f>SUMIFS('TRADE LOG'!$T$15:$T$9733,closeDate,"&gt;="&amp;CALENDAR!I86,closeDate,"&lt;"&amp;I86+1,SIZE,"&gt;0")</f>
        <v>0</v>
      </c>
      <c r="J87" s="161"/>
      <c r="K87" s="161"/>
      <c r="L87" s="161"/>
      <c r="U87" s="515"/>
      <c r="V87" s="515"/>
      <c r="W87" s="515"/>
      <c r="X87" s="515"/>
      <c r="Y87" s="515"/>
      <c r="Z87" s="515"/>
      <c r="AA87" s="515"/>
    </row>
    <row r="88" spans="2:27" ht="15" customHeight="1">
      <c r="B88" s="161"/>
      <c r="C88" s="750">
        <f>COUNTIFS(closeDate,"&gt;="&amp;CALENDAR!C86,closeDate,"&lt;"&amp;C86+1,SIZE,"&gt;0")</f>
        <v>0</v>
      </c>
      <c r="D88" s="750">
        <f>COUNTIFS(closeDate,"&gt;="&amp;CALENDAR!D86,closeDate,"&lt;"&amp;D86+1,SIZE,"&gt;0")</f>
        <v>0</v>
      </c>
      <c r="E88" s="750">
        <f>COUNTIFS(closeDate,"&gt;="&amp;CALENDAR!E86,closeDate,"&lt;"&amp;E86+1,SIZE,"&gt;0")</f>
        <v>0</v>
      </c>
      <c r="F88" s="750">
        <f>COUNTIFS(closeDate,"&gt;="&amp;CALENDAR!F86,closeDate,"&lt;"&amp;F86+1,SIZE,"&gt;0")</f>
        <v>0</v>
      </c>
      <c r="G88" s="750">
        <f>COUNTIFS(closeDate,"&gt;="&amp;CALENDAR!G86,closeDate,"&lt;"&amp;G86+1,SIZE,"&gt;0")</f>
        <v>0</v>
      </c>
      <c r="H88" s="750">
        <f>COUNTIFS(closeDate,"&gt;="&amp;CALENDAR!H86,closeDate,"&lt;"&amp;H86+1,SIZE,"&gt;0")</f>
        <v>0</v>
      </c>
      <c r="I88" s="750">
        <f>COUNTIFS(closeDate,"&gt;="&amp;CALENDAR!I86,closeDate,"&lt;"&amp;(I86+1),SIZE,"&gt;0")</f>
        <v>0</v>
      </c>
      <c r="J88" s="161"/>
      <c r="K88" s="161"/>
      <c r="L88" s="161"/>
      <c r="U88" s="515"/>
      <c r="V88" s="515"/>
      <c r="W88" s="515"/>
      <c r="X88" s="515"/>
      <c r="Y88" s="515"/>
      <c r="Z88" s="515"/>
      <c r="AA88" s="515"/>
    </row>
    <row r="89" spans="2:27" ht="18" customHeight="1" thickBot="1">
      <c r="B89" s="161"/>
      <c r="C89" s="751"/>
      <c r="D89" s="751"/>
      <c r="E89" s="751"/>
      <c r="F89" s="751"/>
      <c r="G89" s="751"/>
      <c r="H89" s="751"/>
      <c r="I89" s="751"/>
      <c r="J89" s="161"/>
      <c r="K89" s="161"/>
      <c r="L89" s="161"/>
    </row>
    <row r="90" spans="2:27" ht="21.95" customHeight="1">
      <c r="B90" s="161"/>
      <c r="C90" s="752">
        <f>EOMONTH(C69,0)+1</f>
        <v>44075</v>
      </c>
      <c r="D90" s="753"/>
      <c r="E90" s="754"/>
      <c r="F90" s="755"/>
      <c r="G90" s="756"/>
      <c r="H90" s="756"/>
      <c r="I90" s="756"/>
      <c r="J90" s="161"/>
      <c r="K90" s="161"/>
      <c r="L90" s="161"/>
    </row>
    <row r="91" spans="2:27" ht="24.95" customHeight="1" thickBot="1">
      <c r="B91" s="161"/>
      <c r="C91" s="757" t="s">
        <v>781</v>
      </c>
      <c r="D91" s="757" t="s">
        <v>782</v>
      </c>
      <c r="E91" s="757" t="s">
        <v>783</v>
      </c>
      <c r="F91" s="757" t="s">
        <v>784</v>
      </c>
      <c r="G91" s="757" t="s">
        <v>789</v>
      </c>
      <c r="H91" s="757" t="s">
        <v>785</v>
      </c>
      <c r="I91" s="757" t="s">
        <v>786</v>
      </c>
      <c r="J91" s="161"/>
      <c r="K91" s="161"/>
      <c r="L91" s="161"/>
    </row>
    <row r="92" spans="2:27" ht="15" customHeight="1" thickTop="1">
      <c r="B92" s="161"/>
      <c r="C92" s="747" t="str">
        <f>IF(MONTH(C90)&lt;&gt;MONTH((C90-WEEKDAY(C90,1)+1)),"",(C90-WEEKDAY(C90,1)+1))</f>
        <v/>
      </c>
      <c r="D92" s="747" t="str">
        <f>IF(MONTH(C90)&lt;&gt;MONTH((C90-WEEKDAY(C90,1)+2)),"",(C90-WEEKDAY(C90,1)+2))</f>
        <v/>
      </c>
      <c r="E92" s="747">
        <f>IF(MONTH(C90)&lt;&gt;MONTH((C90-WEEKDAY(C90,1)+3)),"",(C90-WEEKDAY(C90,1)+3))</f>
        <v>44075</v>
      </c>
      <c r="F92" s="747">
        <f>IF(MONTH(C90)&lt;&gt;MONTH((C90-WEEKDAY(C90,1)+4)),"",(C90-WEEKDAY(C90,1)+4))</f>
        <v>44076</v>
      </c>
      <c r="G92" s="747">
        <f>IF(MONTH(C90)&lt;&gt;MONTH((C90-WEEKDAY(C90,1)+5)),"",(C90-WEEKDAY(C90,1)+5))</f>
        <v>44077</v>
      </c>
      <c r="H92" s="747">
        <f>IF(MONTH(C90)&lt;&gt;MONTH((C90-WEEKDAY(C90,1)+6)),"",(C90-WEEKDAY(C90,1)+6))</f>
        <v>44078</v>
      </c>
      <c r="I92" s="747">
        <f>IF(MONTH(C90)&lt;&gt;MONTH((C90-WEEKDAY(C90,1)+7)),"",(C90-WEEKDAY(C90,1)+7))</f>
        <v>44079</v>
      </c>
      <c r="J92" s="161"/>
      <c r="K92" s="161"/>
      <c r="L92" s="161"/>
    </row>
    <row r="93" spans="2:27" ht="15" customHeight="1">
      <c r="B93" s="161"/>
      <c r="C93" s="748">
        <f>SUMIFS('TRADE LOG'!$T$15:$T$9733,closeDate,"&gt;="&amp;CALENDAR!C92,closeDate,"&lt;"&amp;D92,SIZE,"&gt;0")</f>
        <v>0</v>
      </c>
      <c r="D93" s="748">
        <f>SUMIFS('TRADE LOG'!$T$15:$T$9733,closeDate,"&gt;="&amp;CALENDAR!D92,closeDate,"&lt;"&amp;E92,SIZE,"&gt;0")</f>
        <v>0</v>
      </c>
      <c r="E93" s="748">
        <f>SUMIFS('TRADE LOG'!$T$15:$T$9733,closeDate,"&gt;="&amp;CALENDAR!E92,closeDate,"&lt;"&amp;F92,SIZE,"&gt;0")</f>
        <v>0</v>
      </c>
      <c r="F93" s="748">
        <f>SUMIFS('TRADE LOG'!$T$15:$T$9733,closeDate,"&gt;="&amp;CALENDAR!F92,closeDate,"&lt;"&amp;G92,SIZE,"&gt;0")</f>
        <v>0</v>
      </c>
      <c r="G93" s="748">
        <f>SUMIFS('TRADE LOG'!$T$15:$T$9733,closeDate,"&gt;="&amp;CALENDAR!G92,closeDate,"&lt;"&amp;H92,SIZE,"&gt;0")</f>
        <v>0</v>
      </c>
      <c r="H93" s="748">
        <f>SUMIFS('TRADE LOG'!$T$15:$T$9733,closeDate,"&gt;="&amp;CALENDAR!H92,closeDate,"&lt;"&amp;I92,SIZE,"&gt;0")</f>
        <v>0</v>
      </c>
      <c r="I93" s="748">
        <f>SUMIFS('TRADE LOG'!$T$15:$T$9733,closeDate,"&gt;="&amp;CALENDAR!I92,closeDate,"&lt;"&amp;C95,SIZE,"&gt;0")</f>
        <v>0</v>
      </c>
      <c r="J93" s="161"/>
      <c r="K93" s="161"/>
      <c r="L93" s="161"/>
    </row>
    <row r="94" spans="2:27" ht="15" customHeight="1" thickBot="1">
      <c r="B94" s="161"/>
      <c r="C94" s="749">
        <f>COUNTIFS(closeDate,"&gt;="&amp;CALENDAR!C92,closeDate,"&lt;"&amp;D92,SIZE,"&gt;0")</f>
        <v>0</v>
      </c>
      <c r="D94" s="749">
        <f>COUNTIFS(closeDate,"&gt;="&amp;CALENDAR!D92,closeDate,"&lt;"&amp;E92,SIZE,"&gt;0")</f>
        <v>0</v>
      </c>
      <c r="E94" s="749">
        <f>COUNTIFS(closeDate,"&gt;="&amp;CALENDAR!E92,closeDate,"&lt;"&amp;F92,SIZE,"&gt;0")</f>
        <v>0</v>
      </c>
      <c r="F94" s="749">
        <f>COUNTIFS(closeDate,"&gt;="&amp;CALENDAR!F92,closeDate,"&lt;"&amp;G92,SIZE,"&gt;0")</f>
        <v>0</v>
      </c>
      <c r="G94" s="749">
        <f>COUNTIFS(closeDate,"&gt;="&amp;CALENDAR!G92,closeDate,"&lt;"&amp;H92,SIZE,"&gt;0")</f>
        <v>0</v>
      </c>
      <c r="H94" s="749">
        <f>COUNTIFS(closeDate,"&gt;="&amp;CALENDAR!H92,closeDate,"&lt;"&amp;I92,SIZE,"&gt;0")</f>
        <v>0</v>
      </c>
      <c r="I94" s="749">
        <f>COUNTIFS(closeDate,"&gt;="&amp;CALENDAR!I92,closeDate,"&lt;"&amp;(I92+1),SIZE,"&gt;0")</f>
        <v>0</v>
      </c>
      <c r="J94" s="161"/>
      <c r="K94" s="161"/>
      <c r="L94" s="161"/>
    </row>
    <row r="95" spans="2:27" ht="15" customHeight="1" thickTop="1">
      <c r="B95" s="161"/>
      <c r="C95" s="747">
        <f>I92+1</f>
        <v>44080</v>
      </c>
      <c r="D95" s="747">
        <f>C95+1</f>
        <v>44081</v>
      </c>
      <c r="E95" s="747">
        <f t="shared" ref="E95:E101" si="46">D95+1</f>
        <v>44082</v>
      </c>
      <c r="F95" s="747">
        <f t="shared" ref="F95:F101" si="47">E95+1</f>
        <v>44083</v>
      </c>
      <c r="G95" s="747">
        <f t="shared" ref="G95:G101" si="48">F95+1</f>
        <v>44084</v>
      </c>
      <c r="H95" s="747">
        <f t="shared" ref="H95:H101" si="49">G95+1</f>
        <v>44085</v>
      </c>
      <c r="I95" s="747">
        <f t="shared" ref="I95:I101" si="50">H95+1</f>
        <v>44086</v>
      </c>
      <c r="J95" s="161"/>
      <c r="K95" s="161"/>
      <c r="L95" s="161"/>
    </row>
    <row r="96" spans="2:27" ht="15" customHeight="1">
      <c r="B96" s="161"/>
      <c r="C96" s="748">
        <f>SUMIFS('TRADE LOG'!$T$15:$T$9733,closeDate,"&gt;="&amp;CALENDAR!C95,closeDate,"&lt;"&amp;D95,SIZE,"&gt;0")</f>
        <v>0</v>
      </c>
      <c r="D96" s="748">
        <f>SUMIFS('TRADE LOG'!$T$15:$T$9733,closeDate,"&gt;="&amp;CALENDAR!D95,closeDate,"&lt;"&amp;E95,SIZE,"&gt;0")</f>
        <v>0</v>
      </c>
      <c r="E96" s="748">
        <f>SUMIFS('TRADE LOG'!$T$15:$T$9733,closeDate,"&gt;="&amp;CALENDAR!E95,closeDate,"&lt;"&amp;F95,SIZE,"&gt;0")</f>
        <v>0</v>
      </c>
      <c r="F96" s="748">
        <f>SUMIFS('TRADE LOG'!$T$15:$T$9733,closeDate,"&gt;="&amp;CALENDAR!F95,closeDate,"&lt;"&amp;G95,SIZE,"&gt;0")</f>
        <v>0</v>
      </c>
      <c r="G96" s="748">
        <f>SUMIFS('TRADE LOG'!$T$15:$T$9733,closeDate,"&gt;="&amp;CALENDAR!G95,closeDate,"&lt;"&amp;H95,SIZE,"&gt;0")</f>
        <v>0</v>
      </c>
      <c r="H96" s="748">
        <f>SUMIFS('TRADE LOG'!$T$15:$T$9733,closeDate,"&gt;="&amp;CALENDAR!H95,closeDate,"&lt;"&amp;I95,SIZE,"&gt;0")</f>
        <v>0</v>
      </c>
      <c r="I96" s="748">
        <f>SUMIFS('TRADE LOG'!$T$15:$T$9733,closeDate,"&gt;="&amp;CALENDAR!I95,closeDate,"&lt;"&amp;C98,SIZE,"&gt;0")</f>
        <v>0</v>
      </c>
      <c r="J96" s="161"/>
      <c r="K96" s="161"/>
      <c r="L96" s="161"/>
    </row>
    <row r="97" spans="2:12" ht="15" customHeight="1" thickBot="1">
      <c r="B97" s="161"/>
      <c r="C97" s="749">
        <f>COUNTIFS(closeDate,"&gt;="&amp;CALENDAR!C95,closeDate,"&lt;"&amp;D95,SIZE,"&gt;0")</f>
        <v>0</v>
      </c>
      <c r="D97" s="749">
        <f>COUNTIFS(closeDate,"&gt;="&amp;CALENDAR!D95,closeDate,"&lt;"&amp;E95,SIZE,"&gt;0")</f>
        <v>0</v>
      </c>
      <c r="E97" s="749">
        <f>COUNTIFS(closeDate,"&gt;="&amp;CALENDAR!E95,closeDate,"&lt;"&amp;F95,SIZE,"&gt;0")</f>
        <v>0</v>
      </c>
      <c r="F97" s="749">
        <f>COUNTIFS(closeDate,"&gt;="&amp;CALENDAR!F95,closeDate,"&lt;"&amp;G95,SIZE,"&gt;0")</f>
        <v>0</v>
      </c>
      <c r="G97" s="749">
        <f>COUNTIFS(closeDate,"&gt;="&amp;CALENDAR!G95,closeDate,"&lt;"&amp;H95,SIZE,"&gt;0")</f>
        <v>0</v>
      </c>
      <c r="H97" s="749">
        <f>COUNTIFS(closeDate,"&gt;="&amp;CALENDAR!H95,closeDate,"&lt;"&amp;I95,SIZE,"&gt;0")</f>
        <v>0</v>
      </c>
      <c r="I97" s="749">
        <f>COUNTIFS(closeDate,"&gt;="&amp;CALENDAR!I95,closeDate,"&lt;"&amp;(I95+1),SIZE,"&gt;0")</f>
        <v>0</v>
      </c>
      <c r="J97" s="161"/>
      <c r="K97" s="161"/>
      <c r="L97" s="161"/>
    </row>
    <row r="98" spans="2:12" ht="15" customHeight="1" thickTop="1">
      <c r="B98" s="161"/>
      <c r="C98" s="747">
        <f>I95+1</f>
        <v>44087</v>
      </c>
      <c r="D98" s="747">
        <f>C98+1</f>
        <v>44088</v>
      </c>
      <c r="E98" s="747">
        <f t="shared" ref="E98:E104" si="51">D98+1</f>
        <v>44089</v>
      </c>
      <c r="F98" s="747">
        <f t="shared" ref="F98:F104" si="52">E98+1</f>
        <v>44090</v>
      </c>
      <c r="G98" s="747">
        <f t="shared" ref="G98:G104" si="53">F98+1</f>
        <v>44091</v>
      </c>
      <c r="H98" s="747">
        <f t="shared" ref="H98:H104" si="54">G98+1</f>
        <v>44092</v>
      </c>
      <c r="I98" s="747">
        <f t="shared" ref="I98:I104" si="55">H98+1</f>
        <v>44093</v>
      </c>
      <c r="J98" s="161"/>
      <c r="K98" s="161"/>
      <c r="L98" s="161"/>
    </row>
    <row r="99" spans="2:12" ht="15" customHeight="1">
      <c r="B99" s="161"/>
      <c r="C99" s="748">
        <f>SUMIFS('TRADE LOG'!$T$15:$T$9733,closeDate,"&gt;="&amp;CALENDAR!C98,closeDate,"&lt;"&amp;D98,SIZE,"&gt;0")</f>
        <v>0</v>
      </c>
      <c r="D99" s="748">
        <f>SUMIFS('TRADE LOG'!$T$15:$T$9733,closeDate,"&gt;="&amp;CALENDAR!D98,closeDate,"&lt;"&amp;E98,SIZE,"&gt;0")</f>
        <v>0</v>
      </c>
      <c r="E99" s="748">
        <f>SUMIFS('TRADE LOG'!$T$15:$T$9733,closeDate,"&gt;="&amp;CALENDAR!E98,closeDate,"&lt;"&amp;F98,SIZE,"&gt;0")</f>
        <v>0</v>
      </c>
      <c r="F99" s="748">
        <f>SUMIFS('TRADE LOG'!$T$15:$T$9733,closeDate,"&gt;="&amp;CALENDAR!F98,closeDate,"&lt;"&amp;G98,SIZE,"&gt;0")</f>
        <v>0</v>
      </c>
      <c r="G99" s="748">
        <f>SUMIFS('TRADE LOG'!$T$15:$T$9733,closeDate,"&gt;="&amp;CALENDAR!G98,closeDate,"&lt;"&amp;H98,SIZE,"&gt;0")</f>
        <v>0</v>
      </c>
      <c r="H99" s="748">
        <f>SUMIFS('TRADE LOG'!$T$15:$T$9733,closeDate,"&gt;="&amp;CALENDAR!H98,closeDate,"&lt;"&amp;I98,SIZE,"&gt;0")</f>
        <v>0</v>
      </c>
      <c r="I99" s="748">
        <f>SUMIFS('TRADE LOG'!$T$15:$T$9733,closeDate,"&gt;="&amp;CALENDAR!I98,closeDate,"&lt;"&amp;C101,SIZE,"&gt;0")</f>
        <v>0</v>
      </c>
      <c r="J99" s="161"/>
      <c r="K99" s="161"/>
      <c r="L99" s="161"/>
    </row>
    <row r="100" spans="2:12" ht="15" customHeight="1" thickBot="1">
      <c r="B100" s="161"/>
      <c r="C100" s="749">
        <f>COUNTIFS(closeDate,"&gt;="&amp;CALENDAR!C98,closeDate,"&lt;"&amp;D98,SIZE,"&gt;0")</f>
        <v>0</v>
      </c>
      <c r="D100" s="749">
        <f>COUNTIFS(closeDate,"&gt;="&amp;CALENDAR!D98,closeDate,"&lt;"&amp;E98,SIZE,"&gt;0")</f>
        <v>0</v>
      </c>
      <c r="E100" s="749">
        <f>COUNTIFS(closeDate,"&gt;="&amp;CALENDAR!E98,closeDate,"&lt;"&amp;F98,SIZE,"&gt;0")</f>
        <v>0</v>
      </c>
      <c r="F100" s="749">
        <f>COUNTIFS(closeDate,"&gt;="&amp;CALENDAR!F98,closeDate,"&lt;"&amp;G98,SIZE,"&gt;0")</f>
        <v>0</v>
      </c>
      <c r="G100" s="749">
        <f>COUNTIFS(closeDate,"&gt;="&amp;CALENDAR!G98,closeDate,"&lt;"&amp;H98,SIZE,"&gt;0")</f>
        <v>0</v>
      </c>
      <c r="H100" s="749">
        <f>COUNTIFS(closeDate,"&gt;="&amp;CALENDAR!H98,closeDate,"&lt;"&amp;I98,SIZE,"&gt;0")</f>
        <v>0</v>
      </c>
      <c r="I100" s="749">
        <f>COUNTIFS(closeDate,"&gt;="&amp;CALENDAR!I98,closeDate,"&lt;"&amp;(I98+1),SIZE,"&gt;0")</f>
        <v>0</v>
      </c>
      <c r="J100" s="161"/>
      <c r="K100" s="161"/>
      <c r="L100" s="161"/>
    </row>
    <row r="101" spans="2:12" ht="15" customHeight="1" thickTop="1">
      <c r="B101" s="161"/>
      <c r="C101" s="747">
        <f>I98+1</f>
        <v>44094</v>
      </c>
      <c r="D101" s="747">
        <f>C101+1</f>
        <v>44095</v>
      </c>
      <c r="E101" s="747">
        <f t="shared" ref="E101:E107" si="56">D101+1</f>
        <v>44096</v>
      </c>
      <c r="F101" s="747">
        <f t="shared" ref="F101:F107" si="57">E101+1</f>
        <v>44097</v>
      </c>
      <c r="G101" s="747">
        <f t="shared" ref="G101:G107" si="58">F101+1</f>
        <v>44098</v>
      </c>
      <c r="H101" s="747">
        <f t="shared" ref="H101:H107" si="59">G101+1</f>
        <v>44099</v>
      </c>
      <c r="I101" s="747">
        <f t="shared" ref="I101:I107" si="60">H101+1</f>
        <v>44100</v>
      </c>
      <c r="J101" s="161"/>
      <c r="K101" s="161"/>
      <c r="L101" s="161"/>
    </row>
    <row r="102" spans="2:12" ht="15" customHeight="1">
      <c r="B102" s="161"/>
      <c r="C102" s="748">
        <f>SUMIFS('TRADE LOG'!$T$15:$T$9733,closeDate,"&gt;="&amp;CALENDAR!C101,closeDate,"&lt;"&amp;D101,SIZE,"&gt;0")</f>
        <v>0</v>
      </c>
      <c r="D102" s="748">
        <f>SUMIFS('TRADE LOG'!$T$15:$T$9733,closeDate,"&gt;="&amp;CALENDAR!D101,closeDate,"&lt;"&amp;E101,SIZE,"&gt;0")</f>
        <v>0</v>
      </c>
      <c r="E102" s="748">
        <f>SUMIFS('TRADE LOG'!$T$15:$T$9733,closeDate,"&gt;="&amp;CALENDAR!E101,closeDate,"&lt;"&amp;F101,SIZE,"&gt;0")</f>
        <v>0</v>
      </c>
      <c r="F102" s="748">
        <f>SUMIFS('TRADE LOG'!$T$15:$T$9733,closeDate,"&gt;="&amp;CALENDAR!F101,closeDate,"&lt;"&amp;G101,SIZE,"&gt;0")</f>
        <v>0</v>
      </c>
      <c r="G102" s="748">
        <f>SUMIFS('TRADE LOG'!$T$15:$T$9733,closeDate,"&gt;="&amp;CALENDAR!G101,closeDate,"&lt;"&amp;H101,SIZE,"&gt;0")</f>
        <v>0</v>
      </c>
      <c r="H102" s="748">
        <f>SUMIFS('TRADE LOG'!$T$15:$T$9733,closeDate,"&gt;="&amp;CALENDAR!H101,closeDate,"&lt;"&amp;I101,SIZE,"&gt;0")</f>
        <v>0</v>
      </c>
      <c r="I102" s="748">
        <f>SUMIFS('TRADE LOG'!$T$15:$T$9733,closeDate,"&gt;="&amp;CALENDAR!I101,closeDate,"&lt;"&amp;I101+1,SIZE,"&gt;0")</f>
        <v>0</v>
      </c>
      <c r="J102" s="161"/>
      <c r="K102" s="161"/>
      <c r="L102" s="161"/>
    </row>
    <row r="103" spans="2:12" ht="15" customHeight="1" thickBot="1">
      <c r="B103" s="161"/>
      <c r="C103" s="749">
        <f>COUNTIFS(closeDate,"&gt;="&amp;CALENDAR!C101,closeDate,"&lt;"&amp;D101,SIZE,"&gt;0")</f>
        <v>0</v>
      </c>
      <c r="D103" s="749">
        <f>COUNTIFS(closeDate,"&gt;="&amp;CALENDAR!D101,closeDate,"&lt;"&amp;E101,SIZE,"&gt;0")</f>
        <v>0</v>
      </c>
      <c r="E103" s="749">
        <f>COUNTIFS(closeDate,"&gt;="&amp;CALENDAR!E101,closeDate,"&lt;"&amp;F101,SIZE,"&gt;0")</f>
        <v>0</v>
      </c>
      <c r="F103" s="749">
        <f>COUNTIFS(closeDate,"&gt;="&amp;CALENDAR!F101,closeDate,"&lt;"&amp;G101,SIZE,"&gt;0")</f>
        <v>0</v>
      </c>
      <c r="G103" s="749">
        <f>COUNTIFS(closeDate,"&gt;="&amp;CALENDAR!G101,closeDate,"&lt;"&amp;H101,SIZE,"&gt;0")</f>
        <v>0</v>
      </c>
      <c r="H103" s="749">
        <f>COUNTIFS(closeDate,"&gt;="&amp;CALENDAR!H101,closeDate,"&lt;"&amp;I101,SIZE,"&gt;0")</f>
        <v>0</v>
      </c>
      <c r="I103" s="749">
        <f>COUNTIFS(closeDate,"&gt;="&amp;CALENDAR!I101,closeDate,"&lt;"&amp;(I101+1),SIZE,"&gt;0")</f>
        <v>0</v>
      </c>
      <c r="J103" s="161"/>
      <c r="K103" s="161"/>
      <c r="L103" s="161"/>
    </row>
    <row r="104" spans="2:12" ht="15" customHeight="1" thickTop="1">
      <c r="B104" s="161"/>
      <c r="C104" s="747">
        <f>IFERROR(IF(MONTH(C90)&lt;&gt;MONTH(I101+1),"",(I101+1)),"")</f>
        <v>44101</v>
      </c>
      <c r="D104" s="747">
        <f>IFERROR(IF(MONTH(C90)&lt;&gt;MONTH(C104+1),"",(C104+1)),"")</f>
        <v>44102</v>
      </c>
      <c r="E104" s="747">
        <f>IFERROR(IF(MONTH(C90)&lt;&gt;MONTH(D104+1),"",(D104+1)),"")</f>
        <v>44103</v>
      </c>
      <c r="F104" s="747">
        <f>IFERROR(IF(MONTH(C90)&lt;&gt;MONTH(E104+1),"",(E104+1)),"")</f>
        <v>44104</v>
      </c>
      <c r="G104" s="747" t="str">
        <f>IFERROR(IF(MONTH(C90)&lt;&gt;MONTH(F104+1),"",(F104+1)),"")</f>
        <v/>
      </c>
      <c r="H104" s="747" t="str">
        <f>IFERROR(IF(MONTH(C90)&lt;&gt;MONTH(G104+1),"",(G104+1)),"")</f>
        <v/>
      </c>
      <c r="I104" s="747" t="str">
        <f>IFERROR(IF(MONTH(C90)&lt;&gt;MONTH(H104+1),"",(H104+1)),"")</f>
        <v/>
      </c>
      <c r="J104" s="161"/>
      <c r="K104" s="161"/>
      <c r="L104" s="161"/>
    </row>
    <row r="105" spans="2:12" ht="15" customHeight="1">
      <c r="B105" s="161"/>
      <c r="C105" s="748">
        <f>SUMIFS('TRADE LOG'!$T$15:$T$9733,closeDate,"&gt;="&amp;CALENDAR!C104,closeDate,"&lt;"&amp;C104+1,SIZE,"&gt;0")</f>
        <v>0</v>
      </c>
      <c r="D105" s="748">
        <f>SUMIFS('TRADE LOG'!$T$15:$T$9733,closeDate,"&gt;="&amp;CALENDAR!D104,closeDate,"&lt;"&amp;D104+1,SIZE,"&gt;0")</f>
        <v>0</v>
      </c>
      <c r="E105" s="748">
        <f>SUMIFS('TRADE LOG'!$T$15:$T$9733,closeDate,"&gt;="&amp;CALENDAR!E104,closeDate,"&lt;"&amp;E104+1,SIZE,"&gt;0")</f>
        <v>0</v>
      </c>
      <c r="F105" s="748">
        <f>SUMIFS('TRADE LOG'!$T$15:$T$9733,closeDate,"&gt;="&amp;CALENDAR!F104,closeDate,"&lt;"&amp;F104+1,SIZE,"&gt;0")</f>
        <v>0</v>
      </c>
      <c r="G105" s="748">
        <f>SUMIFS('TRADE LOG'!$T$15:$T$9733,closeDate,"&gt;="&amp;CALENDAR!G104,closeDate,"&lt;"&amp;G104+1,SIZE,"&gt;0")</f>
        <v>0</v>
      </c>
      <c r="H105" s="748">
        <f>SUMIFS('TRADE LOG'!$T$15:$T$9733,closeDate,"&gt;="&amp;CALENDAR!H104,closeDate,"&lt;"&amp;H104+1,SIZE,"&gt;0")</f>
        <v>0</v>
      </c>
      <c r="I105" s="748">
        <f>SUMIFS('TRADE LOG'!$T$15:$T$9733,closeDate,"&gt;="&amp;CALENDAR!I104,closeDate,"&lt;"&amp;I104+1,SIZE,"&gt;0")</f>
        <v>0</v>
      </c>
      <c r="J105" s="161"/>
      <c r="K105" s="161"/>
      <c r="L105" s="161"/>
    </row>
    <row r="106" spans="2:12" ht="15" customHeight="1" thickBot="1">
      <c r="B106" s="161"/>
      <c r="C106" s="749">
        <f>COUNTIFS(closeDate,"&gt;="&amp;CALENDAR!C104,closeDate,"&lt;"&amp;C104+1,SIZE,"&gt;0")</f>
        <v>0</v>
      </c>
      <c r="D106" s="749">
        <f>COUNTIFS(closeDate,"&gt;="&amp;CALENDAR!D104,closeDate,"&lt;"&amp;D104+1,SIZE,"&gt;0")</f>
        <v>0</v>
      </c>
      <c r="E106" s="749">
        <f>COUNTIFS(closeDate,"&gt;="&amp;CALENDAR!E104,closeDate,"&lt;"&amp;E104+1,SIZE,"&gt;0")</f>
        <v>0</v>
      </c>
      <c r="F106" s="749">
        <f>COUNTIFS(closeDate,"&gt;="&amp;CALENDAR!F104,closeDate,"&lt;"&amp;F104+1,SIZE,"&gt;0")</f>
        <v>0</v>
      </c>
      <c r="G106" s="749">
        <f>COUNTIFS(closeDate,"&gt;="&amp;CALENDAR!G104,closeDate,"&lt;"&amp;G104+1,SIZE,"&gt;0")</f>
        <v>0</v>
      </c>
      <c r="H106" s="749">
        <f>COUNTIFS(closeDate,"&gt;="&amp;CALENDAR!H104,closeDate,"&lt;"&amp;H104+1,SIZE,"&gt;0")</f>
        <v>0</v>
      </c>
      <c r="I106" s="749">
        <f>COUNTIFS(closeDate,"&gt;="&amp;CALENDAR!I104,closeDate,"&lt;"&amp;(I104+1),SIZE,"&gt;0")</f>
        <v>0</v>
      </c>
      <c r="J106" s="161"/>
      <c r="K106" s="161"/>
      <c r="L106" s="161"/>
    </row>
    <row r="107" spans="2:12" ht="15" customHeight="1" thickTop="1">
      <c r="B107" s="161"/>
      <c r="C107" s="747" t="str">
        <f>IFERROR(IF(MONTH(C90)&lt;&gt;MONTH(I104+1),"",(I104+1)),"")</f>
        <v/>
      </c>
      <c r="D107" s="747" t="str">
        <f>IFERROR(IF(MONTH(C90)&lt;&gt;MONTH(C107+1),"",(C107+1)),"")</f>
        <v/>
      </c>
      <c r="E107" s="747" t="str">
        <f>IFERROR(IF(MONTH(C90)&lt;&gt;MONTH(D107+1),"",(D107+1)),"")</f>
        <v/>
      </c>
      <c r="F107" s="747" t="str">
        <f>IFERROR(IF(MONTH(C90)&lt;&gt;MONTH(E107+1),"",(E107+1)),"")</f>
        <v/>
      </c>
      <c r="G107" s="747" t="str">
        <f>IFERROR(IF(MONTH(C90)&lt;&gt;MONTH(F107+1),"",(F107+1)),"")</f>
        <v/>
      </c>
      <c r="H107" s="747" t="str">
        <f>IFERROR(IF(MONTH(C90)&lt;&gt;MONTH(G107+1),"",(G107+1)),"")</f>
        <v/>
      </c>
      <c r="I107" s="747" t="str">
        <f>IFERROR(IF(MONTH(C90)&lt;&gt;MONTH(H107+1),"",(H107+1)),"")</f>
        <v/>
      </c>
      <c r="J107" s="161"/>
      <c r="K107" s="161"/>
      <c r="L107" s="161"/>
    </row>
    <row r="108" spans="2:12" ht="15" customHeight="1">
      <c r="B108" s="161"/>
      <c r="C108" s="748">
        <f>SUMIFS('TRADE LOG'!$T$15:$T$9733,closeDate,"&gt;="&amp;CALENDAR!C107,closeDate,"&lt;"&amp;C107+1,SIZE,"&gt;0")</f>
        <v>0</v>
      </c>
      <c r="D108" s="748">
        <f>SUMIFS('TRADE LOG'!$T$15:$T$9733,closeDate,"&gt;="&amp;CALENDAR!D107,closeDate,"&lt;"&amp;D107+1,SIZE,"&gt;0")</f>
        <v>0</v>
      </c>
      <c r="E108" s="748">
        <f>SUMIFS('TRADE LOG'!$T$15:$T$9733,closeDate,"&gt;="&amp;CALENDAR!E107,closeDate,"&lt;"&amp;E107+1,SIZE,"&gt;0")</f>
        <v>0</v>
      </c>
      <c r="F108" s="748">
        <f>SUMIFS('TRADE LOG'!$T$15:$T$9733,closeDate,"&gt;="&amp;CALENDAR!F107,closeDate,"&lt;"&amp;F107+1,SIZE,"&gt;0")</f>
        <v>0</v>
      </c>
      <c r="G108" s="748">
        <f>SUMIFS('TRADE LOG'!$T$15:$T$9733,closeDate,"&gt;="&amp;CALENDAR!G107,closeDate,"&lt;"&amp;G107+1,SIZE,"&gt;0")</f>
        <v>0</v>
      </c>
      <c r="H108" s="748">
        <f>SUMIFS('TRADE LOG'!$T$15:$T$9733,closeDate,"&gt;="&amp;CALENDAR!H107,closeDate,"&lt;"&amp;H107+1,SIZE,"&gt;0")</f>
        <v>0</v>
      </c>
      <c r="I108" s="748">
        <f>SUMIFS('TRADE LOG'!$T$15:$T$9733,closeDate,"&gt;="&amp;CALENDAR!I107,closeDate,"&lt;"&amp;I107+1,SIZE,"&gt;0")</f>
        <v>0</v>
      </c>
      <c r="J108" s="161"/>
      <c r="K108" s="161"/>
      <c r="L108" s="161"/>
    </row>
    <row r="109" spans="2:12" ht="15" customHeight="1">
      <c r="B109" s="161"/>
      <c r="C109" s="750">
        <f>COUNTIFS(closeDate,"&gt;="&amp;CALENDAR!C107,closeDate,"&lt;"&amp;C107+1,SIZE,"&gt;0")</f>
        <v>0</v>
      </c>
      <c r="D109" s="750">
        <f>COUNTIFS(closeDate,"&gt;="&amp;CALENDAR!D107,closeDate,"&lt;"&amp;D107+1,SIZE,"&gt;0")</f>
        <v>0</v>
      </c>
      <c r="E109" s="750">
        <f>COUNTIFS(closeDate,"&gt;="&amp;CALENDAR!E107,closeDate,"&lt;"&amp;E107+1,SIZE,"&gt;0")</f>
        <v>0</v>
      </c>
      <c r="F109" s="750">
        <f>COUNTIFS(closeDate,"&gt;="&amp;CALENDAR!F107,closeDate,"&lt;"&amp;F107+1,SIZE,"&gt;0")</f>
        <v>0</v>
      </c>
      <c r="G109" s="750">
        <f>COUNTIFS(closeDate,"&gt;="&amp;CALENDAR!G107,closeDate,"&lt;"&amp;G107+1,SIZE,"&gt;0")</f>
        <v>0</v>
      </c>
      <c r="H109" s="750">
        <f>COUNTIFS(closeDate,"&gt;="&amp;CALENDAR!H107,closeDate,"&lt;"&amp;H107+1,SIZE,"&gt;0")</f>
        <v>0</v>
      </c>
      <c r="I109" s="750">
        <f>COUNTIFS(closeDate,"&gt;="&amp;CALENDAR!I107,closeDate,"&lt;"&amp;(I107+1),SIZE,"&gt;0")</f>
        <v>0</v>
      </c>
      <c r="J109" s="161"/>
      <c r="K109" s="161"/>
      <c r="L109" s="161"/>
    </row>
    <row r="110" spans="2:12" ht="18" customHeight="1" thickBot="1">
      <c r="B110" s="161"/>
      <c r="C110" s="751"/>
      <c r="D110" s="751"/>
      <c r="E110" s="751"/>
      <c r="F110" s="751"/>
      <c r="G110" s="751"/>
      <c r="H110" s="751"/>
      <c r="I110" s="751"/>
      <c r="J110" s="161"/>
      <c r="K110" s="161"/>
      <c r="L110" s="161"/>
    </row>
    <row r="111" spans="2:12" ht="21.95" customHeight="1">
      <c r="B111" s="161"/>
      <c r="C111" s="758">
        <f>EOMONTH(C90,0)+1</f>
        <v>44105</v>
      </c>
      <c r="D111" s="753"/>
      <c r="E111" s="754"/>
      <c r="F111" s="755"/>
      <c r="G111" s="756"/>
      <c r="H111" s="756"/>
      <c r="I111" s="756"/>
      <c r="J111" s="161"/>
      <c r="K111" s="161"/>
      <c r="L111" s="161"/>
    </row>
    <row r="112" spans="2:12" ht="24.95" customHeight="1" thickBot="1">
      <c r="B112" s="161"/>
      <c r="C112" s="757" t="s">
        <v>781</v>
      </c>
      <c r="D112" s="757" t="s">
        <v>782</v>
      </c>
      <c r="E112" s="757" t="s">
        <v>783</v>
      </c>
      <c r="F112" s="757" t="s">
        <v>784</v>
      </c>
      <c r="G112" s="757" t="s">
        <v>789</v>
      </c>
      <c r="H112" s="757" t="s">
        <v>785</v>
      </c>
      <c r="I112" s="757" t="s">
        <v>786</v>
      </c>
      <c r="J112" s="161"/>
      <c r="K112" s="161"/>
      <c r="L112" s="161"/>
    </row>
    <row r="113" spans="2:12" ht="15" customHeight="1" thickTop="1">
      <c r="B113" s="161"/>
      <c r="C113" s="747" t="str">
        <f>IF(MONTH(C111)&lt;&gt;MONTH((C111-WEEKDAY(C111,1)+1)),"",(C111-WEEKDAY(C111,1)+1))</f>
        <v/>
      </c>
      <c r="D113" s="747" t="str">
        <f>IF(MONTH(C111)&lt;&gt;MONTH((C111-WEEKDAY(C111,1)+2)),"",(C111-WEEKDAY(C111,1)+2))</f>
        <v/>
      </c>
      <c r="E113" s="747" t="str">
        <f>IF(MONTH(C111)&lt;&gt;MONTH((C111-WEEKDAY(C111,1)+3)),"",(C111-WEEKDAY(C111,1)+3))</f>
        <v/>
      </c>
      <c r="F113" s="747" t="str">
        <f>IF(MONTH(C111)&lt;&gt;MONTH((C111-WEEKDAY(C111,1)+4)),"",(C111-WEEKDAY(C111,1)+4))</f>
        <v/>
      </c>
      <c r="G113" s="747">
        <f>IF(MONTH(C111)&lt;&gt;MONTH((C111-WEEKDAY(C111,1)+5)),"",(C111-WEEKDAY(C111,1)+5))</f>
        <v>44105</v>
      </c>
      <c r="H113" s="747">
        <f>IF(MONTH(C111)&lt;&gt;MONTH((C111-WEEKDAY(C111,1)+6)),"",(C111-WEEKDAY(C111,1)+6))</f>
        <v>44106</v>
      </c>
      <c r="I113" s="747">
        <f>IF(MONTH(C111)&lt;&gt;MONTH((C111-WEEKDAY(C111,1)+7)),"",(C111-WEEKDAY(C111,1)+7))</f>
        <v>44107</v>
      </c>
      <c r="J113" s="161"/>
      <c r="K113" s="161"/>
      <c r="L113" s="161"/>
    </row>
    <row r="114" spans="2:12" ht="15" customHeight="1">
      <c r="B114" s="161"/>
      <c r="C114" s="748">
        <f>SUMIFS('TRADE LOG'!$T$15:$T$9733,closeDate,"&gt;="&amp;CALENDAR!C113,closeDate,"&lt;"&amp;D113,SIZE,"&gt;0")</f>
        <v>0</v>
      </c>
      <c r="D114" s="748">
        <f>SUMIFS('TRADE LOG'!$T$15:$T$9733,closeDate,"&gt;="&amp;CALENDAR!D113,closeDate,"&lt;"&amp;E113,SIZE,"&gt;0")</f>
        <v>0</v>
      </c>
      <c r="E114" s="748">
        <f>SUMIFS('TRADE LOG'!$T$15:$T$9733,closeDate,"&gt;="&amp;CALENDAR!E113,closeDate,"&lt;"&amp;F113,SIZE,"&gt;0")</f>
        <v>0</v>
      </c>
      <c r="F114" s="748">
        <f>SUMIFS('TRADE LOG'!$T$15:$T$9733,closeDate,"&gt;="&amp;CALENDAR!F113,closeDate,"&lt;"&amp;G113,SIZE,"&gt;0")</f>
        <v>0</v>
      </c>
      <c r="G114" s="748">
        <f>SUMIFS('TRADE LOG'!$T$15:$T$9733,closeDate,"&gt;="&amp;CALENDAR!G113,closeDate,"&lt;"&amp;H113,SIZE,"&gt;0")</f>
        <v>0</v>
      </c>
      <c r="H114" s="748">
        <f>SUMIFS('TRADE LOG'!$T$15:$T$9733,closeDate,"&gt;="&amp;CALENDAR!H113,closeDate,"&lt;"&amp;I113,SIZE,"&gt;0")</f>
        <v>0</v>
      </c>
      <c r="I114" s="748">
        <f>SUMIFS('TRADE LOG'!$T$15:$T$9733,closeDate,"&gt;="&amp;CALENDAR!I113,closeDate,"&lt;"&amp;C116,SIZE,"&gt;0")</f>
        <v>0</v>
      </c>
      <c r="J114" s="161"/>
      <c r="K114" s="161"/>
      <c r="L114" s="161"/>
    </row>
    <row r="115" spans="2:12" ht="15" customHeight="1" thickBot="1">
      <c r="B115" s="161"/>
      <c r="C115" s="749">
        <f>COUNTIFS(closeDate,"&gt;="&amp;CALENDAR!C113,closeDate,"&lt;"&amp;D113,SIZE,"&gt;0")</f>
        <v>0</v>
      </c>
      <c r="D115" s="749">
        <f>COUNTIFS(closeDate,"&gt;="&amp;CALENDAR!D113,closeDate,"&lt;"&amp;E113,SIZE,"&gt;0")</f>
        <v>0</v>
      </c>
      <c r="E115" s="749">
        <f>COUNTIFS(closeDate,"&gt;="&amp;CALENDAR!E113,closeDate,"&lt;"&amp;F113,SIZE,"&gt;0")</f>
        <v>0</v>
      </c>
      <c r="F115" s="749">
        <f>COUNTIFS(closeDate,"&gt;="&amp;CALENDAR!F113,closeDate,"&lt;"&amp;G113,SIZE,"&gt;0")</f>
        <v>0</v>
      </c>
      <c r="G115" s="749">
        <f>COUNTIFS(closeDate,"&gt;="&amp;CALENDAR!G113,closeDate,"&lt;"&amp;H113,SIZE,"&gt;0")</f>
        <v>0</v>
      </c>
      <c r="H115" s="749">
        <f>COUNTIFS(closeDate,"&gt;="&amp;CALENDAR!H113,closeDate,"&lt;"&amp;I113,SIZE,"&gt;0")</f>
        <v>0</v>
      </c>
      <c r="I115" s="749">
        <f>COUNTIFS(closeDate,"&gt;="&amp;CALENDAR!I113,closeDate,"&lt;"&amp;(I113+1),SIZE,"&gt;0")</f>
        <v>0</v>
      </c>
      <c r="J115" s="161"/>
      <c r="K115" s="161"/>
      <c r="L115" s="161"/>
    </row>
    <row r="116" spans="2:12" ht="15" customHeight="1" thickTop="1">
      <c r="B116" s="161"/>
      <c r="C116" s="747">
        <f>I113+1</f>
        <v>44108</v>
      </c>
      <c r="D116" s="747">
        <f>C116+1</f>
        <v>44109</v>
      </c>
      <c r="E116" s="747">
        <f t="shared" ref="E116:E122" si="61">D116+1</f>
        <v>44110</v>
      </c>
      <c r="F116" s="747">
        <f t="shared" ref="F116:F122" si="62">E116+1</f>
        <v>44111</v>
      </c>
      <c r="G116" s="747">
        <f t="shared" ref="G116:G122" si="63">F116+1</f>
        <v>44112</v>
      </c>
      <c r="H116" s="747">
        <f t="shared" ref="H116:H122" si="64">G116+1</f>
        <v>44113</v>
      </c>
      <c r="I116" s="747">
        <f t="shared" ref="I116:I122" si="65">H116+1</f>
        <v>44114</v>
      </c>
      <c r="J116" s="161"/>
      <c r="K116" s="161"/>
      <c r="L116" s="161"/>
    </row>
    <row r="117" spans="2:12" ht="15" customHeight="1">
      <c r="B117" s="161"/>
      <c r="C117" s="748">
        <f>SUMIFS('TRADE LOG'!$T$15:$T$9733,closeDate,"&gt;="&amp;CALENDAR!C116,closeDate,"&lt;"&amp;D116,SIZE,"&gt;0")</f>
        <v>0</v>
      </c>
      <c r="D117" s="748">
        <f>SUMIFS('TRADE LOG'!$T$15:$T$9733,closeDate,"&gt;="&amp;CALENDAR!D116,closeDate,"&lt;"&amp;E116,SIZE,"&gt;0")</f>
        <v>0</v>
      </c>
      <c r="E117" s="748">
        <f>SUMIFS('TRADE LOG'!$T$15:$T$9733,closeDate,"&gt;="&amp;CALENDAR!E116,closeDate,"&lt;"&amp;F116,SIZE,"&gt;0")</f>
        <v>0</v>
      </c>
      <c r="F117" s="748">
        <f>SUMIFS('TRADE LOG'!$T$15:$T$9733,closeDate,"&gt;="&amp;CALENDAR!F116,closeDate,"&lt;"&amp;G116,SIZE,"&gt;0")</f>
        <v>0</v>
      </c>
      <c r="G117" s="748">
        <f>SUMIFS('TRADE LOG'!$T$15:$T$9733,closeDate,"&gt;="&amp;CALENDAR!G116,closeDate,"&lt;"&amp;H116,SIZE,"&gt;0")</f>
        <v>0</v>
      </c>
      <c r="H117" s="748">
        <f>SUMIFS('TRADE LOG'!$T$15:$T$9733,closeDate,"&gt;="&amp;CALENDAR!H116,closeDate,"&lt;"&amp;I116,SIZE,"&gt;0")</f>
        <v>0</v>
      </c>
      <c r="I117" s="748">
        <f>SUMIFS('TRADE LOG'!$T$15:$T$9733,closeDate,"&gt;="&amp;CALENDAR!I116,closeDate,"&lt;"&amp;C119,SIZE,"&gt;0")</f>
        <v>0</v>
      </c>
      <c r="J117" s="161"/>
      <c r="K117" s="161"/>
      <c r="L117" s="161"/>
    </row>
    <row r="118" spans="2:12" ht="15" customHeight="1" thickBot="1">
      <c r="B118" s="161"/>
      <c r="C118" s="749">
        <f>COUNTIFS(closeDate,"&gt;="&amp;CALENDAR!C116,closeDate,"&lt;"&amp;D116,SIZE,"&gt;0")</f>
        <v>0</v>
      </c>
      <c r="D118" s="749">
        <f>COUNTIFS(closeDate,"&gt;="&amp;CALENDAR!D116,closeDate,"&lt;"&amp;E116,SIZE,"&gt;0")</f>
        <v>0</v>
      </c>
      <c r="E118" s="749">
        <f>COUNTIFS(closeDate,"&gt;="&amp;CALENDAR!E116,closeDate,"&lt;"&amp;F116,SIZE,"&gt;0")</f>
        <v>0</v>
      </c>
      <c r="F118" s="749">
        <f>COUNTIFS(closeDate,"&gt;="&amp;CALENDAR!F116,closeDate,"&lt;"&amp;G116,SIZE,"&gt;0")</f>
        <v>0</v>
      </c>
      <c r="G118" s="749">
        <f>COUNTIFS(closeDate,"&gt;="&amp;CALENDAR!G116,closeDate,"&lt;"&amp;H116,SIZE,"&gt;0")</f>
        <v>0</v>
      </c>
      <c r="H118" s="749">
        <f>COUNTIFS(closeDate,"&gt;="&amp;CALENDAR!H116,closeDate,"&lt;"&amp;I116,SIZE,"&gt;0")</f>
        <v>0</v>
      </c>
      <c r="I118" s="749">
        <f>COUNTIFS(closeDate,"&gt;="&amp;CALENDAR!I116,closeDate,"&lt;"&amp;(I116+1),SIZE,"&gt;0")</f>
        <v>0</v>
      </c>
      <c r="J118" s="161"/>
      <c r="K118" s="161"/>
      <c r="L118" s="161"/>
    </row>
    <row r="119" spans="2:12" ht="15" customHeight="1" thickTop="1">
      <c r="B119" s="161"/>
      <c r="C119" s="747">
        <f>I116+1</f>
        <v>44115</v>
      </c>
      <c r="D119" s="747">
        <f>C119+1</f>
        <v>44116</v>
      </c>
      <c r="E119" s="747">
        <f t="shared" ref="E119:E125" si="66">D119+1</f>
        <v>44117</v>
      </c>
      <c r="F119" s="747">
        <f t="shared" ref="F119:F125" si="67">E119+1</f>
        <v>44118</v>
      </c>
      <c r="G119" s="747">
        <f t="shared" ref="G119:G125" si="68">F119+1</f>
        <v>44119</v>
      </c>
      <c r="H119" s="747">
        <f t="shared" ref="H119:H125" si="69">G119+1</f>
        <v>44120</v>
      </c>
      <c r="I119" s="747">
        <f t="shared" ref="I119:I125" si="70">H119+1</f>
        <v>44121</v>
      </c>
      <c r="J119" s="161"/>
      <c r="K119" s="161"/>
      <c r="L119" s="161"/>
    </row>
    <row r="120" spans="2:12" ht="15" customHeight="1">
      <c r="B120" s="161"/>
      <c r="C120" s="748">
        <f>SUMIFS('TRADE LOG'!$T$15:$T$9733,closeDate,"&gt;="&amp;CALENDAR!C119,closeDate,"&lt;"&amp;D119,SIZE,"&gt;0")</f>
        <v>0</v>
      </c>
      <c r="D120" s="748">
        <f>SUMIFS('TRADE LOG'!$T$15:$T$9733,closeDate,"&gt;="&amp;CALENDAR!D119,closeDate,"&lt;"&amp;E119,SIZE,"&gt;0")</f>
        <v>0</v>
      </c>
      <c r="E120" s="748">
        <f>SUMIFS('TRADE LOG'!$T$15:$T$9733,closeDate,"&gt;="&amp;CALENDAR!E119,closeDate,"&lt;"&amp;F119,SIZE,"&gt;0")</f>
        <v>0</v>
      </c>
      <c r="F120" s="748">
        <f>SUMIFS('TRADE LOG'!$T$15:$T$9733,closeDate,"&gt;="&amp;CALENDAR!F119,closeDate,"&lt;"&amp;G119,SIZE,"&gt;0")</f>
        <v>0</v>
      </c>
      <c r="G120" s="748">
        <f>SUMIFS('TRADE LOG'!$T$15:$T$9733,closeDate,"&gt;="&amp;CALENDAR!G119,closeDate,"&lt;"&amp;H119,SIZE,"&gt;0")</f>
        <v>0</v>
      </c>
      <c r="H120" s="748">
        <f>SUMIFS('TRADE LOG'!$T$15:$T$9733,closeDate,"&gt;="&amp;CALENDAR!H119,closeDate,"&lt;"&amp;I119,SIZE,"&gt;0")</f>
        <v>0</v>
      </c>
      <c r="I120" s="748">
        <f>SUMIFS('TRADE LOG'!$T$15:$T$9733,closeDate,"&gt;="&amp;CALENDAR!I119,closeDate,"&lt;"&amp;C122,SIZE,"&gt;0")</f>
        <v>0</v>
      </c>
      <c r="J120" s="161"/>
      <c r="K120" s="161"/>
      <c r="L120" s="161"/>
    </row>
    <row r="121" spans="2:12" ht="15" customHeight="1" thickBot="1">
      <c r="B121" s="517"/>
      <c r="C121" s="749">
        <f>COUNTIFS(closeDate,"&gt;="&amp;CALENDAR!C119,closeDate,"&lt;"&amp;D119,SIZE,"&gt;0")</f>
        <v>0</v>
      </c>
      <c r="D121" s="749">
        <f>COUNTIFS(closeDate,"&gt;="&amp;CALENDAR!D119,closeDate,"&lt;"&amp;E119,SIZE,"&gt;0")</f>
        <v>0</v>
      </c>
      <c r="E121" s="749">
        <f>COUNTIFS(closeDate,"&gt;="&amp;CALENDAR!E119,closeDate,"&lt;"&amp;F119,SIZE,"&gt;0")</f>
        <v>0</v>
      </c>
      <c r="F121" s="749">
        <f>COUNTIFS(closeDate,"&gt;="&amp;CALENDAR!F119,closeDate,"&lt;"&amp;G119,SIZE,"&gt;0")</f>
        <v>0</v>
      </c>
      <c r="G121" s="749">
        <f>COUNTIFS(closeDate,"&gt;="&amp;CALENDAR!G119,closeDate,"&lt;"&amp;H119,SIZE,"&gt;0")</f>
        <v>0</v>
      </c>
      <c r="H121" s="749">
        <f>COUNTIFS(closeDate,"&gt;="&amp;CALENDAR!H119,closeDate,"&lt;"&amp;I119,SIZE,"&gt;0")</f>
        <v>0</v>
      </c>
      <c r="I121" s="749">
        <f>COUNTIFS(closeDate,"&gt;="&amp;CALENDAR!I119,closeDate,"&lt;"&amp;(I119+1),SIZE,"&gt;0")</f>
        <v>0</v>
      </c>
      <c r="J121" s="517"/>
      <c r="K121" s="517"/>
      <c r="L121" s="161"/>
    </row>
    <row r="122" spans="2:12" ht="15" customHeight="1" thickTop="1">
      <c r="B122" s="161"/>
      <c r="C122" s="747">
        <f>I119+1</f>
        <v>44122</v>
      </c>
      <c r="D122" s="747">
        <f>C122+1</f>
        <v>44123</v>
      </c>
      <c r="E122" s="747">
        <f t="shared" ref="E122:E128" si="71">D122+1</f>
        <v>44124</v>
      </c>
      <c r="F122" s="747">
        <f t="shared" ref="F122:F128" si="72">E122+1</f>
        <v>44125</v>
      </c>
      <c r="G122" s="747">
        <f t="shared" ref="G122:G128" si="73">F122+1</f>
        <v>44126</v>
      </c>
      <c r="H122" s="747">
        <f t="shared" ref="H122:H128" si="74">G122+1</f>
        <v>44127</v>
      </c>
      <c r="I122" s="747">
        <f t="shared" ref="I122:I128" si="75">H122+1</f>
        <v>44128</v>
      </c>
      <c r="J122" s="161"/>
      <c r="K122" s="161"/>
      <c r="L122" s="161"/>
    </row>
    <row r="123" spans="2:12" ht="15" customHeight="1">
      <c r="B123" s="161"/>
      <c r="C123" s="748">
        <f>SUMIFS('TRADE LOG'!$T$15:$T$9733,closeDate,"&gt;="&amp;CALENDAR!C122,closeDate,"&lt;"&amp;D122,SIZE,"&gt;0")</f>
        <v>0</v>
      </c>
      <c r="D123" s="748">
        <f>SUMIFS('TRADE LOG'!$T$15:$T$9733,closeDate,"&gt;="&amp;CALENDAR!D122,closeDate,"&lt;"&amp;E122,SIZE,"&gt;0")</f>
        <v>0</v>
      </c>
      <c r="E123" s="748">
        <f>SUMIFS('TRADE LOG'!$T$15:$T$9733,closeDate,"&gt;="&amp;CALENDAR!E122,closeDate,"&lt;"&amp;F122,SIZE,"&gt;0")</f>
        <v>0</v>
      </c>
      <c r="F123" s="748">
        <f>SUMIFS('TRADE LOG'!$T$15:$T$9733,closeDate,"&gt;="&amp;CALENDAR!F122,closeDate,"&lt;"&amp;G122,SIZE,"&gt;0")</f>
        <v>0</v>
      </c>
      <c r="G123" s="748">
        <f>SUMIFS('TRADE LOG'!$T$15:$T$9733,closeDate,"&gt;="&amp;CALENDAR!G122,closeDate,"&lt;"&amp;H122,SIZE,"&gt;0")</f>
        <v>0</v>
      </c>
      <c r="H123" s="748">
        <f>SUMIFS('TRADE LOG'!$T$15:$T$9733,closeDate,"&gt;="&amp;CALENDAR!H122,closeDate,"&lt;"&amp;I122,SIZE,"&gt;0")</f>
        <v>0</v>
      </c>
      <c r="I123" s="748">
        <f>SUMIFS('TRADE LOG'!$T$15:$T$9733,closeDate,"&gt;="&amp;CALENDAR!I122,closeDate,"&lt;"&amp;I122+1,SIZE,"&gt;0")</f>
        <v>0</v>
      </c>
      <c r="J123" s="161"/>
      <c r="K123" s="161"/>
      <c r="L123" s="161"/>
    </row>
    <row r="124" spans="2:12" ht="15" customHeight="1" thickBot="1">
      <c r="B124" s="161"/>
      <c r="C124" s="749">
        <f>COUNTIFS(closeDate,"&gt;="&amp;CALENDAR!C122,closeDate,"&lt;"&amp;D122,SIZE,"&gt;0")</f>
        <v>0</v>
      </c>
      <c r="D124" s="749">
        <f>COUNTIFS(closeDate,"&gt;="&amp;CALENDAR!D122,closeDate,"&lt;"&amp;E122,SIZE,"&gt;0")</f>
        <v>0</v>
      </c>
      <c r="E124" s="749">
        <f>COUNTIFS(closeDate,"&gt;="&amp;CALENDAR!E122,closeDate,"&lt;"&amp;F122,SIZE,"&gt;0")</f>
        <v>0</v>
      </c>
      <c r="F124" s="749">
        <f>COUNTIFS(closeDate,"&gt;="&amp;CALENDAR!F122,closeDate,"&lt;"&amp;G122,SIZE,"&gt;0")</f>
        <v>0</v>
      </c>
      <c r="G124" s="749">
        <f>COUNTIFS(closeDate,"&gt;="&amp;CALENDAR!G122,closeDate,"&lt;"&amp;H122,SIZE,"&gt;0")</f>
        <v>0</v>
      </c>
      <c r="H124" s="749">
        <f>COUNTIFS(closeDate,"&gt;="&amp;CALENDAR!H122,closeDate,"&lt;"&amp;I122,SIZE,"&gt;0")</f>
        <v>0</v>
      </c>
      <c r="I124" s="749">
        <f>COUNTIFS(closeDate,"&gt;="&amp;CALENDAR!I122,closeDate,"&lt;"&amp;(I122+1),SIZE,"&gt;0")</f>
        <v>0</v>
      </c>
      <c r="J124" s="161"/>
      <c r="K124" s="161"/>
      <c r="L124" s="161"/>
    </row>
    <row r="125" spans="2:12" ht="15" customHeight="1" thickTop="1">
      <c r="B125" s="161"/>
      <c r="C125" s="747">
        <f>IFERROR(IF(MONTH(C111)&lt;&gt;MONTH(I122+1),"",(I122+1)),"")</f>
        <v>44129</v>
      </c>
      <c r="D125" s="747">
        <f>IFERROR(IF(MONTH(C111)&lt;&gt;MONTH(C125+1),"",(C125+1)),"")</f>
        <v>44130</v>
      </c>
      <c r="E125" s="747">
        <f>IFERROR(IF(MONTH(C111)&lt;&gt;MONTH(D125+1),"",(D125+1)),"")</f>
        <v>44131</v>
      </c>
      <c r="F125" s="747">
        <f>IFERROR(IF(MONTH(C111)&lt;&gt;MONTH(E125+1),"",(E125+1)),"")</f>
        <v>44132</v>
      </c>
      <c r="G125" s="747">
        <f>IFERROR(IF(MONTH(C111)&lt;&gt;MONTH(F125+1),"",(F125+1)),"")</f>
        <v>44133</v>
      </c>
      <c r="H125" s="747">
        <f>IFERROR(IF(MONTH(C111)&lt;&gt;MONTH(G125+1),"",(G125+1)),"")</f>
        <v>44134</v>
      </c>
      <c r="I125" s="747">
        <f>IFERROR(IF(MONTH(C111)&lt;&gt;MONTH(H125+1),"",(H125+1)),"")</f>
        <v>44135</v>
      </c>
      <c r="J125" s="161"/>
      <c r="K125" s="161"/>
      <c r="L125" s="161"/>
    </row>
    <row r="126" spans="2:12" ht="15" customHeight="1">
      <c r="B126" s="161"/>
      <c r="C126" s="748">
        <f>SUMIFS('TRADE LOG'!$T$15:$T$9733,closeDate,"&gt;="&amp;CALENDAR!C125,closeDate,"&lt;"&amp;C125+1,SIZE,"&gt;0")</f>
        <v>0</v>
      </c>
      <c r="D126" s="748">
        <f>SUMIFS('TRADE LOG'!$T$15:$T$9733,closeDate,"&gt;="&amp;CALENDAR!D125,closeDate,"&lt;"&amp;D125+1,SIZE,"&gt;0")</f>
        <v>0</v>
      </c>
      <c r="E126" s="748">
        <f>SUMIFS('TRADE LOG'!$T$15:$T$9733,closeDate,"&gt;="&amp;CALENDAR!E125,closeDate,"&lt;"&amp;E125+1,SIZE,"&gt;0")</f>
        <v>0</v>
      </c>
      <c r="F126" s="748">
        <f>SUMIFS('TRADE LOG'!$T$15:$T$9733,closeDate,"&gt;="&amp;CALENDAR!F125,closeDate,"&lt;"&amp;F125+1,SIZE,"&gt;0")</f>
        <v>0</v>
      </c>
      <c r="G126" s="748">
        <f>SUMIFS('TRADE LOG'!$T$15:$T$9733,closeDate,"&gt;="&amp;CALENDAR!G125,closeDate,"&lt;"&amp;G125+1,SIZE,"&gt;0")</f>
        <v>0</v>
      </c>
      <c r="H126" s="748">
        <f>SUMIFS('TRADE LOG'!$T$15:$T$9733,closeDate,"&gt;="&amp;CALENDAR!H125,closeDate,"&lt;"&amp;H125+1,SIZE,"&gt;0")</f>
        <v>0</v>
      </c>
      <c r="I126" s="748">
        <f>SUMIFS('TRADE LOG'!$T$15:$T$9733,closeDate,"&gt;="&amp;CALENDAR!I125,closeDate,"&lt;"&amp;I125+1,SIZE,"&gt;0")</f>
        <v>0</v>
      </c>
      <c r="J126" s="161"/>
      <c r="K126" s="161"/>
      <c r="L126" s="161"/>
    </row>
    <row r="127" spans="2:12" ht="15" customHeight="1" thickBot="1">
      <c r="B127" s="161"/>
      <c r="C127" s="749">
        <f>COUNTIFS(closeDate,"&gt;="&amp;CALENDAR!C125,closeDate,"&lt;"&amp;C125+1,SIZE,"&gt;0")</f>
        <v>0</v>
      </c>
      <c r="D127" s="749">
        <f>COUNTIFS(closeDate,"&gt;="&amp;CALENDAR!D125,closeDate,"&lt;"&amp;D125+1,SIZE,"&gt;0")</f>
        <v>0</v>
      </c>
      <c r="E127" s="749">
        <f>COUNTIFS(closeDate,"&gt;="&amp;CALENDAR!E125,closeDate,"&lt;"&amp;E125+1,SIZE,"&gt;0")</f>
        <v>0</v>
      </c>
      <c r="F127" s="749">
        <f>COUNTIFS(closeDate,"&gt;="&amp;CALENDAR!F125,closeDate,"&lt;"&amp;F125+1,SIZE,"&gt;0")</f>
        <v>0</v>
      </c>
      <c r="G127" s="749">
        <f>COUNTIFS(closeDate,"&gt;="&amp;CALENDAR!G125,closeDate,"&lt;"&amp;G125+1,SIZE,"&gt;0")</f>
        <v>0</v>
      </c>
      <c r="H127" s="749">
        <f>COUNTIFS(closeDate,"&gt;="&amp;CALENDAR!H125,closeDate,"&lt;"&amp;H125+1,SIZE,"&gt;0")</f>
        <v>0</v>
      </c>
      <c r="I127" s="749">
        <f>COUNTIFS(closeDate,"&gt;="&amp;CALENDAR!I125,closeDate,"&lt;"&amp;(I125+1),SIZE,"&gt;0")</f>
        <v>0</v>
      </c>
      <c r="J127" s="161"/>
      <c r="K127" s="161"/>
      <c r="L127" s="161"/>
    </row>
    <row r="128" spans="2:12" ht="15" customHeight="1" thickTop="1">
      <c r="B128" s="161"/>
      <c r="C128" s="747" t="str">
        <f>IFERROR(IF(MONTH(C111)&lt;&gt;MONTH(I125+1),"",(I125+1)),"")</f>
        <v/>
      </c>
      <c r="D128" s="747" t="str">
        <f>IFERROR(IF(MONTH(C111)&lt;&gt;MONTH(C128+1),"",(C128+1)),"")</f>
        <v/>
      </c>
      <c r="E128" s="747" t="str">
        <f>IFERROR(IF(MONTH(C111)&lt;&gt;MONTH(D128+1),"",(D128+1)),"")</f>
        <v/>
      </c>
      <c r="F128" s="747" t="str">
        <f>IFERROR(IF(MONTH(C111)&lt;&gt;MONTH(E128+1),"",(E128+1)),"")</f>
        <v/>
      </c>
      <c r="G128" s="747" t="str">
        <f>IFERROR(IF(MONTH(C111)&lt;&gt;MONTH(F128+1),"",(F128+1)),"")</f>
        <v/>
      </c>
      <c r="H128" s="747" t="str">
        <f>IFERROR(IF(MONTH(C111)&lt;&gt;MONTH(G128+1),"",(G128+1)),"")</f>
        <v/>
      </c>
      <c r="I128" s="747" t="str">
        <f>IFERROR(IF(MONTH(C111)&lt;&gt;MONTH(H128+1),"",(H128+1)),"")</f>
        <v/>
      </c>
      <c r="J128" s="161"/>
      <c r="K128" s="161"/>
      <c r="L128" s="161"/>
    </row>
    <row r="129" spans="2:12" ht="15" customHeight="1">
      <c r="B129" s="161"/>
      <c r="C129" s="748">
        <f>SUMIFS('TRADE LOG'!$T$15:$T$9733,closeDate,"&gt;="&amp;CALENDAR!C128,closeDate,"&lt;"&amp;C128+1,SIZE,"&gt;0")</f>
        <v>0</v>
      </c>
      <c r="D129" s="748">
        <f>SUMIFS('TRADE LOG'!$T$15:$T$9733,closeDate,"&gt;="&amp;CALENDAR!D128,closeDate,"&lt;"&amp;D128+1,SIZE,"&gt;0")</f>
        <v>0</v>
      </c>
      <c r="E129" s="748">
        <f>SUMIFS('TRADE LOG'!$T$15:$T$9733,closeDate,"&gt;="&amp;CALENDAR!E128,closeDate,"&lt;"&amp;E128+1,SIZE,"&gt;0")</f>
        <v>0</v>
      </c>
      <c r="F129" s="748">
        <f>SUMIFS('TRADE LOG'!$T$15:$T$9733,closeDate,"&gt;="&amp;CALENDAR!F128,closeDate,"&lt;"&amp;F128+1,SIZE,"&gt;0")</f>
        <v>0</v>
      </c>
      <c r="G129" s="748">
        <f>SUMIFS('TRADE LOG'!$T$15:$T$9733,closeDate,"&gt;="&amp;CALENDAR!G128,closeDate,"&lt;"&amp;G128+1,SIZE,"&gt;0")</f>
        <v>0</v>
      </c>
      <c r="H129" s="748">
        <f>SUMIFS('TRADE LOG'!$T$15:$T$9733,closeDate,"&gt;="&amp;CALENDAR!H128,closeDate,"&lt;"&amp;H128+1,SIZE,"&gt;0")</f>
        <v>0</v>
      </c>
      <c r="I129" s="748">
        <f>SUMIFS('TRADE LOG'!$T$15:$T$9733,closeDate,"&gt;="&amp;CALENDAR!I128,closeDate,"&lt;"&amp;I128+1,SIZE,"&gt;0")</f>
        <v>0</v>
      </c>
      <c r="J129" s="161"/>
      <c r="K129" s="161"/>
      <c r="L129" s="161"/>
    </row>
    <row r="130" spans="2:12" ht="15" customHeight="1">
      <c r="B130" s="161"/>
      <c r="C130" s="750">
        <f>COUNTIFS(closeDate,"&gt;="&amp;CALENDAR!C128,closeDate,"&lt;"&amp;C128+1,SIZE,"&gt;0")</f>
        <v>0</v>
      </c>
      <c r="D130" s="750">
        <f>COUNTIFS(closeDate,"&gt;="&amp;CALENDAR!D128,closeDate,"&lt;"&amp;D128+1,SIZE,"&gt;0")</f>
        <v>0</v>
      </c>
      <c r="E130" s="750">
        <f>COUNTIFS(closeDate,"&gt;="&amp;CALENDAR!E128,closeDate,"&lt;"&amp;E128+1,SIZE,"&gt;0")</f>
        <v>0</v>
      </c>
      <c r="F130" s="750">
        <f>COUNTIFS(closeDate,"&gt;="&amp;CALENDAR!F128,closeDate,"&lt;"&amp;F128+1,SIZE,"&gt;0")</f>
        <v>0</v>
      </c>
      <c r="G130" s="750">
        <f>COUNTIFS(closeDate,"&gt;="&amp;CALENDAR!G128,closeDate,"&lt;"&amp;G128+1,SIZE,"&gt;0")</f>
        <v>0</v>
      </c>
      <c r="H130" s="750">
        <f>COUNTIFS(closeDate,"&gt;="&amp;CALENDAR!H128,closeDate,"&lt;"&amp;H128+1,SIZE,"&gt;0")</f>
        <v>0</v>
      </c>
      <c r="I130" s="750">
        <f>COUNTIFS(closeDate,"&gt;="&amp;CALENDAR!I128,closeDate,"&lt;"&amp;(I128+1),SIZE,"&gt;0")</f>
        <v>0</v>
      </c>
      <c r="J130" s="161"/>
      <c r="K130" s="161"/>
      <c r="L130" s="161"/>
    </row>
    <row r="131" spans="2:12" ht="18" customHeight="1" thickBot="1">
      <c r="B131" s="161"/>
      <c r="C131" s="751"/>
      <c r="D131" s="751"/>
      <c r="E131" s="751"/>
      <c r="F131" s="751"/>
      <c r="G131" s="751"/>
      <c r="H131" s="751"/>
      <c r="I131" s="751"/>
      <c r="J131" s="161"/>
      <c r="K131" s="161"/>
      <c r="L131" s="161"/>
    </row>
    <row r="132" spans="2:12" ht="21.95" customHeight="1">
      <c r="B132" s="161"/>
      <c r="C132" s="752">
        <f>EOMONTH(C111,0)+1</f>
        <v>44136</v>
      </c>
      <c r="D132" s="753"/>
      <c r="E132" s="754"/>
      <c r="F132" s="755"/>
      <c r="G132" s="756"/>
      <c r="H132" s="756"/>
      <c r="I132" s="756"/>
      <c r="J132" s="161"/>
      <c r="K132" s="161"/>
      <c r="L132" s="161"/>
    </row>
    <row r="133" spans="2:12" ht="24.95" customHeight="1" thickBot="1">
      <c r="B133" s="161"/>
      <c r="C133" s="757" t="s">
        <v>781</v>
      </c>
      <c r="D133" s="757" t="s">
        <v>782</v>
      </c>
      <c r="E133" s="757" t="s">
        <v>783</v>
      </c>
      <c r="F133" s="757" t="s">
        <v>784</v>
      </c>
      <c r="G133" s="757" t="s">
        <v>789</v>
      </c>
      <c r="H133" s="757" t="s">
        <v>785</v>
      </c>
      <c r="I133" s="757" t="s">
        <v>786</v>
      </c>
      <c r="J133" s="161"/>
      <c r="K133" s="161"/>
      <c r="L133" s="161"/>
    </row>
    <row r="134" spans="2:12" ht="15" customHeight="1" thickTop="1">
      <c r="B134" s="161"/>
      <c r="C134" s="747">
        <f>IF(MONTH(C132)&lt;&gt;MONTH((C132-WEEKDAY(C132,1)+1)),"",(C132-WEEKDAY(C132,1)+1))</f>
        <v>44136</v>
      </c>
      <c r="D134" s="747">
        <f>IF(MONTH(C132)&lt;&gt;MONTH((C132-WEEKDAY(C132,1)+2)),"",(C132-WEEKDAY(C132,1)+2))</f>
        <v>44137</v>
      </c>
      <c r="E134" s="747">
        <f>IF(MONTH(C132)&lt;&gt;MONTH((C132-WEEKDAY(C132,1)+3)),"",(C132-WEEKDAY(C132,1)+3))</f>
        <v>44138</v>
      </c>
      <c r="F134" s="747">
        <f>IF(MONTH(C132)&lt;&gt;MONTH((C132-WEEKDAY(C132,1)+4)),"",(C132-WEEKDAY(C132,1)+4))</f>
        <v>44139</v>
      </c>
      <c r="G134" s="747">
        <f>IF(MONTH(C132)&lt;&gt;MONTH((C132-WEEKDAY(C132,1)+5)),"",(C132-WEEKDAY(C132,1)+5))</f>
        <v>44140</v>
      </c>
      <c r="H134" s="747">
        <f>IF(MONTH(C132)&lt;&gt;MONTH((C132-WEEKDAY(C132,1)+6)),"",(C132-WEEKDAY(C132,1)+6))</f>
        <v>44141</v>
      </c>
      <c r="I134" s="747">
        <f>IF(MONTH(C132)&lt;&gt;MONTH((C132-WEEKDAY(C132,1)+7)),"",(C132-WEEKDAY(C132,1)+7))</f>
        <v>44142</v>
      </c>
      <c r="J134" s="161"/>
      <c r="K134" s="161"/>
      <c r="L134" s="161"/>
    </row>
    <row r="135" spans="2:12" ht="15" customHeight="1">
      <c r="B135" s="161"/>
      <c r="C135" s="748">
        <f>SUMIFS('TRADE LOG'!$T$15:$T$9733,closeDate,"&gt;="&amp;CALENDAR!C134,closeDate,"&lt;"&amp;D134,SIZE,"&gt;0")</f>
        <v>0</v>
      </c>
      <c r="D135" s="748">
        <f>SUMIFS('TRADE LOG'!$T$15:$T$9733,closeDate,"&gt;="&amp;CALENDAR!D134,closeDate,"&lt;"&amp;E134,SIZE,"&gt;0")</f>
        <v>0</v>
      </c>
      <c r="E135" s="748">
        <f>SUMIFS('TRADE LOG'!$T$15:$T$9733,closeDate,"&gt;="&amp;CALENDAR!E134,closeDate,"&lt;"&amp;F134,SIZE,"&gt;0")</f>
        <v>0</v>
      </c>
      <c r="F135" s="748">
        <f>SUMIFS('TRADE LOG'!$T$15:$T$9733,closeDate,"&gt;="&amp;CALENDAR!F134,closeDate,"&lt;"&amp;G134,SIZE,"&gt;0")</f>
        <v>0</v>
      </c>
      <c r="G135" s="748">
        <f>SUMIFS('TRADE LOG'!$T$15:$T$9733,closeDate,"&gt;="&amp;CALENDAR!G134,closeDate,"&lt;"&amp;H134,SIZE,"&gt;0")</f>
        <v>0</v>
      </c>
      <c r="H135" s="748">
        <f>SUMIFS('TRADE LOG'!$T$15:$T$9733,closeDate,"&gt;="&amp;CALENDAR!H134,closeDate,"&lt;"&amp;I134,SIZE,"&gt;0")</f>
        <v>0</v>
      </c>
      <c r="I135" s="748">
        <f>SUMIFS('TRADE LOG'!$T$15:$T$9733,closeDate,"&gt;="&amp;CALENDAR!I134,closeDate,"&lt;"&amp;C137,SIZE,"&gt;0")</f>
        <v>0</v>
      </c>
      <c r="J135" s="161"/>
      <c r="K135" s="161"/>
      <c r="L135" s="161"/>
    </row>
    <row r="136" spans="2:12" ht="15" customHeight="1" thickBot="1">
      <c r="B136" s="161"/>
      <c r="C136" s="749">
        <f>COUNTIFS(closeDate,"&gt;="&amp;CALENDAR!C134,closeDate,"&lt;"&amp;D134,SIZE,"&gt;0")</f>
        <v>0</v>
      </c>
      <c r="D136" s="749">
        <f>COUNTIFS(closeDate,"&gt;="&amp;CALENDAR!D134,closeDate,"&lt;"&amp;E134,SIZE,"&gt;0")</f>
        <v>0</v>
      </c>
      <c r="E136" s="749">
        <f>COUNTIFS(closeDate,"&gt;="&amp;CALENDAR!E134,closeDate,"&lt;"&amp;F134,SIZE,"&gt;0")</f>
        <v>0</v>
      </c>
      <c r="F136" s="749">
        <f>COUNTIFS(closeDate,"&gt;="&amp;CALENDAR!F134,closeDate,"&lt;"&amp;G134,SIZE,"&gt;0")</f>
        <v>0</v>
      </c>
      <c r="G136" s="749">
        <f>COUNTIFS(closeDate,"&gt;="&amp;CALENDAR!G134,closeDate,"&lt;"&amp;H134,SIZE,"&gt;0")</f>
        <v>0</v>
      </c>
      <c r="H136" s="749">
        <f>COUNTIFS(closeDate,"&gt;="&amp;CALENDAR!H134,closeDate,"&lt;"&amp;I134,SIZE,"&gt;0")</f>
        <v>0</v>
      </c>
      <c r="I136" s="749">
        <f>COUNTIFS(closeDate,"&gt;="&amp;CALENDAR!I134,closeDate,"&lt;"&amp;(I134+1),SIZE,"&gt;0")</f>
        <v>0</v>
      </c>
      <c r="J136" s="161"/>
      <c r="K136" s="161"/>
      <c r="L136" s="161"/>
    </row>
    <row r="137" spans="2:12" ht="15" customHeight="1" thickTop="1">
      <c r="B137" s="161"/>
      <c r="C137" s="747">
        <f>I134+1</f>
        <v>44143</v>
      </c>
      <c r="D137" s="747">
        <f>C137+1</f>
        <v>44144</v>
      </c>
      <c r="E137" s="747">
        <f t="shared" ref="E137:E143" si="76">D137+1</f>
        <v>44145</v>
      </c>
      <c r="F137" s="747">
        <f t="shared" ref="F137:F143" si="77">E137+1</f>
        <v>44146</v>
      </c>
      <c r="G137" s="747">
        <f t="shared" ref="G137:G143" si="78">F137+1</f>
        <v>44147</v>
      </c>
      <c r="H137" s="747">
        <f t="shared" ref="H137:H143" si="79">G137+1</f>
        <v>44148</v>
      </c>
      <c r="I137" s="747">
        <f t="shared" ref="I137:I143" si="80">H137+1</f>
        <v>44149</v>
      </c>
      <c r="J137" s="161"/>
      <c r="K137" s="161"/>
      <c r="L137" s="161"/>
    </row>
    <row r="138" spans="2:12" ht="15" customHeight="1">
      <c r="B138" s="161"/>
      <c r="C138" s="748">
        <f>SUMIFS('TRADE LOG'!$T$15:$T$9733,closeDate,"&gt;="&amp;CALENDAR!C137,closeDate,"&lt;"&amp;D137,SIZE,"&gt;0")</f>
        <v>0</v>
      </c>
      <c r="D138" s="748">
        <f>SUMIFS('TRADE LOG'!$T$15:$T$9733,closeDate,"&gt;="&amp;CALENDAR!D137,closeDate,"&lt;"&amp;E137,SIZE,"&gt;0")</f>
        <v>0</v>
      </c>
      <c r="E138" s="748">
        <f>SUMIFS('TRADE LOG'!$T$15:$T$9733,closeDate,"&gt;="&amp;CALENDAR!E137,closeDate,"&lt;"&amp;F137,SIZE,"&gt;0")</f>
        <v>0</v>
      </c>
      <c r="F138" s="748">
        <f>SUMIFS('TRADE LOG'!$T$15:$T$9733,closeDate,"&gt;="&amp;CALENDAR!F137,closeDate,"&lt;"&amp;G137,SIZE,"&gt;0")</f>
        <v>0</v>
      </c>
      <c r="G138" s="748">
        <f>SUMIFS('TRADE LOG'!$T$15:$T$9733,closeDate,"&gt;="&amp;CALENDAR!G137,closeDate,"&lt;"&amp;H137,SIZE,"&gt;0")</f>
        <v>0</v>
      </c>
      <c r="H138" s="748">
        <f>SUMIFS('TRADE LOG'!$T$15:$T$9733,closeDate,"&gt;="&amp;CALENDAR!H137,closeDate,"&lt;"&amp;I137,SIZE,"&gt;0")</f>
        <v>0</v>
      </c>
      <c r="I138" s="748">
        <f>SUMIFS('TRADE LOG'!$T$15:$T$9733,closeDate,"&gt;="&amp;CALENDAR!I137,closeDate,"&lt;"&amp;C140,SIZE,"&gt;0")</f>
        <v>0</v>
      </c>
      <c r="J138" s="161"/>
      <c r="K138" s="161"/>
      <c r="L138" s="161"/>
    </row>
    <row r="139" spans="2:12" ht="15" customHeight="1" thickBot="1">
      <c r="B139" s="161"/>
      <c r="C139" s="749">
        <f>COUNTIFS(closeDate,"&gt;="&amp;CALENDAR!C137,closeDate,"&lt;"&amp;D137,SIZE,"&gt;0")</f>
        <v>0</v>
      </c>
      <c r="D139" s="749">
        <f>COUNTIFS(closeDate,"&gt;="&amp;CALENDAR!D137,closeDate,"&lt;"&amp;E137,SIZE,"&gt;0")</f>
        <v>0</v>
      </c>
      <c r="E139" s="749">
        <f>COUNTIFS(closeDate,"&gt;="&amp;CALENDAR!E137,closeDate,"&lt;"&amp;F137,SIZE,"&gt;0")</f>
        <v>0</v>
      </c>
      <c r="F139" s="749">
        <f>COUNTIFS(closeDate,"&gt;="&amp;CALENDAR!F137,closeDate,"&lt;"&amp;G137,SIZE,"&gt;0")</f>
        <v>0</v>
      </c>
      <c r="G139" s="749">
        <f>COUNTIFS(closeDate,"&gt;="&amp;CALENDAR!G137,closeDate,"&lt;"&amp;H137,SIZE,"&gt;0")</f>
        <v>0</v>
      </c>
      <c r="H139" s="749">
        <f>COUNTIFS(closeDate,"&gt;="&amp;CALENDAR!H137,closeDate,"&lt;"&amp;I137,SIZE,"&gt;0")</f>
        <v>0</v>
      </c>
      <c r="I139" s="749">
        <f>COUNTIFS(closeDate,"&gt;="&amp;CALENDAR!I137,closeDate,"&lt;"&amp;(I137+1),SIZE,"&gt;0")</f>
        <v>0</v>
      </c>
      <c r="J139" s="161"/>
      <c r="K139" s="161"/>
      <c r="L139" s="161"/>
    </row>
    <row r="140" spans="2:12" ht="15" customHeight="1" thickTop="1">
      <c r="B140" s="161"/>
      <c r="C140" s="747">
        <f>I137+1</f>
        <v>44150</v>
      </c>
      <c r="D140" s="747">
        <f>C140+1</f>
        <v>44151</v>
      </c>
      <c r="E140" s="747">
        <f t="shared" ref="E140:E146" si="81">D140+1</f>
        <v>44152</v>
      </c>
      <c r="F140" s="747">
        <f t="shared" ref="F140:F146" si="82">E140+1</f>
        <v>44153</v>
      </c>
      <c r="G140" s="747">
        <f t="shared" ref="G140:G146" si="83">F140+1</f>
        <v>44154</v>
      </c>
      <c r="H140" s="747">
        <f t="shared" ref="H140:H146" si="84">G140+1</f>
        <v>44155</v>
      </c>
      <c r="I140" s="747">
        <f t="shared" ref="I140:I146" si="85">H140+1</f>
        <v>44156</v>
      </c>
      <c r="J140" s="161"/>
      <c r="K140" s="161"/>
      <c r="L140" s="161"/>
    </row>
    <row r="141" spans="2:12" ht="15" customHeight="1">
      <c r="B141" s="161"/>
      <c r="C141" s="748">
        <f>SUMIFS('TRADE LOG'!$T$15:$T$9733,closeDate,"&gt;="&amp;CALENDAR!C140,closeDate,"&lt;"&amp;D140,SIZE,"&gt;0")</f>
        <v>0</v>
      </c>
      <c r="D141" s="748">
        <f>SUMIFS('TRADE LOG'!$T$15:$T$9733,closeDate,"&gt;="&amp;CALENDAR!D140,closeDate,"&lt;"&amp;E140,SIZE,"&gt;0")</f>
        <v>0</v>
      </c>
      <c r="E141" s="748">
        <f>SUMIFS('TRADE LOG'!$T$15:$T$9733,closeDate,"&gt;="&amp;CALENDAR!E140,closeDate,"&lt;"&amp;F140,SIZE,"&gt;0")</f>
        <v>0</v>
      </c>
      <c r="F141" s="748">
        <f>SUMIFS('TRADE LOG'!$T$15:$T$9733,closeDate,"&gt;="&amp;CALENDAR!F140,closeDate,"&lt;"&amp;G140,SIZE,"&gt;0")</f>
        <v>0</v>
      </c>
      <c r="G141" s="748">
        <f>SUMIFS('TRADE LOG'!$T$15:$T$9733,closeDate,"&gt;="&amp;CALENDAR!G140,closeDate,"&lt;"&amp;H140,SIZE,"&gt;0")</f>
        <v>0</v>
      </c>
      <c r="H141" s="748">
        <f>SUMIFS('TRADE LOG'!$T$15:$T$9733,closeDate,"&gt;="&amp;CALENDAR!H140,closeDate,"&lt;"&amp;I140,SIZE,"&gt;0")</f>
        <v>0</v>
      </c>
      <c r="I141" s="748">
        <f>SUMIFS('TRADE LOG'!$T$15:$T$9733,closeDate,"&gt;="&amp;CALENDAR!I140,closeDate,"&lt;"&amp;C143,SIZE,"&gt;0")</f>
        <v>0</v>
      </c>
      <c r="J141" s="161"/>
      <c r="K141" s="161"/>
      <c r="L141" s="161"/>
    </row>
    <row r="142" spans="2:12" ht="15" customHeight="1" thickBot="1">
      <c r="B142" s="161"/>
      <c r="C142" s="749">
        <f>COUNTIFS(closeDate,"&gt;="&amp;CALENDAR!C140,closeDate,"&lt;"&amp;D140,SIZE,"&gt;0")</f>
        <v>0</v>
      </c>
      <c r="D142" s="749">
        <f>COUNTIFS(closeDate,"&gt;="&amp;CALENDAR!D140,closeDate,"&lt;"&amp;E140,SIZE,"&gt;0")</f>
        <v>0</v>
      </c>
      <c r="E142" s="749">
        <f>COUNTIFS(closeDate,"&gt;="&amp;CALENDAR!E140,closeDate,"&lt;"&amp;F140,SIZE,"&gt;0")</f>
        <v>0</v>
      </c>
      <c r="F142" s="749">
        <f>COUNTIFS(closeDate,"&gt;="&amp;CALENDAR!F140,closeDate,"&lt;"&amp;G140,SIZE,"&gt;0")</f>
        <v>0</v>
      </c>
      <c r="G142" s="749">
        <f>COUNTIFS(closeDate,"&gt;="&amp;CALENDAR!G140,closeDate,"&lt;"&amp;H140,SIZE,"&gt;0")</f>
        <v>0</v>
      </c>
      <c r="H142" s="749">
        <f>COUNTIFS(closeDate,"&gt;="&amp;CALENDAR!H140,closeDate,"&lt;"&amp;I140,SIZE,"&gt;0")</f>
        <v>0</v>
      </c>
      <c r="I142" s="749">
        <f>COUNTIFS(closeDate,"&gt;="&amp;CALENDAR!I140,closeDate,"&lt;"&amp;(I140+1),SIZE,"&gt;0")</f>
        <v>0</v>
      </c>
      <c r="J142" s="161"/>
      <c r="K142" s="161"/>
      <c r="L142" s="161"/>
    </row>
    <row r="143" spans="2:12" ht="15" customHeight="1" thickTop="1">
      <c r="B143" s="161"/>
      <c r="C143" s="747">
        <f>I140+1</f>
        <v>44157</v>
      </c>
      <c r="D143" s="747">
        <f>C143+1</f>
        <v>44158</v>
      </c>
      <c r="E143" s="747">
        <f t="shared" ref="E143:E149" si="86">D143+1</f>
        <v>44159</v>
      </c>
      <c r="F143" s="747">
        <f t="shared" ref="F143:F149" si="87">E143+1</f>
        <v>44160</v>
      </c>
      <c r="G143" s="747">
        <f t="shared" ref="G143:G149" si="88">F143+1</f>
        <v>44161</v>
      </c>
      <c r="H143" s="747">
        <f t="shared" ref="H143:H149" si="89">G143+1</f>
        <v>44162</v>
      </c>
      <c r="I143" s="747">
        <f t="shared" ref="I143:I149" si="90">H143+1</f>
        <v>44163</v>
      </c>
      <c r="J143" s="161"/>
      <c r="K143" s="161"/>
      <c r="L143" s="161"/>
    </row>
    <row r="144" spans="2:12" ht="15" customHeight="1">
      <c r="B144" s="161"/>
      <c r="C144" s="748">
        <f>SUMIFS('TRADE LOG'!$T$15:$T$9733,closeDate,"&gt;="&amp;CALENDAR!C143,closeDate,"&lt;"&amp;D143,SIZE,"&gt;0")</f>
        <v>0</v>
      </c>
      <c r="D144" s="748">
        <f>SUMIFS('TRADE LOG'!$T$15:$T$9733,closeDate,"&gt;="&amp;CALENDAR!D143,closeDate,"&lt;"&amp;E143,SIZE,"&gt;0")</f>
        <v>0</v>
      </c>
      <c r="E144" s="748">
        <f>SUMIFS('TRADE LOG'!$T$15:$T$9733,closeDate,"&gt;="&amp;CALENDAR!E143,closeDate,"&lt;"&amp;F143,SIZE,"&gt;0")</f>
        <v>0</v>
      </c>
      <c r="F144" s="748">
        <f>SUMIFS('TRADE LOG'!$T$15:$T$9733,closeDate,"&gt;="&amp;CALENDAR!F143,closeDate,"&lt;"&amp;G143,SIZE,"&gt;0")</f>
        <v>0</v>
      </c>
      <c r="G144" s="748">
        <f>SUMIFS('TRADE LOG'!$T$15:$T$9733,closeDate,"&gt;="&amp;CALENDAR!G143,closeDate,"&lt;"&amp;H143,SIZE,"&gt;0")</f>
        <v>0</v>
      </c>
      <c r="H144" s="748">
        <f>SUMIFS('TRADE LOG'!$T$15:$T$9733,closeDate,"&gt;="&amp;CALENDAR!H143,closeDate,"&lt;"&amp;I143,SIZE,"&gt;0")</f>
        <v>0</v>
      </c>
      <c r="I144" s="748">
        <f>SUMIFS('TRADE LOG'!$T$15:$T$9733,closeDate,"&gt;="&amp;CALENDAR!I143,closeDate,"&lt;"&amp;I143+1,SIZE,"&gt;0")</f>
        <v>0</v>
      </c>
      <c r="J144" s="161"/>
      <c r="K144" s="161"/>
      <c r="L144" s="161"/>
    </row>
    <row r="145" spans="2:12" ht="15" customHeight="1" thickBot="1">
      <c r="B145" s="161"/>
      <c r="C145" s="749">
        <f>COUNTIFS(closeDate,"&gt;="&amp;CALENDAR!C143,closeDate,"&lt;"&amp;D143,SIZE,"&gt;0")</f>
        <v>0</v>
      </c>
      <c r="D145" s="749">
        <f>COUNTIFS(closeDate,"&gt;="&amp;CALENDAR!D143,closeDate,"&lt;"&amp;E143,SIZE,"&gt;0")</f>
        <v>0</v>
      </c>
      <c r="E145" s="749">
        <f>COUNTIFS(closeDate,"&gt;="&amp;CALENDAR!E143,closeDate,"&lt;"&amp;F143,SIZE,"&gt;0")</f>
        <v>0</v>
      </c>
      <c r="F145" s="749">
        <f>COUNTIFS(closeDate,"&gt;="&amp;CALENDAR!F143,closeDate,"&lt;"&amp;G143,SIZE,"&gt;0")</f>
        <v>0</v>
      </c>
      <c r="G145" s="749">
        <f>COUNTIFS(closeDate,"&gt;="&amp;CALENDAR!G143,closeDate,"&lt;"&amp;H143,SIZE,"&gt;0")</f>
        <v>0</v>
      </c>
      <c r="H145" s="749">
        <f>COUNTIFS(closeDate,"&gt;="&amp;CALENDAR!H143,closeDate,"&lt;"&amp;I143,SIZE,"&gt;0")</f>
        <v>0</v>
      </c>
      <c r="I145" s="749">
        <f>COUNTIFS(closeDate,"&gt;="&amp;CALENDAR!I143,closeDate,"&lt;"&amp;(I143+1),SIZE,"&gt;0")</f>
        <v>0</v>
      </c>
      <c r="J145" s="161"/>
      <c r="K145" s="161"/>
      <c r="L145" s="161"/>
    </row>
    <row r="146" spans="2:12" ht="15" customHeight="1" thickTop="1">
      <c r="B146" s="161"/>
      <c r="C146" s="747">
        <f>IFERROR(IF(MONTH(C132)&lt;&gt;MONTH(I143+1),"",(I143+1)),"")</f>
        <v>44164</v>
      </c>
      <c r="D146" s="747">
        <f>IFERROR(IF(MONTH(C132)&lt;&gt;MONTH(C146+1),"",(C146+1)),"")</f>
        <v>44165</v>
      </c>
      <c r="E146" s="747" t="str">
        <f>IFERROR(IF(MONTH(C132)&lt;&gt;MONTH(D146+1),"",(D146+1)),"")</f>
        <v/>
      </c>
      <c r="F146" s="747" t="str">
        <f>IFERROR(IF(MONTH(C132)&lt;&gt;MONTH(E146+1),"",(E146+1)),"")</f>
        <v/>
      </c>
      <c r="G146" s="747" t="str">
        <f>IFERROR(IF(MONTH(C132)&lt;&gt;MONTH(F146+1),"",(F146+1)),"")</f>
        <v/>
      </c>
      <c r="H146" s="747" t="str">
        <f>IFERROR(IF(MONTH(C132)&lt;&gt;MONTH(G146+1),"",(G146+1)),"")</f>
        <v/>
      </c>
      <c r="I146" s="747" t="str">
        <f>IFERROR(IF(MONTH(C132)&lt;&gt;MONTH(H146+1),"",(H146+1)),"")</f>
        <v/>
      </c>
      <c r="J146" s="161"/>
      <c r="K146" s="161"/>
      <c r="L146" s="161"/>
    </row>
    <row r="147" spans="2:12" ht="15" customHeight="1">
      <c r="B147" s="161"/>
      <c r="C147" s="748">
        <f>SUMIFS('TRADE LOG'!$T$15:$T$9733,closeDate,"&gt;="&amp;CALENDAR!C146,closeDate,"&lt;"&amp;C146+1,SIZE,"&gt;0")</f>
        <v>0</v>
      </c>
      <c r="D147" s="748">
        <f>SUMIFS('TRADE LOG'!$T$15:$T$9733,closeDate,"&gt;="&amp;CALENDAR!D146,closeDate,"&lt;"&amp;D146+1,SIZE,"&gt;0")</f>
        <v>0</v>
      </c>
      <c r="E147" s="748">
        <f>SUMIFS('TRADE LOG'!$T$15:$T$9733,closeDate,"&gt;="&amp;CALENDAR!E146,closeDate,"&lt;"&amp;E146+1,SIZE,"&gt;0")</f>
        <v>0</v>
      </c>
      <c r="F147" s="748">
        <f>SUMIFS('TRADE LOG'!$T$15:$T$9733,closeDate,"&gt;="&amp;CALENDAR!F146,closeDate,"&lt;"&amp;F146+1,SIZE,"&gt;0")</f>
        <v>0</v>
      </c>
      <c r="G147" s="748">
        <f>SUMIFS('TRADE LOG'!$T$15:$T$9733,closeDate,"&gt;="&amp;CALENDAR!G146,closeDate,"&lt;"&amp;G146+1,SIZE,"&gt;0")</f>
        <v>0</v>
      </c>
      <c r="H147" s="748">
        <f>SUMIFS('TRADE LOG'!$T$15:$T$9733,closeDate,"&gt;="&amp;CALENDAR!H146,closeDate,"&lt;"&amp;H146+1,SIZE,"&gt;0")</f>
        <v>0</v>
      </c>
      <c r="I147" s="748">
        <f>SUMIFS('TRADE LOG'!$T$15:$T$9733,closeDate,"&gt;="&amp;CALENDAR!I146,closeDate,"&lt;"&amp;I146+1,SIZE,"&gt;0")</f>
        <v>0</v>
      </c>
      <c r="J147" s="161"/>
      <c r="K147" s="161"/>
      <c r="L147" s="161"/>
    </row>
    <row r="148" spans="2:12" ht="15" customHeight="1" thickBot="1">
      <c r="B148" s="161"/>
      <c r="C148" s="749">
        <f>COUNTIFS(closeDate,"&gt;="&amp;CALENDAR!C146,closeDate,"&lt;"&amp;C146+1,SIZE,"&gt;0")</f>
        <v>0</v>
      </c>
      <c r="D148" s="749">
        <f>COUNTIFS(closeDate,"&gt;="&amp;CALENDAR!D146,closeDate,"&lt;"&amp;D146+1,SIZE,"&gt;0")</f>
        <v>0</v>
      </c>
      <c r="E148" s="749">
        <f>COUNTIFS(closeDate,"&gt;="&amp;CALENDAR!E146,closeDate,"&lt;"&amp;E146+1,SIZE,"&gt;0")</f>
        <v>0</v>
      </c>
      <c r="F148" s="749">
        <f>COUNTIFS(closeDate,"&gt;="&amp;CALENDAR!F146,closeDate,"&lt;"&amp;F146+1,SIZE,"&gt;0")</f>
        <v>0</v>
      </c>
      <c r="G148" s="749">
        <f>COUNTIFS(closeDate,"&gt;="&amp;CALENDAR!G146,closeDate,"&lt;"&amp;G146+1,SIZE,"&gt;0")</f>
        <v>0</v>
      </c>
      <c r="H148" s="749">
        <f>COUNTIFS(closeDate,"&gt;="&amp;CALENDAR!H146,closeDate,"&lt;"&amp;H146+1,SIZE,"&gt;0")</f>
        <v>0</v>
      </c>
      <c r="I148" s="749">
        <f>COUNTIFS(closeDate,"&gt;="&amp;CALENDAR!I146,closeDate,"&lt;"&amp;(I146+1),SIZE,"&gt;0")</f>
        <v>0</v>
      </c>
      <c r="J148" s="161"/>
      <c r="K148" s="161"/>
      <c r="L148" s="161"/>
    </row>
    <row r="149" spans="2:12" ht="15" customHeight="1" thickTop="1">
      <c r="B149" s="161"/>
      <c r="C149" s="747" t="str">
        <f>IFERROR(IF(MONTH(C132)&lt;&gt;MONTH(I146+1),"",(I146+1)),"")</f>
        <v/>
      </c>
      <c r="D149" s="747" t="str">
        <f>IFERROR(IF(MONTH(C132)&lt;&gt;MONTH(C149+1),"",(C149+1)),"")</f>
        <v/>
      </c>
      <c r="E149" s="747" t="str">
        <f>IFERROR(IF(MONTH(C132)&lt;&gt;MONTH(D149+1),"",(D149+1)),"")</f>
        <v/>
      </c>
      <c r="F149" s="747" t="str">
        <f>IFERROR(IF(MONTH(C132)&lt;&gt;MONTH(E149+1),"",(E149+1)),"")</f>
        <v/>
      </c>
      <c r="G149" s="747" t="str">
        <f>IFERROR(IF(MONTH(C132)&lt;&gt;MONTH(F149+1),"",(F149+1)),"")</f>
        <v/>
      </c>
      <c r="H149" s="747" t="str">
        <f>IFERROR(IF(MONTH(C132)&lt;&gt;MONTH(G149+1),"",(G149+1)),"")</f>
        <v/>
      </c>
      <c r="I149" s="747" t="str">
        <f>IFERROR(IF(MONTH(C132)&lt;&gt;MONTH(H149+1),"",(H149+1)),"")</f>
        <v/>
      </c>
      <c r="J149" s="161"/>
      <c r="K149" s="161"/>
      <c r="L149" s="161"/>
    </row>
    <row r="150" spans="2:12" ht="15" customHeight="1">
      <c r="B150" s="161"/>
      <c r="C150" s="748">
        <f>SUMIFS('TRADE LOG'!$T$15:$T$9733,closeDate,"&gt;="&amp;CALENDAR!C149,closeDate,"&lt;"&amp;C149+1,SIZE,"&gt;0")</f>
        <v>0</v>
      </c>
      <c r="D150" s="748">
        <f>SUMIFS('TRADE LOG'!$T$15:$T$9733,closeDate,"&gt;="&amp;CALENDAR!D149,closeDate,"&lt;"&amp;D149+1,SIZE,"&gt;0")</f>
        <v>0</v>
      </c>
      <c r="E150" s="748">
        <f>SUMIFS('TRADE LOG'!$T$15:$T$9733,closeDate,"&gt;="&amp;CALENDAR!E149,closeDate,"&lt;"&amp;E149+1,SIZE,"&gt;0")</f>
        <v>0</v>
      </c>
      <c r="F150" s="748">
        <f>SUMIFS('TRADE LOG'!$T$15:$T$9733,closeDate,"&gt;="&amp;CALENDAR!F149,closeDate,"&lt;"&amp;F149+1,SIZE,"&gt;0")</f>
        <v>0</v>
      </c>
      <c r="G150" s="748">
        <f>SUMIFS('TRADE LOG'!$T$15:$T$9733,closeDate,"&gt;="&amp;CALENDAR!G149,closeDate,"&lt;"&amp;G149+1,SIZE,"&gt;0")</f>
        <v>0</v>
      </c>
      <c r="H150" s="748">
        <f>SUMIFS('TRADE LOG'!$T$15:$T$9733,closeDate,"&gt;="&amp;CALENDAR!H149,closeDate,"&lt;"&amp;H149+1,SIZE,"&gt;0")</f>
        <v>0</v>
      </c>
      <c r="I150" s="748">
        <f>SUMIFS('TRADE LOG'!$T$15:$T$9733,closeDate,"&gt;="&amp;CALENDAR!I149,closeDate,"&lt;"&amp;I149+1,SIZE,"&gt;0")</f>
        <v>0</v>
      </c>
      <c r="J150" s="161"/>
      <c r="K150" s="161"/>
      <c r="L150" s="161"/>
    </row>
    <row r="151" spans="2:12" ht="15" customHeight="1">
      <c r="B151" s="161"/>
      <c r="C151" s="750">
        <f>COUNTIFS(closeDate,"&gt;="&amp;CALENDAR!C149,closeDate,"&lt;"&amp;C149+1,SIZE,"&gt;0")</f>
        <v>0</v>
      </c>
      <c r="D151" s="750">
        <f>COUNTIFS(closeDate,"&gt;="&amp;CALENDAR!D149,closeDate,"&lt;"&amp;D149+1,SIZE,"&gt;0")</f>
        <v>0</v>
      </c>
      <c r="E151" s="750">
        <f>COUNTIFS(closeDate,"&gt;="&amp;CALENDAR!E149,closeDate,"&lt;"&amp;E149+1,SIZE,"&gt;0")</f>
        <v>0</v>
      </c>
      <c r="F151" s="750">
        <f>COUNTIFS(closeDate,"&gt;="&amp;CALENDAR!F149,closeDate,"&lt;"&amp;F149+1,SIZE,"&gt;0")</f>
        <v>0</v>
      </c>
      <c r="G151" s="750">
        <f>COUNTIFS(closeDate,"&gt;="&amp;CALENDAR!G149,closeDate,"&lt;"&amp;G149+1,SIZE,"&gt;0")</f>
        <v>0</v>
      </c>
      <c r="H151" s="750">
        <f>COUNTIFS(closeDate,"&gt;="&amp;CALENDAR!H149,closeDate,"&lt;"&amp;H149+1,SIZE,"&gt;0")</f>
        <v>0</v>
      </c>
      <c r="I151" s="750">
        <f>COUNTIFS(closeDate,"&gt;="&amp;CALENDAR!I149,closeDate,"&lt;"&amp;(I149+1),SIZE,"&gt;0")</f>
        <v>0</v>
      </c>
      <c r="J151" s="161"/>
      <c r="K151" s="161"/>
      <c r="L151" s="161"/>
    </row>
    <row r="152" spans="2:12" ht="18" customHeight="1" thickBot="1">
      <c r="B152" s="161"/>
      <c r="C152" s="751"/>
      <c r="D152" s="751"/>
      <c r="E152" s="751"/>
      <c r="F152" s="751"/>
      <c r="G152" s="751"/>
      <c r="H152" s="751"/>
      <c r="I152" s="751"/>
      <c r="J152" s="161"/>
      <c r="K152" s="161"/>
      <c r="L152" s="161"/>
    </row>
    <row r="153" spans="2:12" ht="21.95" customHeight="1">
      <c r="B153" s="161"/>
      <c r="C153" s="752">
        <f>EOMONTH(C132,0)+1</f>
        <v>44166</v>
      </c>
      <c r="D153" s="753"/>
      <c r="E153" s="754"/>
      <c r="F153" s="755"/>
      <c r="G153" s="756"/>
      <c r="H153" s="756"/>
      <c r="I153" s="756"/>
      <c r="J153" s="161"/>
      <c r="K153" s="161"/>
      <c r="L153" s="161"/>
    </row>
    <row r="154" spans="2:12" ht="24.95" customHeight="1" thickBot="1">
      <c r="B154" s="161"/>
      <c r="C154" s="757" t="s">
        <v>781</v>
      </c>
      <c r="D154" s="757" t="s">
        <v>782</v>
      </c>
      <c r="E154" s="757" t="s">
        <v>783</v>
      </c>
      <c r="F154" s="757" t="s">
        <v>784</v>
      </c>
      <c r="G154" s="757" t="s">
        <v>789</v>
      </c>
      <c r="H154" s="757" t="s">
        <v>785</v>
      </c>
      <c r="I154" s="757" t="s">
        <v>786</v>
      </c>
      <c r="J154" s="161"/>
      <c r="K154" s="161"/>
      <c r="L154" s="161"/>
    </row>
    <row r="155" spans="2:12" ht="15" customHeight="1" thickTop="1">
      <c r="B155" s="161"/>
      <c r="C155" s="747" t="str">
        <f>IF(MONTH(C153)&lt;&gt;MONTH((C153-WEEKDAY(C153,1)+1)),"",(C153-WEEKDAY(C153,1)+1))</f>
        <v/>
      </c>
      <c r="D155" s="747" t="str">
        <f>IF(MONTH(C153)&lt;&gt;MONTH((C153-WEEKDAY(C153,1)+2)),"",(C153-WEEKDAY(C153,1)+2))</f>
        <v/>
      </c>
      <c r="E155" s="747">
        <f>IF(MONTH(C153)&lt;&gt;MONTH((C153-WEEKDAY(C153,1)+3)),"",(C153-WEEKDAY(C153,1)+3))</f>
        <v>44166</v>
      </c>
      <c r="F155" s="747">
        <f>IF(MONTH(C153)&lt;&gt;MONTH((C153-WEEKDAY(C153,1)+4)),"",(C153-WEEKDAY(C153,1)+4))</f>
        <v>44167</v>
      </c>
      <c r="G155" s="747">
        <f>IF(MONTH(C153)&lt;&gt;MONTH((C153-WEEKDAY(C153,1)+5)),"",(C153-WEEKDAY(C153,1)+5))</f>
        <v>44168</v>
      </c>
      <c r="H155" s="747">
        <f>IF(MONTH(C153)&lt;&gt;MONTH((C153-WEEKDAY(C153,1)+6)),"",(C153-WEEKDAY(C153,1)+6))</f>
        <v>44169</v>
      </c>
      <c r="I155" s="747">
        <f>IF(MONTH(C153)&lt;&gt;MONTH((C153-WEEKDAY(C153,1)+7)),"",(C153-WEEKDAY(C153,1)+7))</f>
        <v>44170</v>
      </c>
      <c r="J155" s="161"/>
      <c r="K155" s="161"/>
      <c r="L155" s="161"/>
    </row>
    <row r="156" spans="2:12" ht="15" customHeight="1">
      <c r="B156" s="161"/>
      <c r="C156" s="748">
        <f>SUMIFS('TRADE LOG'!$T$15:$T$9733,closeDate,"&gt;="&amp;CALENDAR!C155,closeDate,"&lt;"&amp;D155,SIZE,"&gt;0")</f>
        <v>0</v>
      </c>
      <c r="D156" s="748">
        <f>SUMIFS('TRADE LOG'!$T$15:$T$9733,closeDate,"&gt;="&amp;CALENDAR!D155,closeDate,"&lt;"&amp;E155,SIZE,"&gt;0")</f>
        <v>0</v>
      </c>
      <c r="E156" s="748">
        <f>SUMIFS('TRADE LOG'!$T$15:$T$9733,closeDate,"&gt;="&amp;CALENDAR!E155,closeDate,"&lt;"&amp;F155,SIZE,"&gt;0")</f>
        <v>0</v>
      </c>
      <c r="F156" s="748">
        <f>SUMIFS('TRADE LOG'!$T$15:$T$9733,closeDate,"&gt;="&amp;CALENDAR!F155,closeDate,"&lt;"&amp;G155,SIZE,"&gt;0")</f>
        <v>0</v>
      </c>
      <c r="G156" s="748">
        <f>SUMIFS('TRADE LOG'!$T$15:$T$9733,closeDate,"&gt;="&amp;CALENDAR!G155,closeDate,"&lt;"&amp;H155,SIZE,"&gt;0")</f>
        <v>0</v>
      </c>
      <c r="H156" s="748">
        <f>SUMIFS('TRADE LOG'!$T$15:$T$9733,closeDate,"&gt;="&amp;CALENDAR!H155,closeDate,"&lt;"&amp;I155,SIZE,"&gt;0")</f>
        <v>0</v>
      </c>
      <c r="I156" s="748">
        <f>SUMIFS('TRADE LOG'!$T$15:$T$9733,closeDate,"&gt;="&amp;CALENDAR!I155,closeDate,"&lt;"&amp;C158,SIZE,"&gt;0")</f>
        <v>0</v>
      </c>
      <c r="J156" s="161"/>
      <c r="K156" s="161"/>
      <c r="L156" s="161"/>
    </row>
    <row r="157" spans="2:12" ht="15" customHeight="1" thickBot="1">
      <c r="B157" s="161"/>
      <c r="C157" s="749">
        <f>COUNTIFS(closeDate,"&gt;="&amp;CALENDAR!C155,closeDate,"&lt;"&amp;D155,SIZE,"&gt;0")</f>
        <v>0</v>
      </c>
      <c r="D157" s="749">
        <f>COUNTIFS(closeDate,"&gt;="&amp;CALENDAR!D155,closeDate,"&lt;"&amp;E155,SIZE,"&gt;0")</f>
        <v>0</v>
      </c>
      <c r="E157" s="749">
        <f>COUNTIFS(closeDate,"&gt;="&amp;CALENDAR!E155,closeDate,"&lt;"&amp;F155,SIZE,"&gt;0")</f>
        <v>0</v>
      </c>
      <c r="F157" s="749">
        <f>COUNTIFS(closeDate,"&gt;="&amp;CALENDAR!F155,closeDate,"&lt;"&amp;G155,SIZE,"&gt;0")</f>
        <v>0</v>
      </c>
      <c r="G157" s="749">
        <f>COUNTIFS(closeDate,"&gt;="&amp;CALENDAR!G155,closeDate,"&lt;"&amp;H155,SIZE,"&gt;0")</f>
        <v>0</v>
      </c>
      <c r="H157" s="749">
        <f>COUNTIFS(closeDate,"&gt;="&amp;CALENDAR!H155,closeDate,"&lt;"&amp;I155,SIZE,"&gt;0")</f>
        <v>0</v>
      </c>
      <c r="I157" s="749">
        <f>COUNTIFS(closeDate,"&gt;="&amp;CALENDAR!I155,closeDate,"&lt;"&amp;(I155+1),SIZE,"&gt;0")</f>
        <v>0</v>
      </c>
      <c r="J157" s="161"/>
      <c r="K157" s="161"/>
      <c r="L157" s="161"/>
    </row>
    <row r="158" spans="2:12" ht="15" customHeight="1" thickTop="1">
      <c r="B158" s="161"/>
      <c r="C158" s="747">
        <f>I155+1</f>
        <v>44171</v>
      </c>
      <c r="D158" s="747">
        <f>C158+1</f>
        <v>44172</v>
      </c>
      <c r="E158" s="747">
        <f t="shared" ref="E158:E164" si="91">D158+1</f>
        <v>44173</v>
      </c>
      <c r="F158" s="747">
        <f t="shared" ref="F158:F164" si="92">E158+1</f>
        <v>44174</v>
      </c>
      <c r="G158" s="747">
        <f t="shared" ref="G158:G164" si="93">F158+1</f>
        <v>44175</v>
      </c>
      <c r="H158" s="747">
        <f t="shared" ref="H158:H164" si="94">G158+1</f>
        <v>44176</v>
      </c>
      <c r="I158" s="747">
        <f t="shared" ref="I158:I164" si="95">H158+1</f>
        <v>44177</v>
      </c>
      <c r="J158" s="161"/>
      <c r="K158" s="161"/>
      <c r="L158" s="161"/>
    </row>
    <row r="159" spans="2:12" ht="15" customHeight="1">
      <c r="B159" s="161"/>
      <c r="C159" s="748">
        <f>SUMIFS('TRADE LOG'!$T$15:$T$9733,closeDate,"&gt;="&amp;CALENDAR!C158,closeDate,"&lt;"&amp;D158,SIZE,"&gt;0")</f>
        <v>0</v>
      </c>
      <c r="D159" s="748">
        <f>SUMIFS('TRADE LOG'!$T$15:$T$9733,closeDate,"&gt;="&amp;CALENDAR!D158,closeDate,"&lt;"&amp;E158,SIZE,"&gt;0")</f>
        <v>0</v>
      </c>
      <c r="E159" s="748">
        <f>SUMIFS('TRADE LOG'!$T$15:$T$9733,closeDate,"&gt;="&amp;CALENDAR!E158,closeDate,"&lt;"&amp;F158,SIZE,"&gt;0")</f>
        <v>0</v>
      </c>
      <c r="F159" s="748">
        <f>SUMIFS('TRADE LOG'!$T$15:$T$9733,closeDate,"&gt;="&amp;CALENDAR!F158,closeDate,"&lt;"&amp;G158,SIZE,"&gt;0")</f>
        <v>0</v>
      </c>
      <c r="G159" s="748">
        <f>SUMIFS('TRADE LOG'!$T$15:$T$9733,closeDate,"&gt;="&amp;CALENDAR!G158,closeDate,"&lt;"&amp;H158,SIZE,"&gt;0")</f>
        <v>0</v>
      </c>
      <c r="H159" s="748">
        <f>SUMIFS('TRADE LOG'!$T$15:$T$9733,closeDate,"&gt;="&amp;CALENDAR!H158,closeDate,"&lt;"&amp;I158,SIZE,"&gt;0")</f>
        <v>0</v>
      </c>
      <c r="I159" s="748">
        <f>SUMIFS('TRADE LOG'!$T$15:$T$9733,closeDate,"&gt;="&amp;CALENDAR!I158,closeDate,"&lt;"&amp;C161,SIZE,"&gt;0")</f>
        <v>0</v>
      </c>
      <c r="J159" s="161"/>
      <c r="K159" s="161"/>
      <c r="L159" s="161"/>
    </row>
    <row r="160" spans="2:12" ht="15" customHeight="1" thickBot="1">
      <c r="B160" s="161"/>
      <c r="C160" s="749">
        <f>COUNTIFS(closeDate,"&gt;="&amp;CALENDAR!C158,closeDate,"&lt;"&amp;D158,SIZE,"&gt;0")</f>
        <v>0</v>
      </c>
      <c r="D160" s="749">
        <f>COUNTIFS(closeDate,"&gt;="&amp;CALENDAR!D158,closeDate,"&lt;"&amp;E158,SIZE,"&gt;0")</f>
        <v>0</v>
      </c>
      <c r="E160" s="749">
        <f>COUNTIFS(closeDate,"&gt;="&amp;CALENDAR!E158,closeDate,"&lt;"&amp;F158,SIZE,"&gt;0")</f>
        <v>0</v>
      </c>
      <c r="F160" s="749">
        <f>COUNTIFS(closeDate,"&gt;="&amp;CALENDAR!F158,closeDate,"&lt;"&amp;G158,SIZE,"&gt;0")</f>
        <v>0</v>
      </c>
      <c r="G160" s="749">
        <f>COUNTIFS(closeDate,"&gt;="&amp;CALENDAR!G158,closeDate,"&lt;"&amp;H158,SIZE,"&gt;0")</f>
        <v>0</v>
      </c>
      <c r="H160" s="749">
        <f>COUNTIFS(closeDate,"&gt;="&amp;CALENDAR!H158,closeDate,"&lt;"&amp;I158,SIZE,"&gt;0")</f>
        <v>0</v>
      </c>
      <c r="I160" s="749">
        <f>COUNTIFS(closeDate,"&gt;="&amp;CALENDAR!I158,closeDate,"&lt;"&amp;(I158+1),SIZE,"&gt;0")</f>
        <v>0</v>
      </c>
      <c r="J160" s="161"/>
      <c r="K160" s="161"/>
      <c r="L160" s="161"/>
    </row>
    <row r="161" spans="2:12" ht="15" customHeight="1" thickTop="1">
      <c r="B161" s="161"/>
      <c r="C161" s="747">
        <f>I158+1</f>
        <v>44178</v>
      </c>
      <c r="D161" s="747">
        <f>C161+1</f>
        <v>44179</v>
      </c>
      <c r="E161" s="747">
        <f t="shared" ref="E161:E167" si="96">D161+1</f>
        <v>44180</v>
      </c>
      <c r="F161" s="747">
        <f t="shared" ref="F161:F167" si="97">E161+1</f>
        <v>44181</v>
      </c>
      <c r="G161" s="747">
        <f t="shared" ref="G161:G167" si="98">F161+1</f>
        <v>44182</v>
      </c>
      <c r="H161" s="747">
        <f t="shared" ref="H161:H167" si="99">G161+1</f>
        <v>44183</v>
      </c>
      <c r="I161" s="747">
        <f t="shared" ref="I161:I167" si="100">H161+1</f>
        <v>44184</v>
      </c>
      <c r="J161" s="161"/>
      <c r="K161" s="161"/>
      <c r="L161" s="161"/>
    </row>
    <row r="162" spans="2:12" ht="15" customHeight="1">
      <c r="B162" s="161"/>
      <c r="C162" s="748">
        <f>SUMIFS('TRADE LOG'!$T$15:$T$9733,closeDate,"&gt;="&amp;CALENDAR!C161,closeDate,"&lt;"&amp;D161,SIZE,"&gt;0")</f>
        <v>0</v>
      </c>
      <c r="D162" s="748">
        <f>SUMIFS('TRADE LOG'!$T$15:$T$9733,closeDate,"&gt;="&amp;CALENDAR!D161,closeDate,"&lt;"&amp;E161,SIZE,"&gt;0")</f>
        <v>0</v>
      </c>
      <c r="E162" s="748">
        <f>SUMIFS('TRADE LOG'!$T$15:$T$9733,closeDate,"&gt;="&amp;CALENDAR!E161,closeDate,"&lt;"&amp;F161,SIZE,"&gt;0")</f>
        <v>0</v>
      </c>
      <c r="F162" s="748">
        <f>SUMIFS('TRADE LOG'!$T$15:$T$9733,closeDate,"&gt;="&amp;CALENDAR!F161,closeDate,"&lt;"&amp;G161,SIZE,"&gt;0")</f>
        <v>0</v>
      </c>
      <c r="G162" s="748">
        <f>SUMIFS('TRADE LOG'!$T$15:$T$9733,closeDate,"&gt;="&amp;CALENDAR!G161,closeDate,"&lt;"&amp;H161,SIZE,"&gt;0")</f>
        <v>0</v>
      </c>
      <c r="H162" s="748">
        <f>SUMIFS('TRADE LOG'!$T$15:$T$9733,closeDate,"&gt;="&amp;CALENDAR!H161,closeDate,"&lt;"&amp;I161,SIZE,"&gt;0")</f>
        <v>0</v>
      </c>
      <c r="I162" s="748">
        <f>SUMIFS('TRADE LOG'!$T$15:$T$9733,closeDate,"&gt;="&amp;CALENDAR!I161,closeDate,"&lt;"&amp;C164,SIZE,"&gt;0")</f>
        <v>0</v>
      </c>
      <c r="J162" s="161"/>
      <c r="K162" s="161"/>
      <c r="L162" s="161"/>
    </row>
    <row r="163" spans="2:12" ht="15" customHeight="1" thickBot="1">
      <c r="B163" s="517"/>
      <c r="C163" s="749">
        <f>COUNTIFS(closeDate,"&gt;="&amp;CALENDAR!C161,closeDate,"&lt;"&amp;D161,SIZE,"&gt;0")</f>
        <v>0</v>
      </c>
      <c r="D163" s="749">
        <f>COUNTIFS(closeDate,"&gt;="&amp;CALENDAR!D161,closeDate,"&lt;"&amp;E161,SIZE,"&gt;0")</f>
        <v>0</v>
      </c>
      <c r="E163" s="749">
        <f>COUNTIFS(closeDate,"&gt;="&amp;CALENDAR!E161,closeDate,"&lt;"&amp;F161,SIZE,"&gt;0")</f>
        <v>0</v>
      </c>
      <c r="F163" s="749">
        <f>COUNTIFS(closeDate,"&gt;="&amp;CALENDAR!F161,closeDate,"&lt;"&amp;G161,SIZE,"&gt;0")</f>
        <v>0</v>
      </c>
      <c r="G163" s="749">
        <f>COUNTIFS(closeDate,"&gt;="&amp;CALENDAR!G161,closeDate,"&lt;"&amp;H161,SIZE,"&gt;0")</f>
        <v>0</v>
      </c>
      <c r="H163" s="749">
        <f>COUNTIFS(closeDate,"&gt;="&amp;CALENDAR!H161,closeDate,"&lt;"&amp;I161,SIZE,"&gt;0")</f>
        <v>0</v>
      </c>
      <c r="I163" s="749">
        <f>COUNTIFS(closeDate,"&gt;="&amp;CALENDAR!I161,closeDate,"&lt;"&amp;(I161+1),SIZE,"&gt;0")</f>
        <v>0</v>
      </c>
      <c r="J163" s="517"/>
      <c r="K163" s="517"/>
      <c r="L163" s="161"/>
    </row>
    <row r="164" spans="2:12" ht="15" customHeight="1" thickTop="1">
      <c r="B164" s="161"/>
      <c r="C164" s="747">
        <f>I161+1</f>
        <v>44185</v>
      </c>
      <c r="D164" s="747">
        <f>C164+1</f>
        <v>44186</v>
      </c>
      <c r="E164" s="747">
        <f t="shared" ref="E164:E170" si="101">D164+1</f>
        <v>44187</v>
      </c>
      <c r="F164" s="747">
        <f t="shared" ref="F164:F170" si="102">E164+1</f>
        <v>44188</v>
      </c>
      <c r="G164" s="747">
        <f t="shared" ref="G164:G170" si="103">F164+1</f>
        <v>44189</v>
      </c>
      <c r="H164" s="747">
        <f t="shared" ref="H164:H170" si="104">G164+1</f>
        <v>44190</v>
      </c>
      <c r="I164" s="747">
        <f t="shared" ref="I164:I170" si="105">H164+1</f>
        <v>44191</v>
      </c>
      <c r="J164" s="161"/>
      <c r="K164" s="161"/>
      <c r="L164" s="161"/>
    </row>
    <row r="165" spans="2:12" ht="15" customHeight="1">
      <c r="B165" s="161"/>
      <c r="C165" s="748">
        <f>SUMIFS('TRADE LOG'!$T$15:$T$9733,closeDate,"&gt;="&amp;CALENDAR!C164,closeDate,"&lt;"&amp;D164,SIZE,"&gt;0")</f>
        <v>0</v>
      </c>
      <c r="D165" s="748">
        <f>SUMIFS('TRADE LOG'!$T$15:$T$9733,closeDate,"&gt;="&amp;CALENDAR!D164,closeDate,"&lt;"&amp;E164,SIZE,"&gt;0")</f>
        <v>0</v>
      </c>
      <c r="E165" s="748">
        <f>SUMIFS('TRADE LOG'!$T$15:$T$9733,closeDate,"&gt;="&amp;CALENDAR!E164,closeDate,"&lt;"&amp;F164,SIZE,"&gt;0")</f>
        <v>0</v>
      </c>
      <c r="F165" s="748">
        <f>SUMIFS('TRADE LOG'!$T$15:$T$9733,closeDate,"&gt;="&amp;CALENDAR!F164,closeDate,"&lt;"&amp;G164,SIZE,"&gt;0")</f>
        <v>0</v>
      </c>
      <c r="G165" s="748">
        <f>SUMIFS('TRADE LOG'!$T$15:$T$9733,closeDate,"&gt;="&amp;CALENDAR!G164,closeDate,"&lt;"&amp;H164,SIZE,"&gt;0")</f>
        <v>0</v>
      </c>
      <c r="H165" s="748">
        <f>SUMIFS('TRADE LOG'!$T$15:$T$9733,closeDate,"&gt;="&amp;CALENDAR!H164,closeDate,"&lt;"&amp;I164,SIZE,"&gt;0")</f>
        <v>0</v>
      </c>
      <c r="I165" s="748">
        <f>SUMIFS('TRADE LOG'!$T$15:$T$9733,closeDate,"&gt;="&amp;CALENDAR!I164,closeDate,"&lt;"&amp;I164+1,SIZE,"&gt;0")</f>
        <v>0</v>
      </c>
      <c r="J165" s="161"/>
      <c r="K165" s="161"/>
      <c r="L165" s="161"/>
    </row>
    <row r="166" spans="2:12" ht="15" customHeight="1" thickBot="1">
      <c r="B166" s="161"/>
      <c r="C166" s="749">
        <f>COUNTIFS(closeDate,"&gt;="&amp;CALENDAR!C164,closeDate,"&lt;"&amp;D164,SIZE,"&gt;0")</f>
        <v>0</v>
      </c>
      <c r="D166" s="749">
        <f>COUNTIFS(closeDate,"&gt;="&amp;CALENDAR!D164,closeDate,"&lt;"&amp;E164,SIZE,"&gt;0")</f>
        <v>0</v>
      </c>
      <c r="E166" s="749">
        <f>COUNTIFS(closeDate,"&gt;="&amp;CALENDAR!E164,closeDate,"&lt;"&amp;F164,SIZE,"&gt;0")</f>
        <v>0</v>
      </c>
      <c r="F166" s="749">
        <f>COUNTIFS(closeDate,"&gt;="&amp;CALENDAR!F164,closeDate,"&lt;"&amp;G164,SIZE,"&gt;0")</f>
        <v>0</v>
      </c>
      <c r="G166" s="749">
        <f>COUNTIFS(closeDate,"&gt;="&amp;CALENDAR!G164,closeDate,"&lt;"&amp;H164,SIZE,"&gt;0")</f>
        <v>0</v>
      </c>
      <c r="H166" s="749">
        <f>COUNTIFS(closeDate,"&gt;="&amp;CALENDAR!H164,closeDate,"&lt;"&amp;I164,SIZE,"&gt;0")</f>
        <v>0</v>
      </c>
      <c r="I166" s="749">
        <f>COUNTIFS(closeDate,"&gt;="&amp;CALENDAR!I164,closeDate,"&lt;"&amp;(I164+1),SIZE,"&gt;0")</f>
        <v>0</v>
      </c>
      <c r="J166" s="161"/>
      <c r="K166" s="161"/>
      <c r="L166" s="161"/>
    </row>
    <row r="167" spans="2:12" ht="15" customHeight="1" thickTop="1">
      <c r="B167" s="161"/>
      <c r="C167" s="747">
        <f>IFERROR(IF(MONTH(C153)&lt;&gt;MONTH(I164+1),"",(I164+1)),"")</f>
        <v>44192</v>
      </c>
      <c r="D167" s="747">
        <f>IFERROR(IF(MONTH(C153)&lt;&gt;MONTH(C167+1),"",(C167+1)),"")</f>
        <v>44193</v>
      </c>
      <c r="E167" s="747">
        <f>IFERROR(IF(MONTH(C153)&lt;&gt;MONTH(D167+1),"",(D167+1)),"")</f>
        <v>44194</v>
      </c>
      <c r="F167" s="747">
        <f>IFERROR(IF(MONTH(C153)&lt;&gt;MONTH(E167+1),"",(E167+1)),"")</f>
        <v>44195</v>
      </c>
      <c r="G167" s="747">
        <f>IFERROR(IF(MONTH(C153)&lt;&gt;MONTH(F167+1),"",(F167+1)),"")</f>
        <v>44196</v>
      </c>
      <c r="H167" s="747" t="str">
        <f>IFERROR(IF(MONTH(C153)&lt;&gt;MONTH(G167+1),"",(G167+1)),"")</f>
        <v/>
      </c>
      <c r="I167" s="747" t="str">
        <f>IFERROR(IF(MONTH(C153)&lt;&gt;MONTH(H167+1),"",(H167+1)),"")</f>
        <v/>
      </c>
      <c r="J167" s="161"/>
      <c r="K167" s="161"/>
      <c r="L167" s="161"/>
    </row>
    <row r="168" spans="2:12" ht="15" customHeight="1">
      <c r="B168" s="161"/>
      <c r="C168" s="748">
        <f>SUMIFS('TRADE LOG'!$T$15:$T$9733,closeDate,"&gt;="&amp;CALENDAR!C167,closeDate,"&lt;"&amp;C167+1,SIZE,"&gt;0")</f>
        <v>0</v>
      </c>
      <c r="D168" s="748">
        <f>SUMIFS('TRADE LOG'!$T$15:$T$9733,closeDate,"&gt;="&amp;CALENDAR!D167,closeDate,"&lt;"&amp;D167+1,SIZE,"&gt;0")</f>
        <v>0</v>
      </c>
      <c r="E168" s="748">
        <f>SUMIFS('TRADE LOG'!$T$15:$T$9733,closeDate,"&gt;="&amp;CALENDAR!E167,closeDate,"&lt;"&amp;E167+1,SIZE,"&gt;0")</f>
        <v>0</v>
      </c>
      <c r="F168" s="748">
        <f>SUMIFS('TRADE LOG'!$T$15:$T$9733,closeDate,"&gt;="&amp;CALENDAR!F167,closeDate,"&lt;"&amp;F167+1,SIZE,"&gt;0")</f>
        <v>0</v>
      </c>
      <c r="G168" s="748">
        <f>SUMIFS('TRADE LOG'!$T$15:$T$9733,closeDate,"&gt;="&amp;CALENDAR!G167,closeDate,"&lt;"&amp;G167+1,SIZE,"&gt;0")</f>
        <v>0</v>
      </c>
      <c r="H168" s="748">
        <f>SUMIFS('TRADE LOG'!$T$15:$T$9733,closeDate,"&gt;="&amp;CALENDAR!H167,closeDate,"&lt;"&amp;H167+1,SIZE,"&gt;0")</f>
        <v>0</v>
      </c>
      <c r="I168" s="748">
        <f>SUMIFS('TRADE LOG'!$T$15:$T$9733,closeDate,"&gt;="&amp;CALENDAR!I167,closeDate,"&lt;"&amp;I167+1,SIZE,"&gt;0")</f>
        <v>0</v>
      </c>
      <c r="J168" s="161"/>
      <c r="K168" s="161"/>
      <c r="L168" s="161"/>
    </row>
    <row r="169" spans="2:12" ht="15" customHeight="1" thickBot="1">
      <c r="B169" s="161"/>
      <c r="C169" s="749">
        <f>COUNTIFS(closeDate,"&gt;="&amp;CALENDAR!C167,closeDate,"&lt;"&amp;C167+1,SIZE,"&gt;0")</f>
        <v>0</v>
      </c>
      <c r="D169" s="749">
        <f>COUNTIFS(closeDate,"&gt;="&amp;CALENDAR!D167,closeDate,"&lt;"&amp;D167+1,SIZE,"&gt;0")</f>
        <v>0</v>
      </c>
      <c r="E169" s="749">
        <f>COUNTIFS(closeDate,"&gt;="&amp;CALENDAR!E167,closeDate,"&lt;"&amp;E167+1,SIZE,"&gt;0")</f>
        <v>0</v>
      </c>
      <c r="F169" s="749">
        <f>COUNTIFS(closeDate,"&gt;="&amp;CALENDAR!F167,closeDate,"&lt;"&amp;F167+1,SIZE,"&gt;0")</f>
        <v>0</v>
      </c>
      <c r="G169" s="749">
        <f>COUNTIFS(closeDate,"&gt;="&amp;CALENDAR!G167,closeDate,"&lt;"&amp;G167+1,SIZE,"&gt;0")</f>
        <v>0</v>
      </c>
      <c r="H169" s="749">
        <f>COUNTIFS(closeDate,"&gt;="&amp;CALENDAR!H167,closeDate,"&lt;"&amp;H167+1,SIZE,"&gt;0")</f>
        <v>0</v>
      </c>
      <c r="I169" s="749">
        <f>COUNTIFS(closeDate,"&gt;="&amp;CALENDAR!I167,closeDate,"&lt;"&amp;(I167+1),SIZE,"&gt;0")</f>
        <v>0</v>
      </c>
      <c r="J169" s="161"/>
      <c r="K169" s="161"/>
      <c r="L169" s="161"/>
    </row>
    <row r="170" spans="2:12" ht="15" customHeight="1" thickTop="1">
      <c r="B170" s="161"/>
      <c r="C170" s="747" t="str">
        <f>IFERROR(IF(MONTH(C153)&lt;&gt;MONTH(I167+1),"",(I167+1)),"")</f>
        <v/>
      </c>
      <c r="D170" s="747" t="str">
        <f>IFERROR(IF(MONTH(C153)&lt;&gt;MONTH(C170+1),"",(C170+1)),"")</f>
        <v/>
      </c>
      <c r="E170" s="747" t="str">
        <f>IFERROR(IF(MONTH(C153)&lt;&gt;MONTH(D170+1),"",(D170+1)),"")</f>
        <v/>
      </c>
      <c r="F170" s="747" t="str">
        <f>IFERROR(IF(MONTH(C153)&lt;&gt;MONTH(E170+1),"",(E170+1)),"")</f>
        <v/>
      </c>
      <c r="G170" s="747" t="str">
        <f>IFERROR(IF(MONTH(C153)&lt;&gt;MONTH(F170+1),"",(F170+1)),"")</f>
        <v/>
      </c>
      <c r="H170" s="747" t="str">
        <f>IFERROR(IF(MONTH(C153)&lt;&gt;MONTH(G170+1),"",(G170+1)),"")</f>
        <v/>
      </c>
      <c r="I170" s="747" t="str">
        <f>IFERROR(IF(MONTH(C153)&lt;&gt;MONTH(H170+1),"",(H170+1)),"")</f>
        <v/>
      </c>
      <c r="J170" s="161"/>
      <c r="K170" s="161"/>
      <c r="L170" s="161"/>
    </row>
    <row r="171" spans="2:12" ht="15" customHeight="1">
      <c r="B171" s="161"/>
      <c r="C171" s="748">
        <f>SUMIFS('TRADE LOG'!$T$15:$T$9733,closeDate,"&gt;="&amp;CALENDAR!C170,closeDate,"&lt;"&amp;C170+1,SIZE,"&gt;0")</f>
        <v>0</v>
      </c>
      <c r="D171" s="748">
        <f>SUMIFS('TRADE LOG'!$T$15:$T$9733,closeDate,"&gt;="&amp;CALENDAR!D170,closeDate,"&lt;"&amp;D170+1,SIZE,"&gt;0")</f>
        <v>0</v>
      </c>
      <c r="E171" s="748">
        <f>SUMIFS('TRADE LOG'!$T$15:$T$9733,closeDate,"&gt;="&amp;CALENDAR!E170,closeDate,"&lt;"&amp;E170+1,SIZE,"&gt;0")</f>
        <v>0</v>
      </c>
      <c r="F171" s="748">
        <f>SUMIFS('TRADE LOG'!$T$15:$T$9733,closeDate,"&gt;="&amp;CALENDAR!F170,closeDate,"&lt;"&amp;F170+1,SIZE,"&gt;0")</f>
        <v>0</v>
      </c>
      <c r="G171" s="748">
        <f>SUMIFS('TRADE LOG'!$T$15:$T$9733,closeDate,"&gt;="&amp;CALENDAR!G170,closeDate,"&lt;"&amp;G170+1,SIZE,"&gt;0")</f>
        <v>0</v>
      </c>
      <c r="H171" s="748">
        <f>SUMIFS('TRADE LOG'!$T$15:$T$9733,closeDate,"&gt;="&amp;CALENDAR!H170,closeDate,"&lt;"&amp;H170+1,SIZE,"&gt;0")</f>
        <v>0</v>
      </c>
      <c r="I171" s="748">
        <f>SUMIFS('TRADE LOG'!$T$15:$T$9733,closeDate,"&gt;="&amp;CALENDAR!I170,closeDate,"&lt;"&amp;I170+1,SIZE,"&gt;0")</f>
        <v>0</v>
      </c>
      <c r="J171" s="161"/>
      <c r="K171" s="161"/>
      <c r="L171" s="161"/>
    </row>
    <row r="172" spans="2:12" ht="15" customHeight="1">
      <c r="B172" s="161"/>
      <c r="C172" s="750">
        <f>COUNTIFS(closeDate,"&gt;="&amp;CALENDAR!C170,closeDate,"&lt;"&amp;C170+1,SIZE,"&gt;0")</f>
        <v>0</v>
      </c>
      <c r="D172" s="750">
        <f>COUNTIFS(closeDate,"&gt;="&amp;CALENDAR!D170,closeDate,"&lt;"&amp;D170+1,SIZE,"&gt;0")</f>
        <v>0</v>
      </c>
      <c r="E172" s="750">
        <f>COUNTIFS(closeDate,"&gt;="&amp;CALENDAR!E170,closeDate,"&lt;"&amp;E170+1,SIZE,"&gt;0")</f>
        <v>0</v>
      </c>
      <c r="F172" s="750">
        <f>COUNTIFS(closeDate,"&gt;="&amp;CALENDAR!F170,closeDate,"&lt;"&amp;F170+1,SIZE,"&gt;0")</f>
        <v>0</v>
      </c>
      <c r="G172" s="750">
        <f>COUNTIFS(closeDate,"&gt;="&amp;CALENDAR!G170,closeDate,"&lt;"&amp;G170+1,SIZE,"&gt;0")</f>
        <v>0</v>
      </c>
      <c r="H172" s="750">
        <f>COUNTIFS(closeDate,"&gt;="&amp;CALENDAR!H170,closeDate,"&lt;"&amp;H170+1,SIZE,"&gt;0")</f>
        <v>0</v>
      </c>
      <c r="I172" s="750">
        <f>COUNTIFS(closeDate,"&gt;="&amp;CALENDAR!I170,closeDate,"&lt;"&amp;(I170+1),SIZE,"&gt;0")</f>
        <v>0</v>
      </c>
      <c r="J172" s="161"/>
      <c r="K172" s="161"/>
      <c r="L172" s="161"/>
    </row>
    <row r="173" spans="2:12" ht="18" customHeight="1" thickBot="1">
      <c r="B173" s="161"/>
      <c r="C173" s="751"/>
      <c r="D173" s="751"/>
      <c r="E173" s="751"/>
      <c r="F173" s="751"/>
      <c r="G173" s="751"/>
      <c r="H173" s="751"/>
      <c r="I173" s="751"/>
      <c r="J173" s="161"/>
      <c r="K173" s="161"/>
      <c r="L173" s="161"/>
    </row>
    <row r="174" spans="2:12" ht="21.95" customHeight="1">
      <c r="B174" s="161"/>
      <c r="C174" s="752">
        <f>EOMONTH(C153,0)+1</f>
        <v>44197</v>
      </c>
      <c r="D174" s="753"/>
      <c r="E174" s="754"/>
      <c r="F174" s="755"/>
      <c r="G174" s="756"/>
      <c r="H174" s="756"/>
      <c r="I174" s="756"/>
      <c r="J174" s="161"/>
      <c r="K174" s="161"/>
      <c r="L174" s="161"/>
    </row>
    <row r="175" spans="2:12" ht="24.95" customHeight="1" thickBot="1">
      <c r="B175" s="161"/>
      <c r="C175" s="757" t="s">
        <v>781</v>
      </c>
      <c r="D175" s="757" t="s">
        <v>782</v>
      </c>
      <c r="E175" s="757" t="s">
        <v>783</v>
      </c>
      <c r="F175" s="757" t="s">
        <v>784</v>
      </c>
      <c r="G175" s="757" t="s">
        <v>789</v>
      </c>
      <c r="H175" s="757" t="s">
        <v>785</v>
      </c>
      <c r="I175" s="757" t="s">
        <v>786</v>
      </c>
      <c r="J175" s="161"/>
      <c r="K175" s="161"/>
      <c r="L175" s="161"/>
    </row>
    <row r="176" spans="2:12" ht="15" customHeight="1" thickTop="1">
      <c r="B176" s="161"/>
      <c r="C176" s="747" t="str">
        <f>IF(MONTH(C174)&lt;&gt;MONTH((C174-WEEKDAY(C174,1)+1)),"",(C174-WEEKDAY(C174,1)+1))</f>
        <v/>
      </c>
      <c r="D176" s="747" t="str">
        <f>IF(MONTH(C174)&lt;&gt;MONTH((C174-WEEKDAY(C174,1)+2)),"",(C174-WEEKDAY(C174,1)+2))</f>
        <v/>
      </c>
      <c r="E176" s="747" t="str">
        <f>IF(MONTH(C174)&lt;&gt;MONTH((C174-WEEKDAY(C174,1)+3)),"",(C174-WEEKDAY(C174,1)+3))</f>
        <v/>
      </c>
      <c r="F176" s="747" t="str">
        <f>IF(MONTH(C174)&lt;&gt;MONTH((C174-WEEKDAY(C174,1)+4)),"",(C174-WEEKDAY(C174,1)+4))</f>
        <v/>
      </c>
      <c r="G176" s="747" t="str">
        <f>IF(MONTH(C174)&lt;&gt;MONTH((C174-WEEKDAY(C174,1)+5)),"",(C174-WEEKDAY(C174,1)+5))</f>
        <v/>
      </c>
      <c r="H176" s="747">
        <f>IF(MONTH(C174)&lt;&gt;MONTH((C174-WEEKDAY(C174,1)+6)),"",(C174-WEEKDAY(C174,1)+6))</f>
        <v>44197</v>
      </c>
      <c r="I176" s="747">
        <f>IF(MONTH(C174)&lt;&gt;MONTH((C174-WEEKDAY(C174,1)+7)),"",(C174-WEEKDAY(C174,1)+7))</f>
        <v>44198</v>
      </c>
      <c r="J176" s="161"/>
      <c r="K176" s="161"/>
      <c r="L176" s="161"/>
    </row>
    <row r="177" spans="2:12" ht="15" customHeight="1">
      <c r="B177" s="161"/>
      <c r="C177" s="748">
        <f>SUMIFS('TRADE LOG'!$T$15:$T$9733,closeDate,"&gt;="&amp;CALENDAR!C176,closeDate,"&lt;"&amp;D176,SIZE,"&gt;0")</f>
        <v>0</v>
      </c>
      <c r="D177" s="748">
        <f>SUMIFS('TRADE LOG'!$T$15:$T$9733,closeDate,"&gt;="&amp;CALENDAR!D176,closeDate,"&lt;"&amp;E176,SIZE,"&gt;0")</f>
        <v>0</v>
      </c>
      <c r="E177" s="748">
        <f>SUMIFS('TRADE LOG'!$T$15:$T$9733,closeDate,"&gt;="&amp;CALENDAR!E176,closeDate,"&lt;"&amp;F176,SIZE,"&gt;0")</f>
        <v>0</v>
      </c>
      <c r="F177" s="748">
        <f>SUMIFS('TRADE LOG'!$T$15:$T$9733,closeDate,"&gt;="&amp;CALENDAR!F176,closeDate,"&lt;"&amp;G176,SIZE,"&gt;0")</f>
        <v>0</v>
      </c>
      <c r="G177" s="748">
        <f>SUMIFS('TRADE LOG'!$T$15:$T$9733,closeDate,"&gt;="&amp;CALENDAR!G176,closeDate,"&lt;"&amp;H176,SIZE,"&gt;0")</f>
        <v>0</v>
      </c>
      <c r="H177" s="748">
        <f>SUMIFS('TRADE LOG'!$T$15:$T$9733,closeDate,"&gt;="&amp;CALENDAR!H176,closeDate,"&lt;"&amp;I176,SIZE,"&gt;0")</f>
        <v>0</v>
      </c>
      <c r="I177" s="748">
        <f>SUMIFS('TRADE LOG'!$T$15:$T$9733,closeDate,"&gt;="&amp;CALENDAR!I176,closeDate,"&lt;"&amp;C179,SIZE,"&gt;0")</f>
        <v>0</v>
      </c>
      <c r="J177" s="161"/>
      <c r="K177" s="161"/>
      <c r="L177" s="161"/>
    </row>
    <row r="178" spans="2:12" ht="15" customHeight="1" thickBot="1">
      <c r="B178" s="161"/>
      <c r="C178" s="749">
        <f>COUNTIFS(closeDate,"&gt;="&amp;CALENDAR!C176,closeDate,"&lt;"&amp;D176,SIZE,"&gt;0")</f>
        <v>0</v>
      </c>
      <c r="D178" s="749">
        <f>COUNTIFS(closeDate,"&gt;="&amp;CALENDAR!D176,closeDate,"&lt;"&amp;E176,SIZE,"&gt;0")</f>
        <v>0</v>
      </c>
      <c r="E178" s="749">
        <f>COUNTIFS(closeDate,"&gt;="&amp;CALENDAR!E176,closeDate,"&lt;"&amp;F176,SIZE,"&gt;0")</f>
        <v>0</v>
      </c>
      <c r="F178" s="749">
        <f>COUNTIFS(closeDate,"&gt;="&amp;CALENDAR!F176,closeDate,"&lt;"&amp;G176,SIZE,"&gt;0")</f>
        <v>0</v>
      </c>
      <c r="G178" s="749">
        <f>COUNTIFS(closeDate,"&gt;="&amp;CALENDAR!G176,closeDate,"&lt;"&amp;H176,SIZE,"&gt;0")</f>
        <v>0</v>
      </c>
      <c r="H178" s="749">
        <f>COUNTIFS(closeDate,"&gt;="&amp;CALENDAR!H176,closeDate,"&lt;"&amp;I176,SIZE,"&gt;0")</f>
        <v>0</v>
      </c>
      <c r="I178" s="749">
        <f>COUNTIFS(closeDate,"&gt;="&amp;CALENDAR!I176,closeDate,"&lt;"&amp;(I176+1),SIZE,"&gt;0")</f>
        <v>0</v>
      </c>
      <c r="J178" s="161"/>
      <c r="K178" s="161"/>
      <c r="L178" s="161"/>
    </row>
    <row r="179" spans="2:12" ht="15" customHeight="1" thickTop="1">
      <c r="B179" s="161"/>
      <c r="C179" s="747">
        <f>I176+1</f>
        <v>44199</v>
      </c>
      <c r="D179" s="747">
        <f>C179+1</f>
        <v>44200</v>
      </c>
      <c r="E179" s="747">
        <f t="shared" ref="E179:E185" si="106">D179+1</f>
        <v>44201</v>
      </c>
      <c r="F179" s="747">
        <f t="shared" ref="F179:F185" si="107">E179+1</f>
        <v>44202</v>
      </c>
      <c r="G179" s="747">
        <f t="shared" ref="G179:G185" si="108">F179+1</f>
        <v>44203</v>
      </c>
      <c r="H179" s="747">
        <f t="shared" ref="H179:H185" si="109">G179+1</f>
        <v>44204</v>
      </c>
      <c r="I179" s="747">
        <f t="shared" ref="I179:I185" si="110">H179+1</f>
        <v>44205</v>
      </c>
      <c r="J179" s="161"/>
      <c r="K179" s="161"/>
      <c r="L179" s="161"/>
    </row>
    <row r="180" spans="2:12" ht="15" customHeight="1">
      <c r="B180" s="161"/>
      <c r="C180" s="748">
        <f>SUMIFS('TRADE LOG'!$T$15:$T$9733,closeDate,"&gt;="&amp;CALENDAR!C179,closeDate,"&lt;"&amp;D179,SIZE,"&gt;0")</f>
        <v>0</v>
      </c>
      <c r="D180" s="748">
        <f>SUMIFS('TRADE LOG'!$T$15:$T$9733,closeDate,"&gt;="&amp;CALENDAR!D179,closeDate,"&lt;"&amp;E179,SIZE,"&gt;0")</f>
        <v>0</v>
      </c>
      <c r="E180" s="748">
        <f>SUMIFS('TRADE LOG'!$T$15:$T$9733,closeDate,"&gt;="&amp;CALENDAR!E179,closeDate,"&lt;"&amp;F179,SIZE,"&gt;0")</f>
        <v>0</v>
      </c>
      <c r="F180" s="748">
        <f>SUMIFS('TRADE LOG'!$T$15:$T$9733,closeDate,"&gt;="&amp;CALENDAR!F179,closeDate,"&lt;"&amp;G179,SIZE,"&gt;0")</f>
        <v>0</v>
      </c>
      <c r="G180" s="748">
        <f>SUMIFS('TRADE LOG'!$T$15:$T$9733,closeDate,"&gt;="&amp;CALENDAR!G179,closeDate,"&lt;"&amp;H179,SIZE,"&gt;0")</f>
        <v>0</v>
      </c>
      <c r="H180" s="748">
        <f>SUMIFS('TRADE LOG'!$T$15:$T$9733,closeDate,"&gt;="&amp;CALENDAR!H179,closeDate,"&lt;"&amp;I179,SIZE,"&gt;0")</f>
        <v>0</v>
      </c>
      <c r="I180" s="748">
        <f>SUMIFS('TRADE LOG'!$T$15:$T$9733,closeDate,"&gt;="&amp;CALENDAR!I179,closeDate,"&lt;"&amp;C182,SIZE,"&gt;0")</f>
        <v>0</v>
      </c>
      <c r="J180" s="161"/>
      <c r="K180" s="161"/>
      <c r="L180" s="161"/>
    </row>
    <row r="181" spans="2:12" ht="15" customHeight="1" thickBot="1">
      <c r="B181" s="161"/>
      <c r="C181" s="749">
        <f>COUNTIFS(closeDate,"&gt;="&amp;CALENDAR!C179,closeDate,"&lt;"&amp;D179,SIZE,"&gt;0")</f>
        <v>0</v>
      </c>
      <c r="D181" s="749">
        <f>COUNTIFS(closeDate,"&gt;="&amp;CALENDAR!D179,closeDate,"&lt;"&amp;E179,SIZE,"&gt;0")</f>
        <v>0</v>
      </c>
      <c r="E181" s="749">
        <f>COUNTIFS(closeDate,"&gt;="&amp;CALENDAR!E179,closeDate,"&lt;"&amp;F179,SIZE,"&gt;0")</f>
        <v>0</v>
      </c>
      <c r="F181" s="749">
        <f>COUNTIFS(closeDate,"&gt;="&amp;CALENDAR!F179,closeDate,"&lt;"&amp;G179,SIZE,"&gt;0")</f>
        <v>0</v>
      </c>
      <c r="G181" s="749">
        <f>COUNTIFS(closeDate,"&gt;="&amp;CALENDAR!G179,closeDate,"&lt;"&amp;H179,SIZE,"&gt;0")</f>
        <v>0</v>
      </c>
      <c r="H181" s="749">
        <f>COUNTIFS(closeDate,"&gt;="&amp;CALENDAR!H179,closeDate,"&lt;"&amp;I179,SIZE,"&gt;0")</f>
        <v>0</v>
      </c>
      <c r="I181" s="749">
        <f>COUNTIFS(closeDate,"&gt;="&amp;CALENDAR!I179,closeDate,"&lt;"&amp;(I179+1),SIZE,"&gt;0")</f>
        <v>0</v>
      </c>
      <c r="J181" s="161"/>
      <c r="K181" s="161"/>
      <c r="L181" s="161"/>
    </row>
    <row r="182" spans="2:12" ht="15" customHeight="1" thickTop="1">
      <c r="B182" s="161"/>
      <c r="C182" s="747">
        <f>I179+1</f>
        <v>44206</v>
      </c>
      <c r="D182" s="747">
        <f>C182+1</f>
        <v>44207</v>
      </c>
      <c r="E182" s="747">
        <f t="shared" ref="E182:E188" si="111">D182+1</f>
        <v>44208</v>
      </c>
      <c r="F182" s="747">
        <f t="shared" ref="F182:F188" si="112">E182+1</f>
        <v>44209</v>
      </c>
      <c r="G182" s="747">
        <f t="shared" ref="G182:G188" si="113">F182+1</f>
        <v>44210</v>
      </c>
      <c r="H182" s="747">
        <f t="shared" ref="H182:H188" si="114">G182+1</f>
        <v>44211</v>
      </c>
      <c r="I182" s="747">
        <f t="shared" ref="I182:I188" si="115">H182+1</f>
        <v>44212</v>
      </c>
      <c r="J182" s="161"/>
      <c r="K182" s="161"/>
      <c r="L182" s="161"/>
    </row>
    <row r="183" spans="2:12" ht="15" customHeight="1">
      <c r="B183" s="161"/>
      <c r="C183" s="748">
        <f>SUMIFS('TRADE LOG'!$T$15:$T$9733,closeDate,"&gt;="&amp;CALENDAR!C182,closeDate,"&lt;"&amp;D182,SIZE,"&gt;0")</f>
        <v>0</v>
      </c>
      <c r="D183" s="748">
        <f>SUMIFS('TRADE LOG'!$T$15:$T$9733,closeDate,"&gt;="&amp;CALENDAR!D182,closeDate,"&lt;"&amp;E182,SIZE,"&gt;0")</f>
        <v>0</v>
      </c>
      <c r="E183" s="748">
        <f>SUMIFS('TRADE LOG'!$T$15:$T$9733,closeDate,"&gt;="&amp;CALENDAR!E182,closeDate,"&lt;"&amp;F182,SIZE,"&gt;0")</f>
        <v>0</v>
      </c>
      <c r="F183" s="748">
        <f>SUMIFS('TRADE LOG'!$T$15:$T$9733,closeDate,"&gt;="&amp;CALENDAR!F182,closeDate,"&lt;"&amp;G182,SIZE,"&gt;0")</f>
        <v>0</v>
      </c>
      <c r="G183" s="748">
        <f>SUMIFS('TRADE LOG'!$T$15:$T$9733,closeDate,"&gt;="&amp;CALENDAR!G182,closeDate,"&lt;"&amp;H182,SIZE,"&gt;0")</f>
        <v>0</v>
      </c>
      <c r="H183" s="748">
        <f>SUMIFS('TRADE LOG'!$T$15:$T$9733,closeDate,"&gt;="&amp;CALENDAR!H182,closeDate,"&lt;"&amp;I182,SIZE,"&gt;0")</f>
        <v>0</v>
      </c>
      <c r="I183" s="748">
        <f>SUMIFS('TRADE LOG'!$T$15:$T$9733,closeDate,"&gt;="&amp;CALENDAR!I182,closeDate,"&lt;"&amp;C185,SIZE,"&gt;0")</f>
        <v>0</v>
      </c>
      <c r="J183" s="161"/>
      <c r="K183" s="161"/>
      <c r="L183" s="161"/>
    </row>
    <row r="184" spans="2:12" ht="15" customHeight="1" thickBot="1">
      <c r="B184" s="161"/>
      <c r="C184" s="749">
        <f>COUNTIFS(closeDate,"&gt;="&amp;CALENDAR!C182,closeDate,"&lt;"&amp;D182,SIZE,"&gt;0")</f>
        <v>0</v>
      </c>
      <c r="D184" s="749">
        <f>COUNTIFS(closeDate,"&gt;="&amp;CALENDAR!D182,closeDate,"&lt;"&amp;E182,SIZE,"&gt;0")</f>
        <v>0</v>
      </c>
      <c r="E184" s="749">
        <f>COUNTIFS(closeDate,"&gt;="&amp;CALENDAR!E182,closeDate,"&lt;"&amp;F182,SIZE,"&gt;0")</f>
        <v>0</v>
      </c>
      <c r="F184" s="749">
        <f>COUNTIFS(closeDate,"&gt;="&amp;CALENDAR!F182,closeDate,"&lt;"&amp;G182,SIZE,"&gt;0")</f>
        <v>0</v>
      </c>
      <c r="G184" s="749">
        <f>COUNTIFS(closeDate,"&gt;="&amp;CALENDAR!G182,closeDate,"&lt;"&amp;H182,SIZE,"&gt;0")</f>
        <v>0</v>
      </c>
      <c r="H184" s="749">
        <f>COUNTIFS(closeDate,"&gt;="&amp;CALENDAR!H182,closeDate,"&lt;"&amp;I182,SIZE,"&gt;0")</f>
        <v>0</v>
      </c>
      <c r="I184" s="749">
        <f>COUNTIFS(closeDate,"&gt;="&amp;CALENDAR!I182,closeDate,"&lt;"&amp;(I182+1),SIZE,"&gt;0")</f>
        <v>0</v>
      </c>
      <c r="J184" s="161"/>
      <c r="K184" s="161"/>
      <c r="L184" s="161"/>
    </row>
    <row r="185" spans="2:12" ht="15" customHeight="1" thickTop="1">
      <c r="B185" s="161"/>
      <c r="C185" s="747">
        <f>I182+1</f>
        <v>44213</v>
      </c>
      <c r="D185" s="747">
        <f>C185+1</f>
        <v>44214</v>
      </c>
      <c r="E185" s="747">
        <f t="shared" ref="E185:E191" si="116">D185+1</f>
        <v>44215</v>
      </c>
      <c r="F185" s="747">
        <f t="shared" ref="F185:F191" si="117">E185+1</f>
        <v>44216</v>
      </c>
      <c r="G185" s="747">
        <f t="shared" ref="G185:G191" si="118">F185+1</f>
        <v>44217</v>
      </c>
      <c r="H185" s="747">
        <f t="shared" ref="H185:H191" si="119">G185+1</f>
        <v>44218</v>
      </c>
      <c r="I185" s="747">
        <f t="shared" ref="I185:I191" si="120">H185+1</f>
        <v>44219</v>
      </c>
      <c r="J185" s="161"/>
      <c r="K185" s="161"/>
      <c r="L185" s="161"/>
    </row>
    <row r="186" spans="2:12" ht="15" customHeight="1">
      <c r="B186" s="161"/>
      <c r="C186" s="748">
        <f>SUMIFS('TRADE LOG'!$T$15:$T$9733,closeDate,"&gt;="&amp;CALENDAR!C185,closeDate,"&lt;"&amp;D185,SIZE,"&gt;0")</f>
        <v>0</v>
      </c>
      <c r="D186" s="748">
        <f>SUMIFS('TRADE LOG'!$T$15:$T$9733,closeDate,"&gt;="&amp;CALENDAR!D185,closeDate,"&lt;"&amp;E185,SIZE,"&gt;0")</f>
        <v>0</v>
      </c>
      <c r="E186" s="748">
        <f>SUMIFS('TRADE LOG'!$T$15:$T$9733,closeDate,"&gt;="&amp;CALENDAR!E185,closeDate,"&lt;"&amp;F185,SIZE,"&gt;0")</f>
        <v>0</v>
      </c>
      <c r="F186" s="748">
        <f>SUMIFS('TRADE LOG'!$T$15:$T$9733,closeDate,"&gt;="&amp;CALENDAR!F185,closeDate,"&lt;"&amp;G185,SIZE,"&gt;0")</f>
        <v>0</v>
      </c>
      <c r="G186" s="748">
        <f>SUMIFS('TRADE LOG'!$T$15:$T$9733,closeDate,"&gt;="&amp;CALENDAR!G185,closeDate,"&lt;"&amp;H185,SIZE,"&gt;0")</f>
        <v>0</v>
      </c>
      <c r="H186" s="748">
        <f>SUMIFS('TRADE LOG'!$T$15:$T$9733,closeDate,"&gt;="&amp;CALENDAR!H185,closeDate,"&lt;"&amp;I185,SIZE,"&gt;0")</f>
        <v>0</v>
      </c>
      <c r="I186" s="748">
        <f>SUMIFS('TRADE LOG'!$T$15:$T$9733,closeDate,"&gt;="&amp;CALENDAR!I185,closeDate,"&lt;"&amp;I185+1,SIZE,"&gt;0")</f>
        <v>0</v>
      </c>
      <c r="J186" s="161"/>
      <c r="K186" s="161"/>
      <c r="L186" s="161"/>
    </row>
    <row r="187" spans="2:12" ht="15" customHeight="1" thickBot="1">
      <c r="B187" s="161"/>
      <c r="C187" s="749">
        <f>COUNTIFS(closeDate,"&gt;="&amp;CALENDAR!C185,closeDate,"&lt;"&amp;D185,SIZE,"&gt;0")</f>
        <v>0</v>
      </c>
      <c r="D187" s="749">
        <f>COUNTIFS(closeDate,"&gt;="&amp;CALENDAR!D185,closeDate,"&lt;"&amp;E185,SIZE,"&gt;0")</f>
        <v>0</v>
      </c>
      <c r="E187" s="749">
        <f>COUNTIFS(closeDate,"&gt;="&amp;CALENDAR!E185,closeDate,"&lt;"&amp;F185,SIZE,"&gt;0")</f>
        <v>0</v>
      </c>
      <c r="F187" s="749">
        <f>COUNTIFS(closeDate,"&gt;="&amp;CALENDAR!F185,closeDate,"&lt;"&amp;G185,SIZE,"&gt;0")</f>
        <v>0</v>
      </c>
      <c r="G187" s="749">
        <f>COUNTIFS(closeDate,"&gt;="&amp;CALENDAR!G185,closeDate,"&lt;"&amp;H185,SIZE,"&gt;0")</f>
        <v>0</v>
      </c>
      <c r="H187" s="749">
        <f>COUNTIFS(closeDate,"&gt;="&amp;CALENDAR!H185,closeDate,"&lt;"&amp;I185,SIZE,"&gt;0")</f>
        <v>0</v>
      </c>
      <c r="I187" s="749">
        <f>COUNTIFS(closeDate,"&gt;="&amp;CALENDAR!I185,closeDate,"&lt;"&amp;(I185+1),SIZE,"&gt;0")</f>
        <v>0</v>
      </c>
      <c r="J187" s="161"/>
      <c r="K187" s="161"/>
      <c r="L187" s="161"/>
    </row>
    <row r="188" spans="2:12" ht="15" customHeight="1" thickTop="1">
      <c r="B188" s="161"/>
      <c r="C188" s="747">
        <f>IFERROR(IF(MONTH(C174)&lt;&gt;MONTH(I185+1),"",(I185+1)),"")</f>
        <v>44220</v>
      </c>
      <c r="D188" s="747">
        <f>IFERROR(IF(MONTH(C174)&lt;&gt;MONTH(C188+1),"",(C188+1)),"")</f>
        <v>44221</v>
      </c>
      <c r="E188" s="747">
        <f>IFERROR(IF(MONTH(C174)&lt;&gt;MONTH(D188+1),"",(D188+1)),"")</f>
        <v>44222</v>
      </c>
      <c r="F188" s="747">
        <f>IFERROR(IF(MONTH(C174)&lt;&gt;MONTH(E188+1),"",(E188+1)),"")</f>
        <v>44223</v>
      </c>
      <c r="G188" s="747">
        <f>IFERROR(IF(MONTH(C174)&lt;&gt;MONTH(F188+1),"",(F188+1)),"")</f>
        <v>44224</v>
      </c>
      <c r="H188" s="747">
        <f>IFERROR(IF(MONTH(C174)&lt;&gt;MONTH(G188+1),"",(G188+1)),"")</f>
        <v>44225</v>
      </c>
      <c r="I188" s="747">
        <f>IFERROR(IF(MONTH(C174)&lt;&gt;MONTH(H188+1),"",(H188+1)),"")</f>
        <v>44226</v>
      </c>
      <c r="J188" s="161"/>
      <c r="K188" s="161"/>
      <c r="L188" s="161"/>
    </row>
    <row r="189" spans="2:12" ht="15" customHeight="1">
      <c r="B189" s="161"/>
      <c r="C189" s="748">
        <f>SUMIFS('TRADE LOG'!$T$15:$T$9733,closeDate,"&gt;="&amp;CALENDAR!C188,closeDate,"&lt;"&amp;C188+1,SIZE,"&gt;0")</f>
        <v>0</v>
      </c>
      <c r="D189" s="748">
        <f>SUMIFS('TRADE LOG'!$T$15:$T$9733,closeDate,"&gt;="&amp;CALENDAR!D188,closeDate,"&lt;"&amp;D188+1,SIZE,"&gt;0")</f>
        <v>0</v>
      </c>
      <c r="E189" s="748">
        <f>SUMIFS('TRADE LOG'!$T$15:$T$9733,closeDate,"&gt;="&amp;CALENDAR!E188,closeDate,"&lt;"&amp;E188+1,SIZE,"&gt;0")</f>
        <v>0</v>
      </c>
      <c r="F189" s="748">
        <f>SUMIFS('TRADE LOG'!$T$15:$T$9733,closeDate,"&gt;="&amp;CALENDAR!F188,closeDate,"&lt;"&amp;F188+1,SIZE,"&gt;0")</f>
        <v>0</v>
      </c>
      <c r="G189" s="748">
        <f>SUMIFS('TRADE LOG'!$T$15:$T$9733,closeDate,"&gt;="&amp;CALENDAR!G188,closeDate,"&lt;"&amp;G188+1,SIZE,"&gt;0")</f>
        <v>0</v>
      </c>
      <c r="H189" s="748">
        <f>SUMIFS('TRADE LOG'!$T$15:$T$9733,closeDate,"&gt;="&amp;CALENDAR!H188,closeDate,"&lt;"&amp;H188+1,SIZE,"&gt;0")</f>
        <v>0</v>
      </c>
      <c r="I189" s="748">
        <f>SUMIFS('TRADE LOG'!$T$15:$T$9733,closeDate,"&gt;="&amp;CALENDAR!I188,closeDate,"&lt;"&amp;I188+1,SIZE,"&gt;0")</f>
        <v>0</v>
      </c>
      <c r="J189" s="161"/>
      <c r="K189" s="161"/>
      <c r="L189" s="161"/>
    </row>
    <row r="190" spans="2:12" ht="15" customHeight="1" thickBot="1">
      <c r="B190" s="161"/>
      <c r="C190" s="749">
        <f>COUNTIFS(closeDate,"&gt;="&amp;CALENDAR!C188,closeDate,"&lt;"&amp;C188+1,SIZE,"&gt;0")</f>
        <v>0</v>
      </c>
      <c r="D190" s="749">
        <f>COUNTIFS(closeDate,"&gt;="&amp;CALENDAR!D188,closeDate,"&lt;"&amp;D188+1,SIZE,"&gt;0")</f>
        <v>0</v>
      </c>
      <c r="E190" s="749">
        <f>COUNTIFS(closeDate,"&gt;="&amp;CALENDAR!E188,closeDate,"&lt;"&amp;E188+1,SIZE,"&gt;0")</f>
        <v>0</v>
      </c>
      <c r="F190" s="749">
        <f>COUNTIFS(closeDate,"&gt;="&amp;CALENDAR!F188,closeDate,"&lt;"&amp;F188+1,SIZE,"&gt;0")</f>
        <v>0</v>
      </c>
      <c r="G190" s="749">
        <f>COUNTIFS(closeDate,"&gt;="&amp;CALENDAR!G188,closeDate,"&lt;"&amp;G188+1,SIZE,"&gt;0")</f>
        <v>0</v>
      </c>
      <c r="H190" s="749">
        <f>COUNTIFS(closeDate,"&gt;="&amp;CALENDAR!H188,closeDate,"&lt;"&amp;H188+1,SIZE,"&gt;0")</f>
        <v>0</v>
      </c>
      <c r="I190" s="749">
        <f>COUNTIFS(closeDate,"&gt;="&amp;CALENDAR!I188,closeDate,"&lt;"&amp;(I188+1),SIZE,"&gt;0")</f>
        <v>0</v>
      </c>
      <c r="J190" s="161"/>
      <c r="K190" s="161"/>
      <c r="L190" s="161"/>
    </row>
    <row r="191" spans="2:12" ht="15" customHeight="1" thickTop="1">
      <c r="B191" s="161"/>
      <c r="C191" s="747">
        <f>IFERROR(IF(MONTH(C174)&lt;&gt;MONTH(I188+1),"",(I188+1)),"")</f>
        <v>44227</v>
      </c>
      <c r="D191" s="747" t="str">
        <f>IFERROR(IF(MONTH(C174)&lt;&gt;MONTH(C191+1),"",(C191+1)),"")</f>
        <v/>
      </c>
      <c r="E191" s="747" t="str">
        <f>IFERROR(IF(MONTH(C174)&lt;&gt;MONTH(D191+1),"",(D191+1)),"")</f>
        <v/>
      </c>
      <c r="F191" s="747" t="str">
        <f>IFERROR(IF(MONTH(C174)&lt;&gt;MONTH(E191+1),"",(E191+1)),"")</f>
        <v/>
      </c>
      <c r="G191" s="747" t="str">
        <f>IFERROR(IF(MONTH(C174)&lt;&gt;MONTH(F191+1),"",(F191+1)),"")</f>
        <v/>
      </c>
      <c r="H191" s="747" t="str">
        <f>IFERROR(IF(MONTH(C174)&lt;&gt;MONTH(G191+1),"",(G191+1)),"")</f>
        <v/>
      </c>
      <c r="I191" s="747" t="str">
        <f>IFERROR(IF(MONTH(C174)&lt;&gt;MONTH(H191+1),"",(H191+1)),"")</f>
        <v/>
      </c>
      <c r="J191" s="161"/>
      <c r="K191" s="161"/>
      <c r="L191" s="161"/>
    </row>
    <row r="192" spans="2:12" ht="15" customHeight="1">
      <c r="B192" s="161"/>
      <c r="C192" s="748">
        <f>SUMIFS('TRADE LOG'!$T$15:$T$9733,closeDate,"&gt;="&amp;CALENDAR!C191,closeDate,"&lt;"&amp;C191+1,SIZE,"&gt;0")</f>
        <v>0</v>
      </c>
      <c r="D192" s="748">
        <f>SUMIFS('TRADE LOG'!$T$15:$T$9733,closeDate,"&gt;="&amp;CALENDAR!D191,closeDate,"&lt;"&amp;D191+1,SIZE,"&gt;0")</f>
        <v>0</v>
      </c>
      <c r="E192" s="748">
        <f>SUMIFS('TRADE LOG'!$T$15:$T$9733,closeDate,"&gt;="&amp;CALENDAR!E191,closeDate,"&lt;"&amp;E191+1,SIZE,"&gt;0")</f>
        <v>0</v>
      </c>
      <c r="F192" s="748">
        <f>SUMIFS('TRADE LOG'!$T$15:$T$9733,closeDate,"&gt;="&amp;CALENDAR!F191,closeDate,"&lt;"&amp;F191+1,SIZE,"&gt;0")</f>
        <v>0</v>
      </c>
      <c r="G192" s="748">
        <f>SUMIFS('TRADE LOG'!$T$15:$T$9733,closeDate,"&gt;="&amp;CALENDAR!G191,closeDate,"&lt;"&amp;G191+1,SIZE,"&gt;0")</f>
        <v>0</v>
      </c>
      <c r="H192" s="748">
        <f>SUMIFS('TRADE LOG'!$T$15:$T$9733,closeDate,"&gt;="&amp;CALENDAR!H191,closeDate,"&lt;"&amp;H191+1,SIZE,"&gt;0")</f>
        <v>0</v>
      </c>
      <c r="I192" s="748">
        <f>SUMIFS('TRADE LOG'!$T$15:$T$9733,closeDate,"&gt;="&amp;CALENDAR!I191,closeDate,"&lt;"&amp;I191+1,SIZE,"&gt;0")</f>
        <v>0</v>
      </c>
      <c r="J192" s="161"/>
      <c r="K192" s="161"/>
      <c r="L192" s="161"/>
    </row>
    <row r="193" spans="2:12" ht="15" customHeight="1">
      <c r="B193" s="161"/>
      <c r="C193" s="750">
        <f>COUNTIFS(closeDate,"&gt;="&amp;CALENDAR!C191,closeDate,"&lt;"&amp;C191+1,SIZE,"&gt;0")</f>
        <v>0</v>
      </c>
      <c r="D193" s="750">
        <f>COUNTIFS(closeDate,"&gt;="&amp;CALENDAR!D191,closeDate,"&lt;"&amp;D191+1,SIZE,"&gt;0")</f>
        <v>0</v>
      </c>
      <c r="E193" s="750">
        <f>COUNTIFS(closeDate,"&gt;="&amp;CALENDAR!E191,closeDate,"&lt;"&amp;E191+1,SIZE,"&gt;0")</f>
        <v>0</v>
      </c>
      <c r="F193" s="750">
        <f>COUNTIFS(closeDate,"&gt;="&amp;CALENDAR!F191,closeDate,"&lt;"&amp;F191+1,SIZE,"&gt;0")</f>
        <v>0</v>
      </c>
      <c r="G193" s="750">
        <f>COUNTIFS(closeDate,"&gt;="&amp;CALENDAR!G191,closeDate,"&lt;"&amp;G191+1,SIZE,"&gt;0")</f>
        <v>0</v>
      </c>
      <c r="H193" s="750">
        <f>COUNTIFS(closeDate,"&gt;="&amp;CALENDAR!H191,closeDate,"&lt;"&amp;H191+1,SIZE,"&gt;0")</f>
        <v>0</v>
      </c>
      <c r="I193" s="750">
        <f>COUNTIFS(closeDate,"&gt;="&amp;CALENDAR!I191,closeDate,"&lt;"&amp;(I191+1),SIZE,"&gt;0")</f>
        <v>0</v>
      </c>
      <c r="J193" s="161"/>
      <c r="K193" s="161"/>
      <c r="L193" s="161"/>
    </row>
    <row r="194" spans="2:12" ht="18" customHeight="1" thickBot="1">
      <c r="B194" s="161"/>
      <c r="C194" s="751"/>
      <c r="D194" s="751"/>
      <c r="E194" s="751"/>
      <c r="F194" s="751"/>
      <c r="G194" s="751"/>
      <c r="H194" s="751"/>
      <c r="I194" s="751"/>
      <c r="J194" s="161"/>
      <c r="K194" s="161"/>
      <c r="L194" s="161"/>
    </row>
    <row r="195" spans="2:12" ht="21.95" customHeight="1">
      <c r="B195" s="161"/>
      <c r="C195" s="752">
        <f>EOMONTH(C174,0)+1</f>
        <v>44228</v>
      </c>
      <c r="D195" s="753"/>
      <c r="E195" s="754"/>
      <c r="F195" s="755"/>
      <c r="G195" s="756"/>
      <c r="H195" s="756"/>
      <c r="I195" s="756"/>
      <c r="J195" s="161"/>
      <c r="K195" s="161"/>
      <c r="L195" s="161"/>
    </row>
    <row r="196" spans="2:12" ht="24.95" customHeight="1" thickBot="1">
      <c r="B196" s="161"/>
      <c r="C196" s="757" t="s">
        <v>781</v>
      </c>
      <c r="D196" s="757" t="s">
        <v>782</v>
      </c>
      <c r="E196" s="757" t="s">
        <v>783</v>
      </c>
      <c r="F196" s="757" t="s">
        <v>784</v>
      </c>
      <c r="G196" s="757" t="s">
        <v>789</v>
      </c>
      <c r="H196" s="757" t="s">
        <v>785</v>
      </c>
      <c r="I196" s="757" t="s">
        <v>786</v>
      </c>
      <c r="J196" s="161"/>
      <c r="K196" s="161"/>
      <c r="L196" s="161"/>
    </row>
    <row r="197" spans="2:12" ht="15" customHeight="1" thickTop="1">
      <c r="B197" s="161"/>
      <c r="C197" s="747" t="str">
        <f>IF(MONTH(C195)&lt;&gt;MONTH((C195-WEEKDAY(C195,1)+1)),"",(C195-WEEKDAY(C195,1)+1))</f>
        <v/>
      </c>
      <c r="D197" s="747">
        <f>IF(MONTH(C195)&lt;&gt;MONTH((C195-WEEKDAY(C195,1)+2)),"",(C195-WEEKDAY(C195,1)+2))</f>
        <v>44228</v>
      </c>
      <c r="E197" s="747">
        <f>IF(MONTH(C195)&lt;&gt;MONTH((C195-WEEKDAY(C195,1)+3)),"",(C195-WEEKDAY(C195,1)+3))</f>
        <v>44229</v>
      </c>
      <c r="F197" s="747">
        <f>IF(MONTH(C195)&lt;&gt;MONTH((C195-WEEKDAY(C195,1)+4)),"",(C195-WEEKDAY(C195,1)+4))</f>
        <v>44230</v>
      </c>
      <c r="G197" s="747">
        <f>IF(MONTH(C195)&lt;&gt;MONTH((C195-WEEKDAY(C195,1)+5)),"",(C195-WEEKDAY(C195,1)+5))</f>
        <v>44231</v>
      </c>
      <c r="H197" s="747">
        <f>IF(MONTH(C195)&lt;&gt;MONTH((C195-WEEKDAY(C195,1)+6)),"",(C195-WEEKDAY(C195,1)+6))</f>
        <v>44232</v>
      </c>
      <c r="I197" s="747">
        <f>IF(MONTH(C195)&lt;&gt;MONTH((C195-WEEKDAY(C195,1)+7)),"",(C195-WEEKDAY(C195,1)+7))</f>
        <v>44233</v>
      </c>
      <c r="J197" s="161"/>
      <c r="K197" s="161"/>
      <c r="L197" s="161"/>
    </row>
    <row r="198" spans="2:12" ht="15" customHeight="1">
      <c r="B198" s="161"/>
      <c r="C198" s="748">
        <f>SUMIFS('TRADE LOG'!$T$15:$T$9733,closeDate,"&gt;="&amp;CALENDAR!C197,closeDate,"&lt;"&amp;D197,SIZE,"&gt;0")</f>
        <v>0</v>
      </c>
      <c r="D198" s="748">
        <f>SUMIFS('TRADE LOG'!$T$15:$T$9733,closeDate,"&gt;="&amp;CALENDAR!D197,closeDate,"&lt;"&amp;E197,SIZE,"&gt;0")</f>
        <v>0</v>
      </c>
      <c r="E198" s="748">
        <f>SUMIFS('TRADE LOG'!$T$15:$T$9733,closeDate,"&gt;="&amp;CALENDAR!E197,closeDate,"&lt;"&amp;F197,SIZE,"&gt;0")</f>
        <v>0</v>
      </c>
      <c r="F198" s="748">
        <f>SUMIFS('TRADE LOG'!$T$15:$T$9733,closeDate,"&gt;="&amp;CALENDAR!F197,closeDate,"&lt;"&amp;G197,SIZE,"&gt;0")</f>
        <v>0</v>
      </c>
      <c r="G198" s="748">
        <f>SUMIFS('TRADE LOG'!$T$15:$T$9733,closeDate,"&gt;="&amp;CALENDAR!G197,closeDate,"&lt;"&amp;H197,SIZE,"&gt;0")</f>
        <v>0</v>
      </c>
      <c r="H198" s="748">
        <f>SUMIFS('TRADE LOG'!$T$15:$T$9733,closeDate,"&gt;="&amp;CALENDAR!H197,closeDate,"&lt;"&amp;I197,SIZE,"&gt;0")</f>
        <v>0</v>
      </c>
      <c r="I198" s="748">
        <f>SUMIFS('TRADE LOG'!$T$15:$T$9733,closeDate,"&gt;="&amp;CALENDAR!I197,closeDate,"&lt;"&amp;C200,SIZE,"&gt;0")</f>
        <v>0</v>
      </c>
      <c r="J198" s="161"/>
      <c r="K198" s="161"/>
      <c r="L198" s="161"/>
    </row>
    <row r="199" spans="2:12" ht="15" customHeight="1" thickBot="1">
      <c r="B199" s="161"/>
      <c r="C199" s="749">
        <f>COUNTIFS(closeDate,"&gt;="&amp;CALENDAR!C197,closeDate,"&lt;"&amp;D197,SIZE,"&gt;0")</f>
        <v>0</v>
      </c>
      <c r="D199" s="749">
        <f>COUNTIFS(closeDate,"&gt;="&amp;CALENDAR!D197,closeDate,"&lt;"&amp;E197,SIZE,"&gt;0")</f>
        <v>0</v>
      </c>
      <c r="E199" s="749">
        <f>COUNTIFS(closeDate,"&gt;="&amp;CALENDAR!E197,closeDate,"&lt;"&amp;F197,SIZE,"&gt;0")</f>
        <v>0</v>
      </c>
      <c r="F199" s="749">
        <f>COUNTIFS(closeDate,"&gt;="&amp;CALENDAR!F197,closeDate,"&lt;"&amp;G197,SIZE,"&gt;0")</f>
        <v>0</v>
      </c>
      <c r="G199" s="749">
        <f>COUNTIFS(closeDate,"&gt;="&amp;CALENDAR!G197,closeDate,"&lt;"&amp;H197,SIZE,"&gt;0")</f>
        <v>0</v>
      </c>
      <c r="H199" s="749">
        <f>COUNTIFS(closeDate,"&gt;="&amp;CALENDAR!H197,closeDate,"&lt;"&amp;I197,SIZE,"&gt;0")</f>
        <v>0</v>
      </c>
      <c r="I199" s="749">
        <f>COUNTIFS(closeDate,"&gt;="&amp;CALENDAR!I197,closeDate,"&lt;"&amp;(I197+1),SIZE,"&gt;0")</f>
        <v>0</v>
      </c>
      <c r="J199" s="161"/>
      <c r="K199" s="161"/>
      <c r="L199" s="161"/>
    </row>
    <row r="200" spans="2:12" ht="15" customHeight="1" thickTop="1">
      <c r="B200" s="161"/>
      <c r="C200" s="747">
        <f>I197+1</f>
        <v>44234</v>
      </c>
      <c r="D200" s="747">
        <f>C200+1</f>
        <v>44235</v>
      </c>
      <c r="E200" s="747">
        <f t="shared" ref="E200:E206" si="121">D200+1</f>
        <v>44236</v>
      </c>
      <c r="F200" s="747">
        <f t="shared" ref="F200:F206" si="122">E200+1</f>
        <v>44237</v>
      </c>
      <c r="G200" s="747">
        <f t="shared" ref="G200:G206" si="123">F200+1</f>
        <v>44238</v>
      </c>
      <c r="H200" s="747">
        <f t="shared" ref="H200:H206" si="124">G200+1</f>
        <v>44239</v>
      </c>
      <c r="I200" s="747">
        <f t="shared" ref="I200:I206" si="125">H200+1</f>
        <v>44240</v>
      </c>
      <c r="J200" s="161"/>
      <c r="K200" s="161"/>
      <c r="L200" s="161"/>
    </row>
    <row r="201" spans="2:12" ht="15" customHeight="1">
      <c r="B201" s="161"/>
      <c r="C201" s="748">
        <f>SUMIFS('TRADE LOG'!$T$15:$T$9733,closeDate,"&gt;="&amp;CALENDAR!C200,closeDate,"&lt;"&amp;D200,SIZE,"&gt;0")</f>
        <v>0</v>
      </c>
      <c r="D201" s="748">
        <f>SUMIFS('TRADE LOG'!$T$15:$T$9733,closeDate,"&gt;="&amp;CALENDAR!D200,closeDate,"&lt;"&amp;E200,SIZE,"&gt;0")</f>
        <v>0</v>
      </c>
      <c r="E201" s="748">
        <f>SUMIFS('TRADE LOG'!$T$15:$T$9733,closeDate,"&gt;="&amp;CALENDAR!E200,closeDate,"&lt;"&amp;F200,SIZE,"&gt;0")</f>
        <v>0</v>
      </c>
      <c r="F201" s="748">
        <f>SUMIFS('TRADE LOG'!$T$15:$T$9733,closeDate,"&gt;="&amp;CALENDAR!F200,closeDate,"&lt;"&amp;G200,SIZE,"&gt;0")</f>
        <v>0</v>
      </c>
      <c r="G201" s="748">
        <f>SUMIFS('TRADE LOG'!$T$15:$T$9733,closeDate,"&gt;="&amp;CALENDAR!G200,closeDate,"&lt;"&amp;H200,SIZE,"&gt;0")</f>
        <v>0</v>
      </c>
      <c r="H201" s="748">
        <f>SUMIFS('TRADE LOG'!$T$15:$T$9733,closeDate,"&gt;="&amp;CALENDAR!H200,closeDate,"&lt;"&amp;I200,SIZE,"&gt;0")</f>
        <v>0</v>
      </c>
      <c r="I201" s="748">
        <f>SUMIFS('TRADE LOG'!$T$15:$T$9733,closeDate,"&gt;="&amp;CALENDAR!I200,closeDate,"&lt;"&amp;C203,SIZE,"&gt;0")</f>
        <v>0</v>
      </c>
      <c r="J201" s="161"/>
      <c r="K201" s="161"/>
      <c r="L201" s="161"/>
    </row>
    <row r="202" spans="2:12" ht="15" customHeight="1" thickBot="1">
      <c r="B202" s="161"/>
      <c r="C202" s="749">
        <f>COUNTIFS(closeDate,"&gt;="&amp;CALENDAR!C200,closeDate,"&lt;"&amp;D200,SIZE,"&gt;0")</f>
        <v>0</v>
      </c>
      <c r="D202" s="749">
        <f>COUNTIFS(closeDate,"&gt;="&amp;CALENDAR!D200,closeDate,"&lt;"&amp;E200,SIZE,"&gt;0")</f>
        <v>0</v>
      </c>
      <c r="E202" s="749">
        <f>COUNTIFS(closeDate,"&gt;="&amp;CALENDAR!E200,closeDate,"&lt;"&amp;F200,SIZE,"&gt;0")</f>
        <v>0</v>
      </c>
      <c r="F202" s="749">
        <f>COUNTIFS(closeDate,"&gt;="&amp;CALENDAR!F200,closeDate,"&lt;"&amp;G200,SIZE,"&gt;0")</f>
        <v>0</v>
      </c>
      <c r="G202" s="749">
        <f>COUNTIFS(closeDate,"&gt;="&amp;CALENDAR!G200,closeDate,"&lt;"&amp;H200,SIZE,"&gt;0")</f>
        <v>0</v>
      </c>
      <c r="H202" s="749">
        <f>COUNTIFS(closeDate,"&gt;="&amp;CALENDAR!H200,closeDate,"&lt;"&amp;I200,SIZE,"&gt;0")</f>
        <v>0</v>
      </c>
      <c r="I202" s="749">
        <f>COUNTIFS(closeDate,"&gt;="&amp;CALENDAR!I200,closeDate,"&lt;"&amp;(I200+1),SIZE,"&gt;0")</f>
        <v>0</v>
      </c>
      <c r="J202" s="161"/>
      <c r="K202" s="161"/>
      <c r="L202" s="161"/>
    </row>
    <row r="203" spans="2:12" ht="15" customHeight="1" thickTop="1">
      <c r="B203" s="161"/>
      <c r="C203" s="747">
        <f>I200+1</f>
        <v>44241</v>
      </c>
      <c r="D203" s="747">
        <f>C203+1</f>
        <v>44242</v>
      </c>
      <c r="E203" s="747">
        <f t="shared" ref="E203:E209" si="126">D203+1</f>
        <v>44243</v>
      </c>
      <c r="F203" s="747">
        <f t="shared" ref="F203:F209" si="127">E203+1</f>
        <v>44244</v>
      </c>
      <c r="G203" s="747">
        <f t="shared" ref="G203:G209" si="128">F203+1</f>
        <v>44245</v>
      </c>
      <c r="H203" s="747">
        <f t="shared" ref="H203:H209" si="129">G203+1</f>
        <v>44246</v>
      </c>
      <c r="I203" s="747">
        <f t="shared" ref="I203:I209" si="130">H203+1</f>
        <v>44247</v>
      </c>
      <c r="J203" s="161"/>
      <c r="K203" s="161"/>
      <c r="L203" s="161"/>
    </row>
    <row r="204" spans="2:12" ht="15" customHeight="1">
      <c r="B204" s="161"/>
      <c r="C204" s="748">
        <f>SUMIFS('TRADE LOG'!$T$15:$T$9733,closeDate,"&gt;="&amp;CALENDAR!C203,closeDate,"&lt;"&amp;D203,SIZE,"&gt;0")</f>
        <v>0</v>
      </c>
      <c r="D204" s="748">
        <f>SUMIFS('TRADE LOG'!$T$15:$T$9733,closeDate,"&gt;="&amp;CALENDAR!D203,closeDate,"&lt;"&amp;E203,SIZE,"&gt;0")</f>
        <v>0</v>
      </c>
      <c r="E204" s="748">
        <f>SUMIFS('TRADE LOG'!$T$15:$T$9733,closeDate,"&gt;="&amp;CALENDAR!E203,closeDate,"&lt;"&amp;F203,SIZE,"&gt;0")</f>
        <v>0</v>
      </c>
      <c r="F204" s="748">
        <f>SUMIFS('TRADE LOG'!$T$15:$T$9733,closeDate,"&gt;="&amp;CALENDAR!F203,closeDate,"&lt;"&amp;G203,SIZE,"&gt;0")</f>
        <v>0</v>
      </c>
      <c r="G204" s="748">
        <f>SUMIFS('TRADE LOG'!$T$15:$T$9733,closeDate,"&gt;="&amp;CALENDAR!G203,closeDate,"&lt;"&amp;H203,SIZE,"&gt;0")</f>
        <v>0</v>
      </c>
      <c r="H204" s="748">
        <f>SUMIFS('TRADE LOG'!$T$15:$T$9733,closeDate,"&gt;="&amp;CALENDAR!H203,closeDate,"&lt;"&amp;I203,SIZE,"&gt;0")</f>
        <v>0</v>
      </c>
      <c r="I204" s="748">
        <f>SUMIFS('TRADE LOG'!$T$15:$T$9733,closeDate,"&gt;="&amp;CALENDAR!I203,closeDate,"&lt;"&amp;C206,SIZE,"&gt;0")</f>
        <v>0</v>
      </c>
      <c r="J204" s="161"/>
      <c r="K204" s="161"/>
      <c r="L204" s="161"/>
    </row>
    <row r="205" spans="2:12" ht="15" customHeight="1" thickBot="1">
      <c r="B205" s="517"/>
      <c r="C205" s="749">
        <f>COUNTIFS(closeDate,"&gt;="&amp;CALENDAR!C203,closeDate,"&lt;"&amp;D203,SIZE,"&gt;0")</f>
        <v>0</v>
      </c>
      <c r="D205" s="749">
        <f>COUNTIFS(closeDate,"&gt;="&amp;CALENDAR!D203,closeDate,"&lt;"&amp;E203,SIZE,"&gt;0")</f>
        <v>0</v>
      </c>
      <c r="E205" s="749">
        <f>COUNTIFS(closeDate,"&gt;="&amp;CALENDAR!E203,closeDate,"&lt;"&amp;F203,SIZE,"&gt;0")</f>
        <v>0</v>
      </c>
      <c r="F205" s="749">
        <f>COUNTIFS(closeDate,"&gt;="&amp;CALENDAR!F203,closeDate,"&lt;"&amp;G203,SIZE,"&gt;0")</f>
        <v>0</v>
      </c>
      <c r="G205" s="749">
        <f>COUNTIFS(closeDate,"&gt;="&amp;CALENDAR!G203,closeDate,"&lt;"&amp;H203,SIZE,"&gt;0")</f>
        <v>0</v>
      </c>
      <c r="H205" s="749">
        <f>COUNTIFS(closeDate,"&gt;="&amp;CALENDAR!H203,closeDate,"&lt;"&amp;I203,SIZE,"&gt;0")</f>
        <v>0</v>
      </c>
      <c r="I205" s="749">
        <f>COUNTIFS(closeDate,"&gt;="&amp;CALENDAR!I203,closeDate,"&lt;"&amp;(I203+1),SIZE,"&gt;0")</f>
        <v>0</v>
      </c>
      <c r="J205" s="517"/>
      <c r="K205" s="517"/>
      <c r="L205" s="161"/>
    </row>
    <row r="206" spans="2:12" ht="15" customHeight="1" thickTop="1">
      <c r="B206" s="161"/>
      <c r="C206" s="747">
        <f>I203+1</f>
        <v>44248</v>
      </c>
      <c r="D206" s="747">
        <f>C206+1</f>
        <v>44249</v>
      </c>
      <c r="E206" s="747">
        <f t="shared" ref="E206:E212" si="131">D206+1</f>
        <v>44250</v>
      </c>
      <c r="F206" s="747">
        <f t="shared" ref="F206:F212" si="132">E206+1</f>
        <v>44251</v>
      </c>
      <c r="G206" s="747">
        <f t="shared" ref="G206:G212" si="133">F206+1</f>
        <v>44252</v>
      </c>
      <c r="H206" s="747">
        <f t="shared" ref="H206:H212" si="134">G206+1</f>
        <v>44253</v>
      </c>
      <c r="I206" s="747">
        <f t="shared" ref="I206:I212" si="135">H206+1</f>
        <v>44254</v>
      </c>
      <c r="J206" s="161"/>
      <c r="K206" s="161"/>
      <c r="L206" s="161"/>
    </row>
    <row r="207" spans="2:12" ht="15" customHeight="1">
      <c r="B207" s="161"/>
      <c r="C207" s="748">
        <f>SUMIFS('TRADE LOG'!$T$15:$T$9733,closeDate,"&gt;="&amp;CALENDAR!C206,closeDate,"&lt;"&amp;D206,SIZE,"&gt;0")</f>
        <v>0</v>
      </c>
      <c r="D207" s="748">
        <f>SUMIFS('TRADE LOG'!$T$15:$T$9733,closeDate,"&gt;="&amp;CALENDAR!D206,closeDate,"&lt;"&amp;E206,SIZE,"&gt;0")</f>
        <v>0</v>
      </c>
      <c r="E207" s="748">
        <f>SUMIFS('TRADE LOG'!$T$15:$T$9733,closeDate,"&gt;="&amp;CALENDAR!E206,closeDate,"&lt;"&amp;F206,SIZE,"&gt;0")</f>
        <v>0</v>
      </c>
      <c r="F207" s="748">
        <f>SUMIFS('TRADE LOG'!$T$15:$T$9733,closeDate,"&gt;="&amp;CALENDAR!F206,closeDate,"&lt;"&amp;G206,SIZE,"&gt;0")</f>
        <v>0</v>
      </c>
      <c r="G207" s="748">
        <f>SUMIFS('TRADE LOG'!$T$15:$T$9733,closeDate,"&gt;="&amp;CALENDAR!G206,closeDate,"&lt;"&amp;H206,SIZE,"&gt;0")</f>
        <v>0</v>
      </c>
      <c r="H207" s="748">
        <f>SUMIFS('TRADE LOG'!$T$15:$T$9733,closeDate,"&gt;="&amp;CALENDAR!H206,closeDate,"&lt;"&amp;I206,SIZE,"&gt;0")</f>
        <v>0</v>
      </c>
      <c r="I207" s="748">
        <f>SUMIFS('TRADE LOG'!$T$15:$T$9733,closeDate,"&gt;="&amp;CALENDAR!I206,closeDate,"&lt;"&amp;I206+1,SIZE,"&gt;0")</f>
        <v>0</v>
      </c>
      <c r="J207" s="161"/>
      <c r="K207" s="161"/>
      <c r="L207" s="161"/>
    </row>
    <row r="208" spans="2:12" ht="15" customHeight="1" thickBot="1">
      <c r="B208" s="161"/>
      <c r="C208" s="749">
        <f>COUNTIFS(closeDate,"&gt;="&amp;CALENDAR!C206,closeDate,"&lt;"&amp;D206,SIZE,"&gt;0")</f>
        <v>0</v>
      </c>
      <c r="D208" s="749">
        <f>COUNTIFS(closeDate,"&gt;="&amp;CALENDAR!D206,closeDate,"&lt;"&amp;E206,SIZE,"&gt;0")</f>
        <v>0</v>
      </c>
      <c r="E208" s="749">
        <f>COUNTIFS(closeDate,"&gt;="&amp;CALENDAR!E206,closeDate,"&lt;"&amp;F206,SIZE,"&gt;0")</f>
        <v>0</v>
      </c>
      <c r="F208" s="749">
        <f>COUNTIFS(closeDate,"&gt;="&amp;CALENDAR!F206,closeDate,"&lt;"&amp;G206,SIZE,"&gt;0")</f>
        <v>0</v>
      </c>
      <c r="G208" s="749">
        <f>COUNTIFS(closeDate,"&gt;="&amp;CALENDAR!G206,closeDate,"&lt;"&amp;H206,SIZE,"&gt;0")</f>
        <v>0</v>
      </c>
      <c r="H208" s="749">
        <f>COUNTIFS(closeDate,"&gt;="&amp;CALENDAR!H206,closeDate,"&lt;"&amp;I206,SIZE,"&gt;0")</f>
        <v>0</v>
      </c>
      <c r="I208" s="749">
        <f>COUNTIFS(closeDate,"&gt;="&amp;CALENDAR!I206,closeDate,"&lt;"&amp;(I206+1),SIZE,"&gt;0")</f>
        <v>0</v>
      </c>
      <c r="J208" s="161"/>
      <c r="K208" s="161"/>
      <c r="L208" s="161"/>
    </row>
    <row r="209" spans="2:12" ht="15" customHeight="1" thickTop="1">
      <c r="B209" s="161"/>
      <c r="C209" s="747">
        <f>IFERROR(IF(MONTH(C195)&lt;&gt;MONTH(I206+1),"",(I206+1)),"")</f>
        <v>44255</v>
      </c>
      <c r="D209" s="747" t="str">
        <f>IFERROR(IF(MONTH(C195)&lt;&gt;MONTH(C209+1),"",(C209+1)),"")</f>
        <v/>
      </c>
      <c r="E209" s="747" t="str">
        <f>IFERROR(IF(MONTH(C195)&lt;&gt;MONTH(D209+1),"",(D209+1)),"")</f>
        <v/>
      </c>
      <c r="F209" s="747" t="str">
        <f>IFERROR(IF(MONTH(C195)&lt;&gt;MONTH(E209+1),"",(E209+1)),"")</f>
        <v/>
      </c>
      <c r="G209" s="747" t="str">
        <f>IFERROR(IF(MONTH(C195)&lt;&gt;MONTH(F209+1),"",(F209+1)),"")</f>
        <v/>
      </c>
      <c r="H209" s="747" t="str">
        <f>IFERROR(IF(MONTH(C195)&lt;&gt;MONTH(G209+1),"",(G209+1)),"")</f>
        <v/>
      </c>
      <c r="I209" s="747" t="str">
        <f>IFERROR(IF(MONTH(C195)&lt;&gt;MONTH(H209+1),"",(H209+1)),"")</f>
        <v/>
      </c>
      <c r="J209" s="161"/>
      <c r="K209" s="161"/>
      <c r="L209" s="161"/>
    </row>
    <row r="210" spans="2:12" ht="15" customHeight="1">
      <c r="B210" s="161"/>
      <c r="C210" s="748">
        <f>SUMIFS('TRADE LOG'!$T$15:$T$9733,closeDate,"&gt;="&amp;CALENDAR!C209,closeDate,"&lt;"&amp;C209+1,SIZE,"&gt;0")</f>
        <v>0</v>
      </c>
      <c r="D210" s="748">
        <f>SUMIFS('TRADE LOG'!$T$15:$T$9733,closeDate,"&gt;="&amp;CALENDAR!D209,closeDate,"&lt;"&amp;D209+1,SIZE,"&gt;0")</f>
        <v>0</v>
      </c>
      <c r="E210" s="748">
        <f>SUMIFS('TRADE LOG'!$T$15:$T$9733,closeDate,"&gt;="&amp;CALENDAR!E209,closeDate,"&lt;"&amp;E209+1,SIZE,"&gt;0")</f>
        <v>0</v>
      </c>
      <c r="F210" s="748">
        <f>SUMIFS('TRADE LOG'!$T$15:$T$9733,closeDate,"&gt;="&amp;CALENDAR!F209,closeDate,"&lt;"&amp;F209+1,SIZE,"&gt;0")</f>
        <v>0</v>
      </c>
      <c r="G210" s="748">
        <f>SUMIFS('TRADE LOG'!$T$15:$T$9733,closeDate,"&gt;="&amp;CALENDAR!G209,closeDate,"&lt;"&amp;G209+1,SIZE,"&gt;0")</f>
        <v>0</v>
      </c>
      <c r="H210" s="748">
        <f>SUMIFS('TRADE LOG'!$T$15:$T$9733,closeDate,"&gt;="&amp;CALENDAR!H209,closeDate,"&lt;"&amp;H209+1,SIZE,"&gt;0")</f>
        <v>0</v>
      </c>
      <c r="I210" s="748">
        <f>SUMIFS('TRADE LOG'!$T$15:$T$9733,closeDate,"&gt;="&amp;CALENDAR!I209,closeDate,"&lt;"&amp;I209+1,SIZE,"&gt;0")</f>
        <v>0</v>
      </c>
      <c r="J210" s="161"/>
      <c r="K210" s="161"/>
      <c r="L210" s="161"/>
    </row>
    <row r="211" spans="2:12" ht="15" customHeight="1" thickBot="1">
      <c r="B211" s="161"/>
      <c r="C211" s="749">
        <f>COUNTIFS(closeDate,"&gt;="&amp;CALENDAR!C209,closeDate,"&lt;"&amp;C209+1,SIZE,"&gt;0")</f>
        <v>0</v>
      </c>
      <c r="D211" s="749">
        <f>COUNTIFS(closeDate,"&gt;="&amp;CALENDAR!D209,closeDate,"&lt;"&amp;D209+1,SIZE,"&gt;0")</f>
        <v>0</v>
      </c>
      <c r="E211" s="749">
        <f>COUNTIFS(closeDate,"&gt;="&amp;CALENDAR!E209,closeDate,"&lt;"&amp;E209+1,SIZE,"&gt;0")</f>
        <v>0</v>
      </c>
      <c r="F211" s="749">
        <f>COUNTIFS(closeDate,"&gt;="&amp;CALENDAR!F209,closeDate,"&lt;"&amp;F209+1,SIZE,"&gt;0")</f>
        <v>0</v>
      </c>
      <c r="G211" s="749">
        <f>COUNTIFS(closeDate,"&gt;="&amp;CALENDAR!G209,closeDate,"&lt;"&amp;G209+1,SIZE,"&gt;0")</f>
        <v>0</v>
      </c>
      <c r="H211" s="749">
        <f>COUNTIFS(closeDate,"&gt;="&amp;CALENDAR!H209,closeDate,"&lt;"&amp;H209+1,SIZE,"&gt;0")</f>
        <v>0</v>
      </c>
      <c r="I211" s="749">
        <f>COUNTIFS(closeDate,"&gt;="&amp;CALENDAR!I209,closeDate,"&lt;"&amp;(I209+1),SIZE,"&gt;0")</f>
        <v>0</v>
      </c>
      <c r="J211" s="161"/>
      <c r="K211" s="161"/>
      <c r="L211" s="161"/>
    </row>
    <row r="212" spans="2:12" ht="15" customHeight="1" thickTop="1">
      <c r="B212" s="161"/>
      <c r="C212" s="747" t="str">
        <f>IFERROR(IF(MONTH(C195)&lt;&gt;MONTH(I209+1),"",(I209+1)),"")</f>
        <v/>
      </c>
      <c r="D212" s="747" t="str">
        <f>IFERROR(IF(MONTH(C195)&lt;&gt;MONTH(C212+1),"",(C212+1)),"")</f>
        <v/>
      </c>
      <c r="E212" s="747" t="str">
        <f>IFERROR(IF(MONTH(C195)&lt;&gt;MONTH(D212+1),"",(D212+1)),"")</f>
        <v/>
      </c>
      <c r="F212" s="747" t="str">
        <f>IFERROR(IF(MONTH(C195)&lt;&gt;MONTH(E212+1),"",(E212+1)),"")</f>
        <v/>
      </c>
      <c r="G212" s="747" t="str">
        <f>IFERROR(IF(MONTH(C195)&lt;&gt;MONTH(F212+1),"",(F212+1)),"")</f>
        <v/>
      </c>
      <c r="H212" s="747" t="str">
        <f>IFERROR(IF(MONTH(C195)&lt;&gt;MONTH(G212+1),"",(G212+1)),"")</f>
        <v/>
      </c>
      <c r="I212" s="747" t="str">
        <f>IFERROR(IF(MONTH(C195)&lt;&gt;MONTH(H212+1),"",(H212+1)),"")</f>
        <v/>
      </c>
      <c r="J212" s="161"/>
      <c r="K212" s="161"/>
      <c r="L212" s="161"/>
    </row>
    <row r="213" spans="2:12" ht="15" customHeight="1">
      <c r="B213" s="161"/>
      <c r="C213" s="748">
        <f>SUMIFS('TRADE LOG'!$T$15:$T$9733,closeDate,"&gt;="&amp;CALENDAR!C212,closeDate,"&lt;"&amp;C212+1,SIZE,"&gt;0")</f>
        <v>0</v>
      </c>
      <c r="D213" s="748">
        <f>SUMIFS('TRADE LOG'!$T$15:$T$9733,closeDate,"&gt;="&amp;CALENDAR!D212,closeDate,"&lt;"&amp;D212+1,SIZE,"&gt;0")</f>
        <v>0</v>
      </c>
      <c r="E213" s="748">
        <f>SUMIFS('TRADE LOG'!$T$15:$T$9733,closeDate,"&gt;="&amp;CALENDAR!E212,closeDate,"&lt;"&amp;E212+1,SIZE,"&gt;0")</f>
        <v>0</v>
      </c>
      <c r="F213" s="748">
        <f>SUMIFS('TRADE LOG'!$T$15:$T$9733,closeDate,"&gt;="&amp;CALENDAR!F212,closeDate,"&lt;"&amp;F212+1,SIZE,"&gt;0")</f>
        <v>0</v>
      </c>
      <c r="G213" s="748">
        <f>SUMIFS('TRADE LOG'!$T$15:$T$9733,closeDate,"&gt;="&amp;CALENDAR!G212,closeDate,"&lt;"&amp;G212+1,SIZE,"&gt;0")</f>
        <v>0</v>
      </c>
      <c r="H213" s="748">
        <f>SUMIFS('TRADE LOG'!$T$15:$T$9733,closeDate,"&gt;="&amp;CALENDAR!H212,closeDate,"&lt;"&amp;H212+1,SIZE,"&gt;0")</f>
        <v>0</v>
      </c>
      <c r="I213" s="748">
        <f>SUMIFS('TRADE LOG'!$T$15:$T$9733,closeDate,"&gt;="&amp;CALENDAR!I212,closeDate,"&lt;"&amp;I212+1,SIZE,"&gt;0")</f>
        <v>0</v>
      </c>
      <c r="J213" s="161"/>
      <c r="K213" s="161"/>
      <c r="L213" s="161"/>
    </row>
    <row r="214" spans="2:12" ht="15" customHeight="1">
      <c r="B214" s="161"/>
      <c r="C214" s="750">
        <f>COUNTIFS(closeDate,"&gt;="&amp;CALENDAR!C212,closeDate,"&lt;"&amp;C212+1,SIZE,"&gt;0")</f>
        <v>0</v>
      </c>
      <c r="D214" s="750">
        <f>COUNTIFS(closeDate,"&gt;="&amp;CALENDAR!D212,closeDate,"&lt;"&amp;D212+1,SIZE,"&gt;0")</f>
        <v>0</v>
      </c>
      <c r="E214" s="750">
        <f>COUNTIFS(closeDate,"&gt;="&amp;CALENDAR!E212,closeDate,"&lt;"&amp;E212+1,SIZE,"&gt;0")</f>
        <v>0</v>
      </c>
      <c r="F214" s="750">
        <f>COUNTIFS(closeDate,"&gt;="&amp;CALENDAR!F212,closeDate,"&lt;"&amp;F212+1,SIZE,"&gt;0")</f>
        <v>0</v>
      </c>
      <c r="G214" s="750">
        <f>COUNTIFS(closeDate,"&gt;="&amp;CALENDAR!G212,closeDate,"&lt;"&amp;G212+1,SIZE,"&gt;0")</f>
        <v>0</v>
      </c>
      <c r="H214" s="750">
        <f>COUNTIFS(closeDate,"&gt;="&amp;CALENDAR!H212,closeDate,"&lt;"&amp;H212+1,SIZE,"&gt;0")</f>
        <v>0</v>
      </c>
      <c r="I214" s="750">
        <f>COUNTIFS(closeDate,"&gt;="&amp;CALENDAR!I212,closeDate,"&lt;"&amp;(I212+1),SIZE,"&gt;0")</f>
        <v>0</v>
      </c>
      <c r="J214" s="161"/>
      <c r="K214" s="161"/>
      <c r="L214" s="161"/>
    </row>
    <row r="215" spans="2:12" ht="18" customHeight="1" thickBot="1">
      <c r="B215" s="161"/>
      <c r="C215" s="751"/>
      <c r="D215" s="751"/>
      <c r="E215" s="751"/>
      <c r="F215" s="751"/>
      <c r="G215" s="751"/>
      <c r="H215" s="751"/>
      <c r="I215" s="751"/>
      <c r="J215" s="161"/>
      <c r="K215" s="161"/>
      <c r="L215" s="161"/>
    </row>
    <row r="216" spans="2:12" ht="21.95" customHeight="1">
      <c r="B216" s="161"/>
      <c r="C216" s="752">
        <f>EOMONTH(C195,0)+1</f>
        <v>44256</v>
      </c>
      <c r="D216" s="753"/>
      <c r="E216" s="754"/>
      <c r="F216" s="755"/>
      <c r="G216" s="756"/>
      <c r="H216" s="756"/>
      <c r="I216" s="756"/>
      <c r="J216" s="161"/>
      <c r="K216" s="161"/>
      <c r="L216" s="161"/>
    </row>
    <row r="217" spans="2:12" ht="24.95" customHeight="1" thickBot="1">
      <c r="B217" s="161"/>
      <c r="C217" s="757" t="s">
        <v>781</v>
      </c>
      <c r="D217" s="757" t="s">
        <v>782</v>
      </c>
      <c r="E217" s="757" t="s">
        <v>783</v>
      </c>
      <c r="F217" s="757" t="s">
        <v>784</v>
      </c>
      <c r="G217" s="757" t="s">
        <v>789</v>
      </c>
      <c r="H217" s="757" t="s">
        <v>785</v>
      </c>
      <c r="I217" s="757" t="s">
        <v>786</v>
      </c>
      <c r="J217" s="161"/>
      <c r="K217" s="161"/>
      <c r="L217" s="161"/>
    </row>
    <row r="218" spans="2:12" ht="15" customHeight="1" thickTop="1">
      <c r="B218" s="161"/>
      <c r="C218" s="747" t="str">
        <f>IF(MONTH(C216)&lt;&gt;MONTH((C216-WEEKDAY(C216,1)+1)),"",(C216-WEEKDAY(C216,1)+1))</f>
        <v/>
      </c>
      <c r="D218" s="747">
        <f>IF(MONTH(C216)&lt;&gt;MONTH((C216-WEEKDAY(C216,1)+2)),"",(C216-WEEKDAY(C216,1)+2))</f>
        <v>44256</v>
      </c>
      <c r="E218" s="747">
        <f>IF(MONTH(C216)&lt;&gt;MONTH((C216-WEEKDAY(C216,1)+3)),"",(C216-WEEKDAY(C216,1)+3))</f>
        <v>44257</v>
      </c>
      <c r="F218" s="747">
        <f>IF(MONTH(C216)&lt;&gt;MONTH((C216-WEEKDAY(C216,1)+4)),"",(C216-WEEKDAY(C216,1)+4))</f>
        <v>44258</v>
      </c>
      <c r="G218" s="747">
        <f>IF(MONTH(C216)&lt;&gt;MONTH((C216-WEEKDAY(C216,1)+5)),"",(C216-WEEKDAY(C216,1)+5))</f>
        <v>44259</v>
      </c>
      <c r="H218" s="747">
        <f>IF(MONTH(C216)&lt;&gt;MONTH((C216-WEEKDAY(C216,1)+6)),"",(C216-WEEKDAY(C216,1)+6))</f>
        <v>44260</v>
      </c>
      <c r="I218" s="747">
        <f>IF(MONTH(C216)&lt;&gt;MONTH((C216-WEEKDAY(C216,1)+7)),"",(C216-WEEKDAY(C216,1)+7))</f>
        <v>44261</v>
      </c>
      <c r="J218" s="161"/>
      <c r="K218" s="161"/>
      <c r="L218" s="161"/>
    </row>
    <row r="219" spans="2:12" ht="15" customHeight="1">
      <c r="B219" s="161"/>
      <c r="C219" s="748">
        <f>SUMIFS('TRADE LOG'!$T$15:$T$9733,closeDate,"&gt;="&amp;CALENDAR!C218,closeDate,"&lt;"&amp;D218,SIZE,"&gt;0")</f>
        <v>0</v>
      </c>
      <c r="D219" s="748">
        <f>SUMIFS('TRADE LOG'!$T$15:$T$9733,closeDate,"&gt;="&amp;CALENDAR!D218,closeDate,"&lt;"&amp;E218,SIZE,"&gt;0")</f>
        <v>0</v>
      </c>
      <c r="E219" s="748">
        <f>SUMIFS('TRADE LOG'!$T$15:$T$9733,closeDate,"&gt;="&amp;CALENDAR!E218,closeDate,"&lt;"&amp;F218,SIZE,"&gt;0")</f>
        <v>0</v>
      </c>
      <c r="F219" s="748">
        <f>SUMIFS('TRADE LOG'!$T$15:$T$9733,closeDate,"&gt;="&amp;CALENDAR!F218,closeDate,"&lt;"&amp;G218,SIZE,"&gt;0")</f>
        <v>0</v>
      </c>
      <c r="G219" s="748">
        <f>SUMIFS('TRADE LOG'!$T$15:$T$9733,closeDate,"&gt;="&amp;CALENDAR!G218,closeDate,"&lt;"&amp;H218,SIZE,"&gt;0")</f>
        <v>0</v>
      </c>
      <c r="H219" s="748">
        <f>SUMIFS('TRADE LOG'!$T$15:$T$9733,closeDate,"&gt;="&amp;CALENDAR!H218,closeDate,"&lt;"&amp;I218,SIZE,"&gt;0")</f>
        <v>0</v>
      </c>
      <c r="I219" s="748">
        <f>SUMIFS('TRADE LOG'!$T$15:$T$9733,closeDate,"&gt;="&amp;CALENDAR!I218,closeDate,"&lt;"&amp;C221,SIZE,"&gt;0")</f>
        <v>0</v>
      </c>
      <c r="J219" s="161"/>
      <c r="K219" s="161"/>
      <c r="L219" s="161"/>
    </row>
    <row r="220" spans="2:12" ht="15" customHeight="1" thickBot="1">
      <c r="B220" s="161"/>
      <c r="C220" s="749">
        <f>COUNTIFS(closeDate,"&gt;="&amp;CALENDAR!C218,closeDate,"&lt;"&amp;D218,SIZE,"&gt;0")</f>
        <v>0</v>
      </c>
      <c r="D220" s="749">
        <f>COUNTIFS(closeDate,"&gt;="&amp;CALENDAR!D218,closeDate,"&lt;"&amp;E218,SIZE,"&gt;0")</f>
        <v>0</v>
      </c>
      <c r="E220" s="749">
        <f>COUNTIFS(closeDate,"&gt;="&amp;CALENDAR!E218,closeDate,"&lt;"&amp;F218,SIZE,"&gt;0")</f>
        <v>0</v>
      </c>
      <c r="F220" s="749">
        <f>COUNTIFS(closeDate,"&gt;="&amp;CALENDAR!F218,closeDate,"&lt;"&amp;G218,SIZE,"&gt;0")</f>
        <v>0</v>
      </c>
      <c r="G220" s="749">
        <f>COUNTIFS(closeDate,"&gt;="&amp;CALENDAR!G218,closeDate,"&lt;"&amp;H218,SIZE,"&gt;0")</f>
        <v>0</v>
      </c>
      <c r="H220" s="749">
        <f>COUNTIFS(closeDate,"&gt;="&amp;CALENDAR!H218,closeDate,"&lt;"&amp;I218,SIZE,"&gt;0")</f>
        <v>0</v>
      </c>
      <c r="I220" s="749">
        <f>COUNTIFS(closeDate,"&gt;="&amp;CALENDAR!I218,closeDate,"&lt;"&amp;(I218+1),SIZE,"&gt;0")</f>
        <v>0</v>
      </c>
      <c r="J220" s="161"/>
      <c r="K220" s="161"/>
      <c r="L220" s="161"/>
    </row>
    <row r="221" spans="2:12" ht="15" customHeight="1" thickTop="1">
      <c r="B221" s="161"/>
      <c r="C221" s="747">
        <f>I218+1</f>
        <v>44262</v>
      </c>
      <c r="D221" s="747">
        <f>C221+1</f>
        <v>44263</v>
      </c>
      <c r="E221" s="747">
        <f t="shared" ref="E221:E227" si="136">D221+1</f>
        <v>44264</v>
      </c>
      <c r="F221" s="747">
        <f t="shared" ref="F221:F227" si="137">E221+1</f>
        <v>44265</v>
      </c>
      <c r="G221" s="747">
        <f t="shared" ref="G221:G227" si="138">F221+1</f>
        <v>44266</v>
      </c>
      <c r="H221" s="747">
        <f t="shared" ref="H221:H227" si="139">G221+1</f>
        <v>44267</v>
      </c>
      <c r="I221" s="747">
        <f t="shared" ref="I221:I227" si="140">H221+1</f>
        <v>44268</v>
      </c>
      <c r="J221" s="161"/>
      <c r="K221" s="161"/>
      <c r="L221" s="161"/>
    </row>
    <row r="222" spans="2:12" ht="15" customHeight="1">
      <c r="B222" s="161"/>
      <c r="C222" s="748">
        <f>SUMIFS('TRADE LOG'!$T$15:$T$9733,closeDate,"&gt;="&amp;CALENDAR!C221,closeDate,"&lt;"&amp;D221,SIZE,"&gt;0")</f>
        <v>0</v>
      </c>
      <c r="D222" s="748">
        <f>SUMIFS('TRADE LOG'!$T$15:$T$9733,closeDate,"&gt;="&amp;CALENDAR!D221,closeDate,"&lt;"&amp;E221,SIZE,"&gt;0")</f>
        <v>0</v>
      </c>
      <c r="E222" s="748">
        <f>SUMIFS('TRADE LOG'!$T$15:$T$9733,closeDate,"&gt;="&amp;CALENDAR!E221,closeDate,"&lt;"&amp;F221,SIZE,"&gt;0")</f>
        <v>0</v>
      </c>
      <c r="F222" s="748">
        <f>SUMIFS('TRADE LOG'!$T$15:$T$9733,closeDate,"&gt;="&amp;CALENDAR!F221,closeDate,"&lt;"&amp;G221,SIZE,"&gt;0")</f>
        <v>0</v>
      </c>
      <c r="G222" s="748">
        <f>SUMIFS('TRADE LOG'!$T$15:$T$9733,closeDate,"&gt;="&amp;CALENDAR!G221,closeDate,"&lt;"&amp;H221,SIZE,"&gt;0")</f>
        <v>0</v>
      </c>
      <c r="H222" s="748">
        <f>SUMIFS('TRADE LOG'!$T$15:$T$9733,closeDate,"&gt;="&amp;CALENDAR!H221,closeDate,"&lt;"&amp;I221,SIZE,"&gt;0")</f>
        <v>0</v>
      </c>
      <c r="I222" s="748">
        <f>SUMIFS('TRADE LOG'!$T$15:$T$9733,closeDate,"&gt;="&amp;CALENDAR!I221,closeDate,"&lt;"&amp;C224,SIZE,"&gt;0")</f>
        <v>0</v>
      </c>
      <c r="J222" s="161"/>
      <c r="K222" s="161"/>
      <c r="L222" s="161"/>
    </row>
    <row r="223" spans="2:12" ht="15" customHeight="1" thickBot="1">
      <c r="B223" s="161"/>
      <c r="C223" s="749">
        <f>COUNTIFS(closeDate,"&gt;="&amp;CALENDAR!C221,closeDate,"&lt;"&amp;D221,SIZE,"&gt;0")</f>
        <v>0</v>
      </c>
      <c r="D223" s="749">
        <f>COUNTIFS(closeDate,"&gt;="&amp;CALENDAR!D221,closeDate,"&lt;"&amp;E221,SIZE,"&gt;0")</f>
        <v>0</v>
      </c>
      <c r="E223" s="749">
        <f>COUNTIFS(closeDate,"&gt;="&amp;CALENDAR!E221,closeDate,"&lt;"&amp;F221,SIZE,"&gt;0")</f>
        <v>0</v>
      </c>
      <c r="F223" s="749">
        <f>COUNTIFS(closeDate,"&gt;="&amp;CALENDAR!F221,closeDate,"&lt;"&amp;G221,SIZE,"&gt;0")</f>
        <v>0</v>
      </c>
      <c r="G223" s="749">
        <f>COUNTIFS(closeDate,"&gt;="&amp;CALENDAR!G221,closeDate,"&lt;"&amp;H221,SIZE,"&gt;0")</f>
        <v>0</v>
      </c>
      <c r="H223" s="749">
        <f>COUNTIFS(closeDate,"&gt;="&amp;CALENDAR!H221,closeDate,"&lt;"&amp;I221,SIZE,"&gt;0")</f>
        <v>0</v>
      </c>
      <c r="I223" s="749">
        <f>COUNTIFS(closeDate,"&gt;="&amp;CALENDAR!I221,closeDate,"&lt;"&amp;(I221+1),SIZE,"&gt;0")</f>
        <v>0</v>
      </c>
      <c r="J223" s="161"/>
      <c r="K223" s="161"/>
      <c r="L223" s="161"/>
    </row>
    <row r="224" spans="2:12" ht="15" customHeight="1" thickTop="1">
      <c r="B224" s="161"/>
      <c r="C224" s="747">
        <f>I221+1</f>
        <v>44269</v>
      </c>
      <c r="D224" s="747">
        <f>C224+1</f>
        <v>44270</v>
      </c>
      <c r="E224" s="747">
        <f t="shared" ref="E224:E230" si="141">D224+1</f>
        <v>44271</v>
      </c>
      <c r="F224" s="747">
        <f t="shared" ref="F224:F230" si="142">E224+1</f>
        <v>44272</v>
      </c>
      <c r="G224" s="747">
        <f t="shared" ref="G224:G230" si="143">F224+1</f>
        <v>44273</v>
      </c>
      <c r="H224" s="747">
        <f t="shared" ref="H224:H230" si="144">G224+1</f>
        <v>44274</v>
      </c>
      <c r="I224" s="747">
        <f t="shared" ref="I224:I230" si="145">H224+1</f>
        <v>44275</v>
      </c>
      <c r="J224" s="161"/>
      <c r="K224" s="161"/>
      <c r="L224" s="161"/>
    </row>
    <row r="225" spans="2:12" ht="15" customHeight="1">
      <c r="B225" s="161"/>
      <c r="C225" s="748">
        <f>SUMIFS('TRADE LOG'!$T$15:$T$9733,closeDate,"&gt;="&amp;CALENDAR!C224,closeDate,"&lt;"&amp;D224,SIZE,"&gt;0")</f>
        <v>0</v>
      </c>
      <c r="D225" s="748">
        <f>SUMIFS('TRADE LOG'!$T$15:$T$9733,closeDate,"&gt;="&amp;CALENDAR!D224,closeDate,"&lt;"&amp;E224,SIZE,"&gt;0")</f>
        <v>0</v>
      </c>
      <c r="E225" s="748">
        <f>SUMIFS('TRADE LOG'!$T$15:$T$9733,closeDate,"&gt;="&amp;CALENDAR!E224,closeDate,"&lt;"&amp;F224,SIZE,"&gt;0")</f>
        <v>0</v>
      </c>
      <c r="F225" s="748">
        <f>SUMIFS('TRADE LOG'!$T$15:$T$9733,closeDate,"&gt;="&amp;CALENDAR!F224,closeDate,"&lt;"&amp;G224,SIZE,"&gt;0")</f>
        <v>0</v>
      </c>
      <c r="G225" s="748">
        <f>SUMIFS('TRADE LOG'!$T$15:$T$9733,closeDate,"&gt;="&amp;CALENDAR!G224,closeDate,"&lt;"&amp;H224,SIZE,"&gt;0")</f>
        <v>0</v>
      </c>
      <c r="H225" s="748">
        <f>SUMIFS('TRADE LOG'!$T$15:$T$9733,closeDate,"&gt;="&amp;CALENDAR!H224,closeDate,"&lt;"&amp;I224,SIZE,"&gt;0")</f>
        <v>0</v>
      </c>
      <c r="I225" s="748">
        <f>SUMIFS('TRADE LOG'!$T$15:$T$9733,closeDate,"&gt;="&amp;CALENDAR!I224,closeDate,"&lt;"&amp;C227,SIZE,"&gt;0")</f>
        <v>0</v>
      </c>
      <c r="J225" s="161"/>
      <c r="K225" s="161"/>
      <c r="L225" s="161"/>
    </row>
    <row r="226" spans="2:12" ht="15" customHeight="1" thickBot="1">
      <c r="B226" s="161"/>
      <c r="C226" s="749">
        <f>COUNTIFS(closeDate,"&gt;="&amp;CALENDAR!C224,closeDate,"&lt;"&amp;D224,SIZE,"&gt;0")</f>
        <v>0</v>
      </c>
      <c r="D226" s="749">
        <f>COUNTIFS(closeDate,"&gt;="&amp;CALENDAR!D224,closeDate,"&lt;"&amp;E224,SIZE,"&gt;0")</f>
        <v>0</v>
      </c>
      <c r="E226" s="749">
        <f>COUNTIFS(closeDate,"&gt;="&amp;CALENDAR!E224,closeDate,"&lt;"&amp;F224,SIZE,"&gt;0")</f>
        <v>0</v>
      </c>
      <c r="F226" s="749">
        <f>COUNTIFS(closeDate,"&gt;="&amp;CALENDAR!F224,closeDate,"&lt;"&amp;G224,SIZE,"&gt;0")</f>
        <v>0</v>
      </c>
      <c r="G226" s="749">
        <f>COUNTIFS(closeDate,"&gt;="&amp;CALENDAR!G224,closeDate,"&lt;"&amp;H224,SIZE,"&gt;0")</f>
        <v>0</v>
      </c>
      <c r="H226" s="749">
        <f>COUNTIFS(closeDate,"&gt;="&amp;CALENDAR!H224,closeDate,"&lt;"&amp;I224,SIZE,"&gt;0")</f>
        <v>0</v>
      </c>
      <c r="I226" s="749">
        <f>COUNTIFS(closeDate,"&gt;="&amp;CALENDAR!I224,closeDate,"&lt;"&amp;(I224+1),SIZE,"&gt;0")</f>
        <v>0</v>
      </c>
      <c r="J226" s="161"/>
      <c r="K226" s="161"/>
      <c r="L226" s="161"/>
    </row>
    <row r="227" spans="2:12" ht="15" customHeight="1" thickTop="1">
      <c r="B227" s="161"/>
      <c r="C227" s="747">
        <f>I224+1</f>
        <v>44276</v>
      </c>
      <c r="D227" s="747">
        <f>C227+1</f>
        <v>44277</v>
      </c>
      <c r="E227" s="747">
        <f t="shared" ref="E227:E233" si="146">D227+1</f>
        <v>44278</v>
      </c>
      <c r="F227" s="747">
        <f t="shared" ref="F227:F233" si="147">E227+1</f>
        <v>44279</v>
      </c>
      <c r="G227" s="747">
        <f t="shared" ref="G227:G233" si="148">F227+1</f>
        <v>44280</v>
      </c>
      <c r="H227" s="747">
        <f t="shared" ref="H227:H233" si="149">G227+1</f>
        <v>44281</v>
      </c>
      <c r="I227" s="747">
        <f t="shared" ref="I227:I233" si="150">H227+1</f>
        <v>44282</v>
      </c>
      <c r="J227" s="161"/>
      <c r="K227" s="161"/>
      <c r="L227" s="161"/>
    </row>
    <row r="228" spans="2:12" ht="15" customHeight="1">
      <c r="B228" s="161"/>
      <c r="C228" s="748">
        <f>SUMIFS('TRADE LOG'!$T$15:$T$9733,closeDate,"&gt;="&amp;CALENDAR!C227,closeDate,"&lt;"&amp;D227,SIZE,"&gt;0")</f>
        <v>0</v>
      </c>
      <c r="D228" s="748">
        <f>SUMIFS('TRADE LOG'!$T$15:$T$9733,closeDate,"&gt;="&amp;CALENDAR!D227,closeDate,"&lt;"&amp;E227,SIZE,"&gt;0")</f>
        <v>0</v>
      </c>
      <c r="E228" s="748">
        <f>SUMIFS('TRADE LOG'!$T$15:$T$9733,closeDate,"&gt;="&amp;CALENDAR!E227,closeDate,"&lt;"&amp;F227,SIZE,"&gt;0")</f>
        <v>0</v>
      </c>
      <c r="F228" s="748">
        <f>SUMIFS('TRADE LOG'!$T$15:$T$9733,closeDate,"&gt;="&amp;CALENDAR!F227,closeDate,"&lt;"&amp;G227,SIZE,"&gt;0")</f>
        <v>0</v>
      </c>
      <c r="G228" s="748">
        <f>SUMIFS('TRADE LOG'!$T$15:$T$9733,closeDate,"&gt;="&amp;CALENDAR!G227,closeDate,"&lt;"&amp;H227,SIZE,"&gt;0")</f>
        <v>0</v>
      </c>
      <c r="H228" s="748">
        <f>SUMIFS('TRADE LOG'!$T$15:$T$9733,closeDate,"&gt;="&amp;CALENDAR!H227,closeDate,"&lt;"&amp;I227,SIZE,"&gt;0")</f>
        <v>0</v>
      </c>
      <c r="I228" s="748">
        <f>SUMIFS('TRADE LOG'!$T$15:$T$9733,closeDate,"&gt;="&amp;CALENDAR!I227,closeDate,"&lt;"&amp;I227+1,SIZE,"&gt;0")</f>
        <v>0</v>
      </c>
      <c r="J228" s="161"/>
      <c r="K228" s="161"/>
      <c r="L228" s="161"/>
    </row>
    <row r="229" spans="2:12" ht="15" customHeight="1" thickBot="1">
      <c r="B229" s="161"/>
      <c r="C229" s="749">
        <f>COUNTIFS(closeDate,"&gt;="&amp;CALENDAR!C227,closeDate,"&lt;"&amp;D227,SIZE,"&gt;0")</f>
        <v>0</v>
      </c>
      <c r="D229" s="749">
        <f>COUNTIFS(closeDate,"&gt;="&amp;CALENDAR!D227,closeDate,"&lt;"&amp;E227,SIZE,"&gt;0")</f>
        <v>0</v>
      </c>
      <c r="E229" s="749">
        <f>COUNTIFS(closeDate,"&gt;="&amp;CALENDAR!E227,closeDate,"&lt;"&amp;F227,SIZE,"&gt;0")</f>
        <v>0</v>
      </c>
      <c r="F229" s="749">
        <f>COUNTIFS(closeDate,"&gt;="&amp;CALENDAR!F227,closeDate,"&lt;"&amp;G227,SIZE,"&gt;0")</f>
        <v>0</v>
      </c>
      <c r="G229" s="749">
        <f>COUNTIFS(closeDate,"&gt;="&amp;CALENDAR!G227,closeDate,"&lt;"&amp;H227,SIZE,"&gt;0")</f>
        <v>0</v>
      </c>
      <c r="H229" s="749">
        <f>COUNTIFS(closeDate,"&gt;="&amp;CALENDAR!H227,closeDate,"&lt;"&amp;I227,SIZE,"&gt;0")</f>
        <v>0</v>
      </c>
      <c r="I229" s="749">
        <f>COUNTIFS(closeDate,"&gt;="&amp;CALENDAR!I227,closeDate,"&lt;"&amp;(I227+1),SIZE,"&gt;0")</f>
        <v>0</v>
      </c>
      <c r="J229" s="161"/>
      <c r="K229" s="161"/>
      <c r="L229" s="161"/>
    </row>
    <row r="230" spans="2:12" ht="15" customHeight="1" thickTop="1">
      <c r="B230" s="161"/>
      <c r="C230" s="747">
        <f>IFERROR(IF(MONTH(C216)&lt;&gt;MONTH(I227+1),"",(I227+1)),"")</f>
        <v>44283</v>
      </c>
      <c r="D230" s="747">
        <f>IFERROR(IF(MONTH(C216)&lt;&gt;MONTH(C230+1),"",(C230+1)),"")</f>
        <v>44284</v>
      </c>
      <c r="E230" s="747">
        <f>IFERROR(IF(MONTH(C216)&lt;&gt;MONTH(D230+1),"",(D230+1)),"")</f>
        <v>44285</v>
      </c>
      <c r="F230" s="747">
        <f>IFERROR(IF(MONTH(C216)&lt;&gt;MONTH(E230+1),"",(E230+1)),"")</f>
        <v>44286</v>
      </c>
      <c r="G230" s="747" t="str">
        <f>IFERROR(IF(MONTH(C216)&lt;&gt;MONTH(F230+1),"",(F230+1)),"")</f>
        <v/>
      </c>
      <c r="H230" s="747" t="str">
        <f>IFERROR(IF(MONTH(C216)&lt;&gt;MONTH(G230+1),"",(G230+1)),"")</f>
        <v/>
      </c>
      <c r="I230" s="747" t="str">
        <f>IFERROR(IF(MONTH(C216)&lt;&gt;MONTH(H230+1),"",(H230+1)),"")</f>
        <v/>
      </c>
      <c r="J230" s="161"/>
      <c r="K230" s="161"/>
      <c r="L230" s="161"/>
    </row>
    <row r="231" spans="2:12" ht="15" customHeight="1">
      <c r="B231" s="161"/>
      <c r="C231" s="748">
        <f>SUMIFS('TRADE LOG'!$T$15:$T$9733,closeDate,"&gt;="&amp;CALENDAR!C230,closeDate,"&lt;"&amp;C230+1,SIZE,"&gt;0")</f>
        <v>0</v>
      </c>
      <c r="D231" s="748">
        <f>SUMIFS('TRADE LOG'!$T$15:$T$9733,closeDate,"&gt;="&amp;CALENDAR!D230,closeDate,"&lt;"&amp;D230+1,SIZE,"&gt;0")</f>
        <v>0</v>
      </c>
      <c r="E231" s="748">
        <f>SUMIFS('TRADE LOG'!$T$15:$T$9733,closeDate,"&gt;="&amp;CALENDAR!E230,closeDate,"&lt;"&amp;E230+1,SIZE,"&gt;0")</f>
        <v>0</v>
      </c>
      <c r="F231" s="748">
        <f>SUMIFS('TRADE LOG'!$T$15:$T$9733,closeDate,"&gt;="&amp;CALENDAR!F230,closeDate,"&lt;"&amp;F230+1,SIZE,"&gt;0")</f>
        <v>0</v>
      </c>
      <c r="G231" s="748">
        <f>SUMIFS('TRADE LOG'!$T$15:$T$9733,closeDate,"&gt;="&amp;CALENDAR!G230,closeDate,"&lt;"&amp;G230+1,SIZE,"&gt;0")</f>
        <v>0</v>
      </c>
      <c r="H231" s="748">
        <f>SUMIFS('TRADE LOG'!$T$15:$T$9733,closeDate,"&gt;="&amp;CALENDAR!H230,closeDate,"&lt;"&amp;H230+1,SIZE,"&gt;0")</f>
        <v>0</v>
      </c>
      <c r="I231" s="748">
        <f>SUMIFS('TRADE LOG'!$T$15:$T$9733,closeDate,"&gt;="&amp;CALENDAR!I230,closeDate,"&lt;"&amp;I230+1,SIZE,"&gt;0")</f>
        <v>0</v>
      </c>
      <c r="J231" s="161"/>
      <c r="K231" s="161"/>
      <c r="L231" s="161"/>
    </row>
    <row r="232" spans="2:12" ht="15" customHeight="1" thickBot="1">
      <c r="B232" s="161"/>
      <c r="C232" s="749">
        <f>COUNTIFS(closeDate,"&gt;="&amp;CALENDAR!C230,closeDate,"&lt;"&amp;C230+1,SIZE,"&gt;0")</f>
        <v>0</v>
      </c>
      <c r="D232" s="749">
        <f>COUNTIFS(closeDate,"&gt;="&amp;CALENDAR!D230,closeDate,"&lt;"&amp;D230+1,SIZE,"&gt;0")</f>
        <v>0</v>
      </c>
      <c r="E232" s="749">
        <f>COUNTIFS(closeDate,"&gt;="&amp;CALENDAR!E230,closeDate,"&lt;"&amp;E230+1,SIZE,"&gt;0")</f>
        <v>0</v>
      </c>
      <c r="F232" s="749">
        <f>COUNTIFS(closeDate,"&gt;="&amp;CALENDAR!F230,closeDate,"&lt;"&amp;F230+1,SIZE,"&gt;0")</f>
        <v>0</v>
      </c>
      <c r="G232" s="749">
        <f>COUNTIFS(closeDate,"&gt;="&amp;CALENDAR!G230,closeDate,"&lt;"&amp;G230+1,SIZE,"&gt;0")</f>
        <v>0</v>
      </c>
      <c r="H232" s="749">
        <f>COUNTIFS(closeDate,"&gt;="&amp;CALENDAR!H230,closeDate,"&lt;"&amp;H230+1,SIZE,"&gt;0")</f>
        <v>0</v>
      </c>
      <c r="I232" s="749">
        <f>COUNTIFS(closeDate,"&gt;="&amp;CALENDAR!I230,closeDate,"&lt;"&amp;(I230+1),SIZE,"&gt;0")</f>
        <v>0</v>
      </c>
      <c r="J232" s="161"/>
      <c r="K232" s="161"/>
      <c r="L232" s="161"/>
    </row>
    <row r="233" spans="2:12" ht="15" customHeight="1" thickTop="1">
      <c r="B233" s="161"/>
      <c r="C233" s="747" t="str">
        <f>IFERROR(IF(MONTH(C216)&lt;&gt;MONTH(I230+1),"",(I230+1)),"")</f>
        <v/>
      </c>
      <c r="D233" s="747" t="str">
        <f>IFERROR(IF(MONTH(C216)&lt;&gt;MONTH(C233+1),"",(C233+1)),"")</f>
        <v/>
      </c>
      <c r="E233" s="747" t="str">
        <f>IFERROR(IF(MONTH(C216)&lt;&gt;MONTH(D233+1),"",(D233+1)),"")</f>
        <v/>
      </c>
      <c r="F233" s="747" t="str">
        <f>IFERROR(IF(MONTH(C216)&lt;&gt;MONTH(E233+1),"",(E233+1)),"")</f>
        <v/>
      </c>
      <c r="G233" s="747" t="str">
        <f>IFERROR(IF(MONTH(C216)&lt;&gt;MONTH(F233+1),"",(F233+1)),"")</f>
        <v/>
      </c>
      <c r="H233" s="747" t="str">
        <f>IFERROR(IF(MONTH(C216)&lt;&gt;MONTH(G233+1),"",(G233+1)),"")</f>
        <v/>
      </c>
      <c r="I233" s="747" t="str">
        <f>IFERROR(IF(MONTH(C216)&lt;&gt;MONTH(H233+1),"",(H233+1)),"")</f>
        <v/>
      </c>
      <c r="J233" s="161"/>
      <c r="K233" s="161"/>
      <c r="L233" s="161"/>
    </row>
    <row r="234" spans="2:12" ht="15" customHeight="1">
      <c r="B234" s="161"/>
      <c r="C234" s="748">
        <f>SUMIFS('TRADE LOG'!$T$15:$T$9733,closeDate,"&gt;="&amp;CALENDAR!C233,closeDate,"&lt;"&amp;C233+1,SIZE,"&gt;0")</f>
        <v>0</v>
      </c>
      <c r="D234" s="748">
        <f>SUMIFS('TRADE LOG'!$T$15:$T$9733,closeDate,"&gt;="&amp;CALENDAR!D233,closeDate,"&lt;"&amp;D233+1,SIZE,"&gt;0")</f>
        <v>0</v>
      </c>
      <c r="E234" s="748">
        <f>SUMIFS('TRADE LOG'!$T$15:$T$9733,closeDate,"&gt;="&amp;CALENDAR!E233,closeDate,"&lt;"&amp;E233+1,SIZE,"&gt;0")</f>
        <v>0</v>
      </c>
      <c r="F234" s="748">
        <f>SUMIFS('TRADE LOG'!$T$15:$T$9733,closeDate,"&gt;="&amp;CALENDAR!F233,closeDate,"&lt;"&amp;F233+1,SIZE,"&gt;0")</f>
        <v>0</v>
      </c>
      <c r="G234" s="748">
        <f>SUMIFS('TRADE LOG'!$T$15:$T$9733,closeDate,"&gt;="&amp;CALENDAR!G233,closeDate,"&lt;"&amp;G233+1,SIZE,"&gt;0")</f>
        <v>0</v>
      </c>
      <c r="H234" s="748">
        <f>SUMIFS('TRADE LOG'!$T$15:$T$9733,closeDate,"&gt;="&amp;CALENDAR!H233,closeDate,"&lt;"&amp;H233+1,SIZE,"&gt;0")</f>
        <v>0</v>
      </c>
      <c r="I234" s="748">
        <f>SUMIFS('TRADE LOG'!$T$15:$T$9733,closeDate,"&gt;="&amp;CALENDAR!I233,closeDate,"&lt;"&amp;I233+1,SIZE,"&gt;0")</f>
        <v>0</v>
      </c>
      <c r="J234" s="161"/>
      <c r="K234" s="161"/>
      <c r="L234" s="161"/>
    </row>
    <row r="235" spans="2:12" ht="15" customHeight="1">
      <c r="B235" s="161"/>
      <c r="C235" s="750">
        <f>COUNTIFS(closeDate,"&gt;="&amp;CALENDAR!C233,closeDate,"&lt;"&amp;C233+1,SIZE,"&gt;0")</f>
        <v>0</v>
      </c>
      <c r="D235" s="750">
        <f>COUNTIFS(closeDate,"&gt;="&amp;CALENDAR!D233,closeDate,"&lt;"&amp;D233+1,SIZE,"&gt;0")</f>
        <v>0</v>
      </c>
      <c r="E235" s="750">
        <f>COUNTIFS(closeDate,"&gt;="&amp;CALENDAR!E233,closeDate,"&lt;"&amp;E233+1,SIZE,"&gt;0")</f>
        <v>0</v>
      </c>
      <c r="F235" s="750">
        <f>COUNTIFS(closeDate,"&gt;="&amp;CALENDAR!F233,closeDate,"&lt;"&amp;F233+1,SIZE,"&gt;0")</f>
        <v>0</v>
      </c>
      <c r="G235" s="750">
        <f>COUNTIFS(closeDate,"&gt;="&amp;CALENDAR!G233,closeDate,"&lt;"&amp;G233+1,SIZE,"&gt;0")</f>
        <v>0</v>
      </c>
      <c r="H235" s="750">
        <f>COUNTIFS(closeDate,"&gt;="&amp;CALENDAR!H233,closeDate,"&lt;"&amp;H233+1,SIZE,"&gt;0")</f>
        <v>0</v>
      </c>
      <c r="I235" s="750">
        <f>COUNTIFS(closeDate,"&gt;="&amp;CALENDAR!I233,closeDate,"&lt;"&amp;(I233+1),SIZE,"&gt;0")</f>
        <v>0</v>
      </c>
      <c r="J235" s="161"/>
      <c r="K235" s="161"/>
      <c r="L235" s="161"/>
    </row>
    <row r="236" spans="2:12" ht="18" customHeight="1" thickBot="1">
      <c r="B236" s="161"/>
      <c r="C236" s="751"/>
      <c r="D236" s="751"/>
      <c r="E236" s="751"/>
      <c r="F236" s="751"/>
      <c r="G236" s="751"/>
      <c r="H236" s="751"/>
      <c r="I236" s="751"/>
      <c r="J236" s="161"/>
      <c r="K236" s="161"/>
      <c r="L236" s="161"/>
    </row>
    <row r="237" spans="2:12" ht="21.95" customHeight="1">
      <c r="B237" s="161"/>
      <c r="C237" s="752">
        <f>EOMONTH(C216,0)+1</f>
        <v>44287</v>
      </c>
      <c r="D237" s="753"/>
      <c r="E237" s="754"/>
      <c r="F237" s="755"/>
      <c r="G237" s="756"/>
      <c r="H237" s="756"/>
      <c r="I237" s="756"/>
      <c r="J237" s="161"/>
      <c r="K237" s="161"/>
      <c r="L237" s="161"/>
    </row>
    <row r="238" spans="2:12" ht="24.95" customHeight="1" thickBot="1">
      <c r="B238" s="161"/>
      <c r="C238" s="757" t="s">
        <v>781</v>
      </c>
      <c r="D238" s="757" t="s">
        <v>782</v>
      </c>
      <c r="E238" s="757" t="s">
        <v>783</v>
      </c>
      <c r="F238" s="757" t="s">
        <v>784</v>
      </c>
      <c r="G238" s="757" t="s">
        <v>789</v>
      </c>
      <c r="H238" s="757" t="s">
        <v>785</v>
      </c>
      <c r="I238" s="757" t="s">
        <v>786</v>
      </c>
      <c r="J238" s="161"/>
      <c r="K238" s="161"/>
      <c r="L238" s="161"/>
    </row>
    <row r="239" spans="2:12" ht="15" customHeight="1" thickTop="1">
      <c r="B239" s="161"/>
      <c r="C239" s="747" t="str">
        <f>IF(MONTH(C237)&lt;&gt;MONTH((C237-WEEKDAY(C237,1)+1)),"",(C237-WEEKDAY(C237,1)+1))</f>
        <v/>
      </c>
      <c r="D239" s="747" t="str">
        <f>IF(MONTH(C237)&lt;&gt;MONTH((C237-WEEKDAY(C237,1)+2)),"",(C237-WEEKDAY(C237,1)+2))</f>
        <v/>
      </c>
      <c r="E239" s="747" t="str">
        <f>IF(MONTH(C237)&lt;&gt;MONTH((C237-WEEKDAY(C237,1)+3)),"",(C237-WEEKDAY(C237,1)+3))</f>
        <v/>
      </c>
      <c r="F239" s="747" t="str">
        <f>IF(MONTH(C237)&lt;&gt;MONTH((C237-WEEKDAY(C237,1)+4)),"",(C237-WEEKDAY(C237,1)+4))</f>
        <v/>
      </c>
      <c r="G239" s="747">
        <f>IF(MONTH(C237)&lt;&gt;MONTH((C237-WEEKDAY(C237,1)+5)),"",(C237-WEEKDAY(C237,1)+5))</f>
        <v>44287</v>
      </c>
      <c r="H239" s="747">
        <f>IF(MONTH(C237)&lt;&gt;MONTH((C237-WEEKDAY(C237,1)+6)),"",(C237-WEEKDAY(C237,1)+6))</f>
        <v>44288</v>
      </c>
      <c r="I239" s="747">
        <f>IF(MONTH(C237)&lt;&gt;MONTH((C237-WEEKDAY(C237,1)+7)),"",(C237-WEEKDAY(C237,1)+7))</f>
        <v>44289</v>
      </c>
      <c r="J239" s="161"/>
      <c r="K239" s="161"/>
      <c r="L239" s="161"/>
    </row>
    <row r="240" spans="2:12" ht="15" customHeight="1">
      <c r="B240" s="161"/>
      <c r="C240" s="748">
        <f>SUMIFS('TRADE LOG'!$T$15:$T$9733,closeDate,"&gt;="&amp;CALENDAR!C239,closeDate,"&lt;"&amp;D239,SIZE,"&gt;0")</f>
        <v>0</v>
      </c>
      <c r="D240" s="748">
        <f>SUMIFS('TRADE LOG'!$T$15:$T$9733,closeDate,"&gt;="&amp;CALENDAR!D239,closeDate,"&lt;"&amp;E239,SIZE,"&gt;0")</f>
        <v>0</v>
      </c>
      <c r="E240" s="748">
        <f>SUMIFS('TRADE LOG'!$T$15:$T$9733,closeDate,"&gt;="&amp;CALENDAR!E239,closeDate,"&lt;"&amp;F239,SIZE,"&gt;0")</f>
        <v>0</v>
      </c>
      <c r="F240" s="748">
        <f>SUMIFS('TRADE LOG'!$T$15:$T$9733,closeDate,"&gt;="&amp;CALENDAR!F239,closeDate,"&lt;"&amp;G239,SIZE,"&gt;0")</f>
        <v>0</v>
      </c>
      <c r="G240" s="748">
        <f>SUMIFS('TRADE LOG'!$T$15:$T$9733,closeDate,"&gt;="&amp;CALENDAR!G239,closeDate,"&lt;"&amp;H239,SIZE,"&gt;0")</f>
        <v>0</v>
      </c>
      <c r="H240" s="748">
        <f>SUMIFS('TRADE LOG'!$T$15:$T$9733,closeDate,"&gt;="&amp;CALENDAR!H239,closeDate,"&lt;"&amp;I239,SIZE,"&gt;0")</f>
        <v>0</v>
      </c>
      <c r="I240" s="748">
        <f>SUMIFS('TRADE LOG'!$T$15:$T$9733,closeDate,"&gt;="&amp;CALENDAR!I239,closeDate,"&lt;"&amp;C242,SIZE,"&gt;0")</f>
        <v>0</v>
      </c>
      <c r="J240" s="161"/>
      <c r="K240" s="161"/>
      <c r="L240" s="161"/>
    </row>
    <row r="241" spans="2:12" ht="15" customHeight="1" thickBot="1">
      <c r="B241" s="161"/>
      <c r="C241" s="749">
        <f>COUNTIFS(closeDate,"&gt;="&amp;CALENDAR!C239,closeDate,"&lt;"&amp;D239,SIZE,"&gt;0")</f>
        <v>0</v>
      </c>
      <c r="D241" s="749">
        <f>COUNTIFS(closeDate,"&gt;="&amp;CALENDAR!D239,closeDate,"&lt;"&amp;E239,SIZE,"&gt;0")</f>
        <v>0</v>
      </c>
      <c r="E241" s="749">
        <f>COUNTIFS(closeDate,"&gt;="&amp;CALENDAR!E239,closeDate,"&lt;"&amp;F239,SIZE,"&gt;0")</f>
        <v>0</v>
      </c>
      <c r="F241" s="749">
        <f>COUNTIFS(closeDate,"&gt;="&amp;CALENDAR!F239,closeDate,"&lt;"&amp;G239,SIZE,"&gt;0")</f>
        <v>0</v>
      </c>
      <c r="G241" s="749">
        <f>COUNTIFS(closeDate,"&gt;="&amp;CALENDAR!G239,closeDate,"&lt;"&amp;H239,SIZE,"&gt;0")</f>
        <v>0</v>
      </c>
      <c r="H241" s="749">
        <f>COUNTIFS(closeDate,"&gt;="&amp;CALENDAR!H239,closeDate,"&lt;"&amp;I239,SIZE,"&gt;0")</f>
        <v>0</v>
      </c>
      <c r="I241" s="749">
        <f>COUNTIFS(closeDate,"&gt;="&amp;CALENDAR!I239,closeDate,"&lt;"&amp;(I239+1),SIZE,"&gt;0")</f>
        <v>0</v>
      </c>
      <c r="J241" s="161"/>
      <c r="K241" s="161"/>
      <c r="L241" s="161"/>
    </row>
    <row r="242" spans="2:12" ht="15" customHeight="1" thickTop="1">
      <c r="B242" s="161"/>
      <c r="C242" s="747">
        <f>I239+1</f>
        <v>44290</v>
      </c>
      <c r="D242" s="747">
        <f>C242+1</f>
        <v>44291</v>
      </c>
      <c r="E242" s="747">
        <f t="shared" ref="E242:E248" si="151">D242+1</f>
        <v>44292</v>
      </c>
      <c r="F242" s="747">
        <f t="shared" ref="F242:F248" si="152">E242+1</f>
        <v>44293</v>
      </c>
      <c r="G242" s="747">
        <f t="shared" ref="G242:G248" si="153">F242+1</f>
        <v>44294</v>
      </c>
      <c r="H242" s="747">
        <f t="shared" ref="H242:H248" si="154">G242+1</f>
        <v>44295</v>
      </c>
      <c r="I242" s="747">
        <f t="shared" ref="I242:I248" si="155">H242+1</f>
        <v>44296</v>
      </c>
      <c r="J242" s="161"/>
      <c r="K242" s="161"/>
      <c r="L242" s="161"/>
    </row>
    <row r="243" spans="2:12" ht="15" customHeight="1">
      <c r="B243" s="161"/>
      <c r="C243" s="748">
        <f>SUMIFS('TRADE LOG'!$T$15:$T$9733,closeDate,"&gt;="&amp;CALENDAR!C242,closeDate,"&lt;"&amp;D242,SIZE,"&gt;0")</f>
        <v>0</v>
      </c>
      <c r="D243" s="748">
        <f>SUMIFS('TRADE LOG'!$T$15:$T$9733,closeDate,"&gt;="&amp;CALENDAR!D242,closeDate,"&lt;"&amp;E242,SIZE,"&gt;0")</f>
        <v>0</v>
      </c>
      <c r="E243" s="748">
        <f>SUMIFS('TRADE LOG'!$T$15:$T$9733,closeDate,"&gt;="&amp;CALENDAR!E242,closeDate,"&lt;"&amp;F242,SIZE,"&gt;0")</f>
        <v>0</v>
      </c>
      <c r="F243" s="748">
        <f>SUMIFS('TRADE LOG'!$T$15:$T$9733,closeDate,"&gt;="&amp;CALENDAR!F242,closeDate,"&lt;"&amp;G242,SIZE,"&gt;0")</f>
        <v>0</v>
      </c>
      <c r="G243" s="748">
        <f>SUMIFS('TRADE LOG'!$T$15:$T$9733,closeDate,"&gt;="&amp;CALENDAR!G242,closeDate,"&lt;"&amp;H242,SIZE,"&gt;0")</f>
        <v>0</v>
      </c>
      <c r="H243" s="748">
        <f>SUMIFS('TRADE LOG'!$T$15:$T$9733,closeDate,"&gt;="&amp;CALENDAR!H242,closeDate,"&lt;"&amp;I242,SIZE,"&gt;0")</f>
        <v>0</v>
      </c>
      <c r="I243" s="748">
        <f>SUMIFS('TRADE LOG'!$T$15:$T$9733,closeDate,"&gt;="&amp;CALENDAR!I242,closeDate,"&lt;"&amp;C245,SIZE,"&gt;0")</f>
        <v>0</v>
      </c>
      <c r="J243" s="161"/>
      <c r="K243" s="161"/>
      <c r="L243" s="161"/>
    </row>
    <row r="244" spans="2:12" ht="15" customHeight="1" thickBot="1">
      <c r="B244" s="161"/>
      <c r="C244" s="749">
        <f>COUNTIFS(closeDate,"&gt;="&amp;CALENDAR!C242,closeDate,"&lt;"&amp;D242,SIZE,"&gt;0")</f>
        <v>0</v>
      </c>
      <c r="D244" s="749">
        <f>COUNTIFS(closeDate,"&gt;="&amp;CALENDAR!D242,closeDate,"&lt;"&amp;E242,SIZE,"&gt;0")</f>
        <v>0</v>
      </c>
      <c r="E244" s="749">
        <f>COUNTIFS(closeDate,"&gt;="&amp;CALENDAR!E242,closeDate,"&lt;"&amp;F242,SIZE,"&gt;0")</f>
        <v>0</v>
      </c>
      <c r="F244" s="749">
        <f>COUNTIFS(closeDate,"&gt;="&amp;CALENDAR!F242,closeDate,"&lt;"&amp;G242,SIZE,"&gt;0")</f>
        <v>0</v>
      </c>
      <c r="G244" s="749">
        <f>COUNTIFS(closeDate,"&gt;="&amp;CALENDAR!G242,closeDate,"&lt;"&amp;H242,SIZE,"&gt;0")</f>
        <v>0</v>
      </c>
      <c r="H244" s="749">
        <f>COUNTIFS(closeDate,"&gt;="&amp;CALENDAR!H242,closeDate,"&lt;"&amp;I242,SIZE,"&gt;0")</f>
        <v>0</v>
      </c>
      <c r="I244" s="749">
        <f>COUNTIFS(closeDate,"&gt;="&amp;CALENDAR!I242,closeDate,"&lt;"&amp;(I242+1),SIZE,"&gt;0")</f>
        <v>0</v>
      </c>
      <c r="J244" s="161"/>
      <c r="K244" s="161"/>
      <c r="L244" s="161"/>
    </row>
    <row r="245" spans="2:12" ht="15" customHeight="1" thickTop="1">
      <c r="B245" s="161"/>
      <c r="C245" s="747">
        <f>I242+1</f>
        <v>44297</v>
      </c>
      <c r="D245" s="747">
        <f>C245+1</f>
        <v>44298</v>
      </c>
      <c r="E245" s="747">
        <f t="shared" ref="E245:E251" si="156">D245+1</f>
        <v>44299</v>
      </c>
      <c r="F245" s="747">
        <f t="shared" ref="F245:F251" si="157">E245+1</f>
        <v>44300</v>
      </c>
      <c r="G245" s="747">
        <f t="shared" ref="G245:G251" si="158">F245+1</f>
        <v>44301</v>
      </c>
      <c r="H245" s="747">
        <f t="shared" ref="H245:H251" si="159">G245+1</f>
        <v>44302</v>
      </c>
      <c r="I245" s="747">
        <f t="shared" ref="I245:I251" si="160">H245+1</f>
        <v>44303</v>
      </c>
      <c r="J245" s="161"/>
      <c r="K245" s="161"/>
      <c r="L245" s="161"/>
    </row>
    <row r="246" spans="2:12" ht="15" customHeight="1">
      <c r="B246" s="161"/>
      <c r="C246" s="748">
        <f>SUMIFS('TRADE LOG'!$T$15:$T$9733,closeDate,"&gt;="&amp;CALENDAR!C245,closeDate,"&lt;"&amp;D245,SIZE,"&gt;0")</f>
        <v>0</v>
      </c>
      <c r="D246" s="748">
        <f>SUMIFS('TRADE LOG'!$T$15:$T$9733,closeDate,"&gt;="&amp;CALENDAR!D245,closeDate,"&lt;"&amp;E245,SIZE,"&gt;0")</f>
        <v>0</v>
      </c>
      <c r="E246" s="748">
        <f>SUMIFS('TRADE LOG'!$T$15:$T$9733,closeDate,"&gt;="&amp;CALENDAR!E245,closeDate,"&lt;"&amp;F245,SIZE,"&gt;0")</f>
        <v>0</v>
      </c>
      <c r="F246" s="748">
        <f>SUMIFS('TRADE LOG'!$T$15:$T$9733,closeDate,"&gt;="&amp;CALENDAR!F245,closeDate,"&lt;"&amp;G245,SIZE,"&gt;0")</f>
        <v>0</v>
      </c>
      <c r="G246" s="748">
        <f>SUMIFS('TRADE LOG'!$T$15:$T$9733,closeDate,"&gt;="&amp;CALENDAR!G245,closeDate,"&lt;"&amp;H245,SIZE,"&gt;0")</f>
        <v>0</v>
      </c>
      <c r="H246" s="748">
        <f>SUMIFS('TRADE LOG'!$T$15:$T$9733,closeDate,"&gt;="&amp;CALENDAR!H245,closeDate,"&lt;"&amp;I245,SIZE,"&gt;0")</f>
        <v>0</v>
      </c>
      <c r="I246" s="748">
        <f>SUMIFS('TRADE LOG'!$T$15:$T$9733,closeDate,"&gt;="&amp;CALENDAR!I245,closeDate,"&lt;"&amp;C248,SIZE,"&gt;0")</f>
        <v>0</v>
      </c>
      <c r="J246" s="161"/>
      <c r="K246" s="161"/>
      <c r="L246" s="161"/>
    </row>
    <row r="247" spans="2:12" ht="15" customHeight="1" thickBot="1">
      <c r="B247" s="517"/>
      <c r="C247" s="749">
        <f>COUNTIFS(closeDate,"&gt;="&amp;CALENDAR!C245,closeDate,"&lt;"&amp;D245,SIZE,"&gt;0")</f>
        <v>0</v>
      </c>
      <c r="D247" s="749">
        <f>COUNTIFS(closeDate,"&gt;="&amp;CALENDAR!D245,closeDate,"&lt;"&amp;E245,SIZE,"&gt;0")</f>
        <v>0</v>
      </c>
      <c r="E247" s="749">
        <f>COUNTIFS(closeDate,"&gt;="&amp;CALENDAR!E245,closeDate,"&lt;"&amp;F245,SIZE,"&gt;0")</f>
        <v>0</v>
      </c>
      <c r="F247" s="749">
        <f>COUNTIFS(closeDate,"&gt;="&amp;CALENDAR!F245,closeDate,"&lt;"&amp;G245,SIZE,"&gt;0")</f>
        <v>0</v>
      </c>
      <c r="G247" s="749">
        <f>COUNTIFS(closeDate,"&gt;="&amp;CALENDAR!G245,closeDate,"&lt;"&amp;H245,SIZE,"&gt;0")</f>
        <v>0</v>
      </c>
      <c r="H247" s="749">
        <f>COUNTIFS(closeDate,"&gt;="&amp;CALENDAR!H245,closeDate,"&lt;"&amp;I245,SIZE,"&gt;0")</f>
        <v>0</v>
      </c>
      <c r="I247" s="749">
        <f>COUNTIFS(closeDate,"&gt;="&amp;CALENDAR!I245,closeDate,"&lt;"&amp;(I245+1),SIZE,"&gt;0")</f>
        <v>0</v>
      </c>
      <c r="J247" s="517"/>
      <c r="K247" s="517"/>
      <c r="L247" s="161"/>
    </row>
    <row r="248" spans="2:12" ht="15" customHeight="1" thickTop="1">
      <c r="B248" s="161"/>
      <c r="C248" s="747">
        <f>I245+1</f>
        <v>44304</v>
      </c>
      <c r="D248" s="747">
        <f>C248+1</f>
        <v>44305</v>
      </c>
      <c r="E248" s="747">
        <f t="shared" ref="E248:E254" si="161">D248+1</f>
        <v>44306</v>
      </c>
      <c r="F248" s="747">
        <f t="shared" ref="F248:F254" si="162">E248+1</f>
        <v>44307</v>
      </c>
      <c r="G248" s="747">
        <f t="shared" ref="G248:G254" si="163">F248+1</f>
        <v>44308</v>
      </c>
      <c r="H248" s="747">
        <f t="shared" ref="H248:H254" si="164">G248+1</f>
        <v>44309</v>
      </c>
      <c r="I248" s="747">
        <f t="shared" ref="I248:I254" si="165">H248+1</f>
        <v>44310</v>
      </c>
      <c r="J248" s="161"/>
      <c r="K248" s="161"/>
      <c r="L248" s="161"/>
    </row>
    <row r="249" spans="2:12" ht="15" customHeight="1">
      <c r="B249" s="161"/>
      <c r="C249" s="748">
        <f>SUMIFS('TRADE LOG'!$T$15:$T$9733,closeDate,"&gt;="&amp;CALENDAR!C248,closeDate,"&lt;"&amp;D248,SIZE,"&gt;0")</f>
        <v>0</v>
      </c>
      <c r="D249" s="748">
        <f>SUMIFS('TRADE LOG'!$T$15:$T$9733,closeDate,"&gt;="&amp;CALENDAR!D248,closeDate,"&lt;"&amp;E248,SIZE,"&gt;0")</f>
        <v>0</v>
      </c>
      <c r="E249" s="748">
        <f>SUMIFS('TRADE LOG'!$T$15:$T$9733,closeDate,"&gt;="&amp;CALENDAR!E248,closeDate,"&lt;"&amp;F248,SIZE,"&gt;0")</f>
        <v>0</v>
      </c>
      <c r="F249" s="748">
        <f>SUMIFS('TRADE LOG'!$T$15:$T$9733,closeDate,"&gt;="&amp;CALENDAR!F248,closeDate,"&lt;"&amp;G248,SIZE,"&gt;0")</f>
        <v>0</v>
      </c>
      <c r="G249" s="748">
        <f>SUMIFS('TRADE LOG'!$T$15:$T$9733,closeDate,"&gt;="&amp;CALENDAR!G248,closeDate,"&lt;"&amp;H248,SIZE,"&gt;0")</f>
        <v>0</v>
      </c>
      <c r="H249" s="748">
        <f>SUMIFS('TRADE LOG'!$T$15:$T$9733,closeDate,"&gt;="&amp;CALENDAR!H248,closeDate,"&lt;"&amp;I248,SIZE,"&gt;0")</f>
        <v>0</v>
      </c>
      <c r="I249" s="748">
        <f>SUMIFS('TRADE LOG'!$T$15:$T$9733,closeDate,"&gt;="&amp;CALENDAR!I248,closeDate,"&lt;"&amp;I248+1,SIZE,"&gt;0")</f>
        <v>0</v>
      </c>
      <c r="J249" s="161"/>
      <c r="K249" s="161"/>
      <c r="L249" s="161"/>
    </row>
    <row r="250" spans="2:12" ht="15" customHeight="1" thickBot="1">
      <c r="B250" s="161"/>
      <c r="C250" s="749">
        <f>COUNTIFS(closeDate,"&gt;="&amp;CALENDAR!C248,closeDate,"&lt;"&amp;D248,SIZE,"&gt;0")</f>
        <v>0</v>
      </c>
      <c r="D250" s="749">
        <f>COUNTIFS(closeDate,"&gt;="&amp;CALENDAR!D248,closeDate,"&lt;"&amp;E248,SIZE,"&gt;0")</f>
        <v>0</v>
      </c>
      <c r="E250" s="749">
        <f>COUNTIFS(closeDate,"&gt;="&amp;CALENDAR!E248,closeDate,"&lt;"&amp;F248,SIZE,"&gt;0")</f>
        <v>0</v>
      </c>
      <c r="F250" s="749">
        <f>COUNTIFS(closeDate,"&gt;="&amp;CALENDAR!F248,closeDate,"&lt;"&amp;G248,SIZE,"&gt;0")</f>
        <v>0</v>
      </c>
      <c r="G250" s="749">
        <f>COUNTIFS(closeDate,"&gt;="&amp;CALENDAR!G248,closeDate,"&lt;"&amp;H248,SIZE,"&gt;0")</f>
        <v>0</v>
      </c>
      <c r="H250" s="749">
        <f>COUNTIFS(closeDate,"&gt;="&amp;CALENDAR!H248,closeDate,"&lt;"&amp;I248,SIZE,"&gt;0")</f>
        <v>0</v>
      </c>
      <c r="I250" s="749">
        <f>COUNTIFS(closeDate,"&gt;="&amp;CALENDAR!I248,closeDate,"&lt;"&amp;(I248+1),SIZE,"&gt;0")</f>
        <v>0</v>
      </c>
      <c r="J250" s="161"/>
      <c r="K250" s="161"/>
      <c r="L250" s="161"/>
    </row>
    <row r="251" spans="2:12" ht="15" customHeight="1" thickTop="1">
      <c r="B251" s="161"/>
      <c r="C251" s="747">
        <f>IFERROR(IF(MONTH(C237)&lt;&gt;MONTH(I248+1),"",(I248+1)),"")</f>
        <v>44311</v>
      </c>
      <c r="D251" s="747">
        <f>IFERROR(IF(MONTH(C237)&lt;&gt;MONTH(C251+1),"",(C251+1)),"")</f>
        <v>44312</v>
      </c>
      <c r="E251" s="747">
        <f>IFERROR(IF(MONTH(C237)&lt;&gt;MONTH(D251+1),"",(D251+1)),"")</f>
        <v>44313</v>
      </c>
      <c r="F251" s="747">
        <f>IFERROR(IF(MONTH(C237)&lt;&gt;MONTH(E251+1),"",(E251+1)),"")</f>
        <v>44314</v>
      </c>
      <c r="G251" s="747">
        <f>IFERROR(IF(MONTH(C237)&lt;&gt;MONTH(F251+1),"",(F251+1)),"")</f>
        <v>44315</v>
      </c>
      <c r="H251" s="747">
        <f>IFERROR(IF(MONTH(C237)&lt;&gt;MONTH(G251+1),"",(G251+1)),"")</f>
        <v>44316</v>
      </c>
      <c r="I251" s="747" t="str">
        <f>IFERROR(IF(MONTH(C237)&lt;&gt;MONTH(H251+1),"",(H251+1)),"")</f>
        <v/>
      </c>
      <c r="J251" s="161"/>
      <c r="K251" s="161"/>
      <c r="L251" s="161"/>
    </row>
    <row r="252" spans="2:12" ht="15" customHeight="1">
      <c r="B252" s="161"/>
      <c r="C252" s="748">
        <f>SUMIFS('TRADE LOG'!$T$15:$T$9733,closeDate,"&gt;="&amp;CALENDAR!C251,closeDate,"&lt;"&amp;C251+1,SIZE,"&gt;0")</f>
        <v>0</v>
      </c>
      <c r="D252" s="748">
        <f>SUMIFS('TRADE LOG'!$T$15:$T$9733,closeDate,"&gt;="&amp;CALENDAR!D251,closeDate,"&lt;"&amp;D251+1,SIZE,"&gt;0")</f>
        <v>0</v>
      </c>
      <c r="E252" s="748">
        <f>SUMIFS('TRADE LOG'!$T$15:$T$9733,closeDate,"&gt;="&amp;CALENDAR!E251,closeDate,"&lt;"&amp;E251+1,SIZE,"&gt;0")</f>
        <v>0</v>
      </c>
      <c r="F252" s="748">
        <f>SUMIFS('TRADE LOG'!$T$15:$T$9733,closeDate,"&gt;="&amp;CALENDAR!F251,closeDate,"&lt;"&amp;F251+1,SIZE,"&gt;0")</f>
        <v>0</v>
      </c>
      <c r="G252" s="748">
        <f>SUMIFS('TRADE LOG'!$T$15:$T$9733,closeDate,"&gt;="&amp;CALENDAR!G251,closeDate,"&lt;"&amp;G251+1,SIZE,"&gt;0")</f>
        <v>0</v>
      </c>
      <c r="H252" s="748">
        <f>SUMIFS('TRADE LOG'!$T$15:$T$9733,closeDate,"&gt;="&amp;CALENDAR!H251,closeDate,"&lt;"&amp;H251+1,SIZE,"&gt;0")</f>
        <v>0</v>
      </c>
      <c r="I252" s="748">
        <f>SUMIFS('TRADE LOG'!$T$15:$T$9733,closeDate,"&gt;="&amp;CALENDAR!I251,closeDate,"&lt;"&amp;I251+1,SIZE,"&gt;0")</f>
        <v>0</v>
      </c>
      <c r="J252" s="161"/>
      <c r="K252" s="161"/>
      <c r="L252" s="161"/>
    </row>
    <row r="253" spans="2:12" ht="15" customHeight="1" thickBot="1">
      <c r="B253" s="161"/>
      <c r="C253" s="749">
        <f>COUNTIFS(closeDate,"&gt;="&amp;CALENDAR!C251,closeDate,"&lt;"&amp;C251+1,SIZE,"&gt;0")</f>
        <v>0</v>
      </c>
      <c r="D253" s="749">
        <f>COUNTIFS(closeDate,"&gt;="&amp;CALENDAR!D251,closeDate,"&lt;"&amp;D251+1,SIZE,"&gt;0")</f>
        <v>0</v>
      </c>
      <c r="E253" s="749">
        <f>COUNTIFS(closeDate,"&gt;="&amp;CALENDAR!E251,closeDate,"&lt;"&amp;E251+1,SIZE,"&gt;0")</f>
        <v>0</v>
      </c>
      <c r="F253" s="749">
        <f>COUNTIFS(closeDate,"&gt;="&amp;CALENDAR!F251,closeDate,"&lt;"&amp;F251+1,SIZE,"&gt;0")</f>
        <v>0</v>
      </c>
      <c r="G253" s="749">
        <f>COUNTIFS(closeDate,"&gt;="&amp;CALENDAR!G251,closeDate,"&lt;"&amp;G251+1,SIZE,"&gt;0")</f>
        <v>0</v>
      </c>
      <c r="H253" s="749">
        <f>COUNTIFS(closeDate,"&gt;="&amp;CALENDAR!H251,closeDate,"&lt;"&amp;H251+1,SIZE,"&gt;0")</f>
        <v>0</v>
      </c>
      <c r="I253" s="749">
        <f>COUNTIFS(closeDate,"&gt;="&amp;CALENDAR!I251,closeDate,"&lt;"&amp;(I251+1),SIZE,"&gt;0")</f>
        <v>0</v>
      </c>
      <c r="J253" s="161"/>
      <c r="K253" s="161"/>
      <c r="L253" s="161"/>
    </row>
    <row r="254" spans="2:12" ht="15" customHeight="1" thickTop="1">
      <c r="B254" s="161"/>
      <c r="C254" s="747" t="str">
        <f>IFERROR(IF(MONTH(C237)&lt;&gt;MONTH(I251+1),"",(I251+1)),"")</f>
        <v/>
      </c>
      <c r="D254" s="747" t="str">
        <f>IFERROR(IF(MONTH(C237)&lt;&gt;MONTH(C254+1),"",(C254+1)),"")</f>
        <v/>
      </c>
      <c r="E254" s="747" t="str">
        <f>IFERROR(IF(MONTH(C237)&lt;&gt;MONTH(D254+1),"",(D254+1)),"")</f>
        <v/>
      </c>
      <c r="F254" s="747" t="str">
        <f>IFERROR(IF(MONTH(C237)&lt;&gt;MONTH(E254+1),"",(E254+1)),"")</f>
        <v/>
      </c>
      <c r="G254" s="747" t="str">
        <f>IFERROR(IF(MONTH(C237)&lt;&gt;MONTH(F254+1),"",(F254+1)),"")</f>
        <v/>
      </c>
      <c r="H254" s="747" t="str">
        <f>IFERROR(IF(MONTH(C237)&lt;&gt;MONTH(G254+1),"",(G254+1)),"")</f>
        <v/>
      </c>
      <c r="I254" s="747" t="str">
        <f>IFERROR(IF(MONTH(C237)&lt;&gt;MONTH(H254+1),"",(H254+1)),"")</f>
        <v/>
      </c>
      <c r="J254" s="161"/>
      <c r="K254" s="161"/>
      <c r="L254" s="161"/>
    </row>
    <row r="255" spans="2:12" ht="15" customHeight="1">
      <c r="B255" s="161"/>
      <c r="C255" s="748">
        <f>SUMIFS('TRADE LOG'!$T$15:$T$9733,closeDate,"&gt;="&amp;CALENDAR!C254,closeDate,"&lt;"&amp;C254+1,SIZE,"&gt;0")</f>
        <v>0</v>
      </c>
      <c r="D255" s="748">
        <f>SUMIFS('TRADE LOG'!$T$15:$T$9733,closeDate,"&gt;="&amp;CALENDAR!D254,closeDate,"&lt;"&amp;D254+1,SIZE,"&gt;0")</f>
        <v>0</v>
      </c>
      <c r="E255" s="748">
        <f>SUMIFS('TRADE LOG'!$T$15:$T$9733,closeDate,"&gt;="&amp;CALENDAR!E254,closeDate,"&lt;"&amp;E254+1,SIZE,"&gt;0")</f>
        <v>0</v>
      </c>
      <c r="F255" s="748">
        <f>SUMIFS('TRADE LOG'!$T$15:$T$9733,closeDate,"&gt;="&amp;CALENDAR!F254,closeDate,"&lt;"&amp;F254+1,SIZE,"&gt;0")</f>
        <v>0</v>
      </c>
      <c r="G255" s="748">
        <f>SUMIFS('TRADE LOG'!$T$15:$T$9733,closeDate,"&gt;="&amp;CALENDAR!G254,closeDate,"&lt;"&amp;G254+1,SIZE,"&gt;0")</f>
        <v>0</v>
      </c>
      <c r="H255" s="748">
        <f>SUMIFS('TRADE LOG'!$T$15:$T$9733,closeDate,"&gt;="&amp;CALENDAR!H254,closeDate,"&lt;"&amp;H254+1,SIZE,"&gt;0")</f>
        <v>0</v>
      </c>
      <c r="I255" s="748">
        <f>SUMIFS('TRADE LOG'!$T$15:$T$9733,closeDate,"&gt;="&amp;CALENDAR!I254,closeDate,"&lt;"&amp;I254+1,SIZE,"&gt;0")</f>
        <v>0</v>
      </c>
      <c r="J255" s="161"/>
      <c r="K255" s="161"/>
      <c r="L255" s="161"/>
    </row>
    <row r="256" spans="2:12" ht="15" customHeight="1">
      <c r="B256" s="161"/>
      <c r="C256" s="750">
        <f>COUNTIFS(closeDate,"&gt;="&amp;CALENDAR!C254,closeDate,"&lt;"&amp;C254+1,SIZE,"&gt;0")</f>
        <v>0</v>
      </c>
      <c r="D256" s="750">
        <f>COUNTIFS(closeDate,"&gt;="&amp;CALENDAR!D254,closeDate,"&lt;"&amp;D254+1,SIZE,"&gt;0")</f>
        <v>0</v>
      </c>
      <c r="E256" s="750">
        <f>COUNTIFS(closeDate,"&gt;="&amp;CALENDAR!E254,closeDate,"&lt;"&amp;E254+1,SIZE,"&gt;0")</f>
        <v>0</v>
      </c>
      <c r="F256" s="750">
        <f>COUNTIFS(closeDate,"&gt;="&amp;CALENDAR!F254,closeDate,"&lt;"&amp;F254+1,SIZE,"&gt;0")</f>
        <v>0</v>
      </c>
      <c r="G256" s="750">
        <f>COUNTIFS(closeDate,"&gt;="&amp;CALENDAR!G254,closeDate,"&lt;"&amp;G254+1,SIZE,"&gt;0")</f>
        <v>0</v>
      </c>
      <c r="H256" s="750">
        <f>COUNTIFS(closeDate,"&gt;="&amp;CALENDAR!H254,closeDate,"&lt;"&amp;H254+1,SIZE,"&gt;0")</f>
        <v>0</v>
      </c>
      <c r="I256" s="750">
        <f>COUNTIFS(closeDate,"&gt;="&amp;CALENDAR!I254,closeDate,"&lt;"&amp;(I254+1),SIZE,"&gt;0")</f>
        <v>0</v>
      </c>
      <c r="J256" s="161"/>
      <c r="K256" s="161"/>
      <c r="L256" s="161"/>
    </row>
    <row r="257" spans="2:12" ht="15" customHeight="1">
      <c r="B257" s="161"/>
      <c r="C257" s="751"/>
      <c r="D257" s="751"/>
      <c r="E257" s="751"/>
      <c r="F257" s="751"/>
      <c r="G257" s="751"/>
      <c r="H257" s="751"/>
      <c r="I257" s="751"/>
      <c r="J257" s="161"/>
      <c r="K257" s="161"/>
      <c r="L257" s="161"/>
    </row>
    <row r="258" spans="2:12" ht="15" customHeight="1">
      <c r="B258" s="161"/>
      <c r="C258" s="161"/>
      <c r="D258" s="161"/>
      <c r="E258" s="161"/>
      <c r="F258" s="161"/>
      <c r="G258" s="161"/>
      <c r="H258" s="161"/>
      <c r="I258" s="161"/>
      <c r="J258" s="161"/>
      <c r="K258" s="161"/>
      <c r="L258" s="161"/>
    </row>
    <row r="259" spans="2:12" ht="15" customHeight="1">
      <c r="B259" s="161"/>
      <c r="C259" s="161"/>
      <c r="D259" s="161"/>
      <c r="E259" s="161"/>
      <c r="F259" s="161"/>
      <c r="G259" s="161"/>
      <c r="H259" s="161"/>
      <c r="I259" s="161"/>
      <c r="J259" s="161"/>
      <c r="K259" s="161"/>
      <c r="L259" s="161"/>
    </row>
    <row r="260" spans="2:12">
      <c r="B260" s="161"/>
      <c r="C260" s="161"/>
      <c r="D260" s="161"/>
      <c r="E260" s="161"/>
      <c r="F260" s="161"/>
      <c r="G260" s="161"/>
      <c r="H260" s="161"/>
      <c r="I260" s="161"/>
      <c r="J260" s="161"/>
      <c r="K260" s="161"/>
      <c r="L260" s="161"/>
    </row>
    <row r="261" spans="2:12">
      <c r="B261" s="161"/>
      <c r="C261" s="161"/>
      <c r="D261" s="161"/>
      <c r="E261" s="161"/>
      <c r="F261" s="161"/>
      <c r="G261" s="161"/>
      <c r="H261" s="161"/>
      <c r="I261" s="161"/>
      <c r="J261" s="161"/>
      <c r="K261" s="161"/>
      <c r="L261" s="161"/>
    </row>
    <row r="262" spans="2:12">
      <c r="B262" s="161"/>
      <c r="C262" s="161"/>
      <c r="D262" s="161"/>
      <c r="E262" s="161"/>
      <c r="F262" s="161"/>
      <c r="G262" s="161"/>
      <c r="H262" s="161"/>
      <c r="I262" s="161"/>
      <c r="J262" s="161"/>
      <c r="K262" s="161"/>
      <c r="L262" s="161"/>
    </row>
    <row r="263" spans="2:12">
      <c r="B263" s="161"/>
      <c r="C263" s="161"/>
      <c r="D263" s="161"/>
      <c r="E263" s="161"/>
      <c r="F263" s="161"/>
      <c r="G263" s="161"/>
      <c r="H263" s="161"/>
      <c r="I263" s="161"/>
      <c r="J263" s="161"/>
      <c r="K263" s="161"/>
      <c r="L263" s="161"/>
    </row>
    <row r="264" spans="2:12">
      <c r="B264" s="161"/>
      <c r="C264" s="161"/>
      <c r="D264" s="161"/>
      <c r="E264" s="161"/>
      <c r="F264" s="161"/>
      <c r="G264" s="161"/>
      <c r="H264" s="161"/>
      <c r="I264" s="161"/>
      <c r="J264" s="161"/>
      <c r="K264" s="161"/>
      <c r="L264" s="161"/>
    </row>
    <row r="265" spans="2:12">
      <c r="B265" s="161"/>
      <c r="C265" s="161"/>
      <c r="D265" s="161"/>
      <c r="E265" s="161"/>
      <c r="F265" s="161"/>
      <c r="G265" s="161"/>
      <c r="H265" s="161"/>
      <c r="I265" s="161"/>
      <c r="J265" s="161"/>
      <c r="K265" s="161"/>
      <c r="L265" s="161"/>
    </row>
    <row r="266" spans="2:12">
      <c r="B266" s="161"/>
      <c r="C266" s="161"/>
      <c r="D266" s="161"/>
      <c r="E266" s="161"/>
      <c r="F266" s="161"/>
      <c r="G266" s="161"/>
      <c r="H266" s="161"/>
      <c r="I266" s="161"/>
      <c r="J266" s="161"/>
      <c r="K266" s="161"/>
      <c r="L266" s="161"/>
    </row>
  </sheetData>
  <sheetProtection algorithmName="SHA-512" hashValue="q4Fo40AFfVS9NQSVY6kKc/p3E9L1gSU7mOMrwzGhJ582y8Z00ZJ5/tG0BXa1pEP1VMraMCTpRv1wV1T/DidzGA==" saltValue="kQAv8Ff7jfEzTVa9pie/zg==" spinCount="100000" sheet="1" objects="1" scenarios="1" formatCells="0"/>
  <protectedRanges>
    <protectedRange sqref="C3:D3" name="input"/>
  </protectedRanges>
  <conditionalFormatting sqref="C8:I8 C20:I20 C23:I23">
    <cfRule type="expression" dxfId="276" priority="1656">
      <formula>C8=""</formula>
    </cfRule>
  </conditionalFormatting>
  <conditionalFormatting sqref="C9:I9 C21:I21 C24:I24">
    <cfRule type="expression" dxfId="275" priority="1655">
      <formula>C8=""</formula>
    </cfRule>
  </conditionalFormatting>
  <conditionalFormatting sqref="C10:I10 C22:I22 C25:I25">
    <cfRule type="expression" dxfId="274" priority="1654">
      <formula>C8=""</formula>
    </cfRule>
  </conditionalFormatting>
  <conditionalFormatting sqref="C8:I8 C11:I11 C14:I14 C17:I17 C20:I20 C23:I23">
    <cfRule type="expression" dxfId="273" priority="1650">
      <formula>AND(C9&lt;0,C8&lt;&gt;"")</formula>
    </cfRule>
    <cfRule type="expression" dxfId="272" priority="1653">
      <formula>AND(C10=0,C8&lt;&gt;"")</formula>
    </cfRule>
  </conditionalFormatting>
  <conditionalFormatting sqref="C8:I8 C11:I11 C14:I14 C17:I17 C20:I20 C23:I23">
    <cfRule type="expression" dxfId="271" priority="1647">
      <formula>AND(C9&gt;0,C8&lt;&gt;"")</formula>
    </cfRule>
  </conditionalFormatting>
  <conditionalFormatting sqref="C9:I9 C12:I12 C15:I15 C18:I18 C21:I21 C24:I24">
    <cfRule type="expression" dxfId="270" priority="1646">
      <formula>AND(C9&gt;0,C8&lt;&gt;"")</formula>
    </cfRule>
    <cfRule type="expression" dxfId="269" priority="1649">
      <formula>AND(C9&lt;0,C8&lt;&gt;"")</formula>
    </cfRule>
    <cfRule type="expression" dxfId="268" priority="1652">
      <formula>AND(C10=0,C8&lt;&gt;"")</formula>
    </cfRule>
  </conditionalFormatting>
  <conditionalFormatting sqref="C10:I10 C13:I13 C16:I16 C19:I19 C22:I22 C25:I25">
    <cfRule type="expression" dxfId="267" priority="1645">
      <formula>AND(C9&gt;0,C8&lt;&gt;"")</formula>
    </cfRule>
    <cfRule type="expression" dxfId="266" priority="1648">
      <formula>AND(C9&lt;0,C8&lt;&gt;"")</formula>
    </cfRule>
    <cfRule type="expression" dxfId="265" priority="1651">
      <formula>AND(C10=0,C8&lt;&gt;"")</formula>
    </cfRule>
  </conditionalFormatting>
  <conditionalFormatting sqref="C29:I29 C41:I41 C44:I44">
    <cfRule type="expression" dxfId="131" priority="132">
      <formula>C29=""</formula>
    </cfRule>
  </conditionalFormatting>
  <conditionalFormatting sqref="C30:I30 C42:I42 C45:I45">
    <cfRule type="expression" dxfId="130" priority="131">
      <formula>C29=""</formula>
    </cfRule>
  </conditionalFormatting>
  <conditionalFormatting sqref="C31:I31 C43:I43 C46:I46">
    <cfRule type="expression" dxfId="129" priority="130">
      <formula>C29=""</formula>
    </cfRule>
  </conditionalFormatting>
  <conditionalFormatting sqref="C29:I29 C32:I32 C35:I35 C38:I38 C41:I41 C44:I44">
    <cfRule type="expression" dxfId="128" priority="126">
      <formula>AND(C30&lt;0,C29&lt;&gt;"")</formula>
    </cfRule>
    <cfRule type="expression" dxfId="127" priority="129">
      <formula>AND(C31=0,C29&lt;&gt;"")</formula>
    </cfRule>
  </conditionalFormatting>
  <conditionalFormatting sqref="C29:I29 C32:I32 C35:I35 C38:I38 C41:I41 C44:I44">
    <cfRule type="expression" dxfId="126" priority="123">
      <formula>AND(C30&gt;0,C29&lt;&gt;"")</formula>
    </cfRule>
  </conditionalFormatting>
  <conditionalFormatting sqref="C30:I30 C33:I33 C36:I36 C39:I39 C42:I42 C45:I45">
    <cfRule type="expression" dxfId="125" priority="122">
      <formula>AND(C30&gt;0,C29&lt;&gt;"")</formula>
    </cfRule>
    <cfRule type="expression" dxfId="124" priority="125">
      <formula>AND(C30&lt;0,C29&lt;&gt;"")</formula>
    </cfRule>
    <cfRule type="expression" dxfId="123" priority="128">
      <formula>AND(C31=0,C29&lt;&gt;"")</formula>
    </cfRule>
  </conditionalFormatting>
  <conditionalFormatting sqref="C31:I31 C34:I34 C37:I37 C40:I40 C43:I43 C46:I46">
    <cfRule type="expression" dxfId="122" priority="121">
      <formula>AND(C30&gt;0,C29&lt;&gt;"")</formula>
    </cfRule>
    <cfRule type="expression" dxfId="121" priority="124">
      <formula>AND(C30&lt;0,C29&lt;&gt;"")</formula>
    </cfRule>
    <cfRule type="expression" dxfId="120" priority="127">
      <formula>AND(C31=0,C29&lt;&gt;"")</formula>
    </cfRule>
  </conditionalFormatting>
  <conditionalFormatting sqref="C50:I50 C62:I62 C65:I65">
    <cfRule type="expression" dxfId="119" priority="120">
      <formula>C50=""</formula>
    </cfRule>
  </conditionalFormatting>
  <conditionalFormatting sqref="C51:I51 C63:I63 C66:I66">
    <cfRule type="expression" dxfId="118" priority="119">
      <formula>C50=""</formula>
    </cfRule>
  </conditionalFormatting>
  <conditionalFormatting sqref="C52:I52 C64:I64 C67:I67">
    <cfRule type="expression" dxfId="117" priority="118">
      <formula>C50=""</formula>
    </cfRule>
  </conditionalFormatting>
  <conditionalFormatting sqref="C50:I50 C53:I53 C56:I56 C59:I59 C62:I62 C65:I65">
    <cfRule type="expression" dxfId="116" priority="114">
      <formula>AND(C51&lt;0,C50&lt;&gt;"")</formula>
    </cfRule>
    <cfRule type="expression" dxfId="115" priority="117">
      <formula>AND(C52=0,C50&lt;&gt;"")</formula>
    </cfRule>
  </conditionalFormatting>
  <conditionalFormatting sqref="C50:I50 C53:I53 C56:I56 C59:I59 C62:I62 C65:I65">
    <cfRule type="expression" dxfId="114" priority="111">
      <formula>AND(C51&gt;0,C50&lt;&gt;"")</formula>
    </cfRule>
  </conditionalFormatting>
  <conditionalFormatting sqref="C51:I51 C54:I54 C57:I57 C60:I60 C63:I63 C66:I66">
    <cfRule type="expression" dxfId="113" priority="110">
      <formula>AND(C51&gt;0,C50&lt;&gt;"")</formula>
    </cfRule>
    <cfRule type="expression" dxfId="112" priority="113">
      <formula>AND(C51&lt;0,C50&lt;&gt;"")</formula>
    </cfRule>
    <cfRule type="expression" dxfId="111" priority="116">
      <formula>AND(C52=0,C50&lt;&gt;"")</formula>
    </cfRule>
  </conditionalFormatting>
  <conditionalFormatting sqref="C52:I52 C55:I55 C58:I58 C61:I61 C64:I64 C67:I67">
    <cfRule type="expression" dxfId="110" priority="109">
      <formula>AND(C51&gt;0,C50&lt;&gt;"")</formula>
    </cfRule>
    <cfRule type="expression" dxfId="109" priority="112">
      <formula>AND(C51&lt;0,C50&lt;&gt;"")</formula>
    </cfRule>
    <cfRule type="expression" dxfId="108" priority="115">
      <formula>AND(C52=0,C50&lt;&gt;"")</formula>
    </cfRule>
  </conditionalFormatting>
  <conditionalFormatting sqref="C71:I71 C83:I83 C86:I86">
    <cfRule type="expression" dxfId="107" priority="108">
      <formula>C71=""</formula>
    </cfRule>
  </conditionalFormatting>
  <conditionalFormatting sqref="C72:I72 C84:I84 C87:I87">
    <cfRule type="expression" dxfId="106" priority="107">
      <formula>C71=""</formula>
    </cfRule>
  </conditionalFormatting>
  <conditionalFormatting sqref="C73:I73 C85:I85 C88:I88">
    <cfRule type="expression" dxfId="105" priority="106">
      <formula>C71=""</formula>
    </cfRule>
  </conditionalFormatting>
  <conditionalFormatting sqref="C71:I71 C74:I74 C77:I77 C80:I80 C83:I83 C86:I86">
    <cfRule type="expression" dxfId="104" priority="102">
      <formula>AND(C72&lt;0,C71&lt;&gt;"")</formula>
    </cfRule>
    <cfRule type="expression" dxfId="103" priority="105">
      <formula>AND(C73=0,C71&lt;&gt;"")</formula>
    </cfRule>
  </conditionalFormatting>
  <conditionalFormatting sqref="C71:I71 C74:I74 C77:I77 C80:I80 C83:I83 C86:I86">
    <cfRule type="expression" dxfId="102" priority="99">
      <formula>AND(C72&gt;0,C71&lt;&gt;"")</formula>
    </cfRule>
  </conditionalFormatting>
  <conditionalFormatting sqref="C72:I72 C75:I75 C78:I78 C81:I81 C84:I84 C87:I87">
    <cfRule type="expression" dxfId="101" priority="98">
      <formula>AND(C72&gt;0,C71&lt;&gt;"")</formula>
    </cfRule>
    <cfRule type="expression" dxfId="100" priority="101">
      <formula>AND(C72&lt;0,C71&lt;&gt;"")</formula>
    </cfRule>
    <cfRule type="expression" dxfId="99" priority="104">
      <formula>AND(C73=0,C71&lt;&gt;"")</formula>
    </cfRule>
  </conditionalFormatting>
  <conditionalFormatting sqref="C73:I73 C76:I76 C79:I79 C82:I82 C85:I85 C88:I88">
    <cfRule type="expression" dxfId="98" priority="97">
      <formula>AND(C72&gt;0,C71&lt;&gt;"")</formula>
    </cfRule>
    <cfRule type="expression" dxfId="97" priority="100">
      <formula>AND(C72&lt;0,C71&lt;&gt;"")</formula>
    </cfRule>
    <cfRule type="expression" dxfId="96" priority="103">
      <formula>AND(C73=0,C71&lt;&gt;"")</formula>
    </cfRule>
  </conditionalFormatting>
  <conditionalFormatting sqref="C92:I92 C104:I104 C107:I107">
    <cfRule type="expression" dxfId="95" priority="96">
      <formula>C92=""</formula>
    </cfRule>
  </conditionalFormatting>
  <conditionalFormatting sqref="C93:I93 C105:I105 C108:I108">
    <cfRule type="expression" dxfId="94" priority="95">
      <formula>C92=""</formula>
    </cfRule>
  </conditionalFormatting>
  <conditionalFormatting sqref="C94:I94 C106:I106 C109:I109">
    <cfRule type="expression" dxfId="93" priority="94">
      <formula>C92=""</formula>
    </cfRule>
  </conditionalFormatting>
  <conditionalFormatting sqref="C92:I92 C95:I95 C98:I98 C101:I101 C104:I104 C107:I107">
    <cfRule type="expression" dxfId="92" priority="90">
      <formula>AND(C93&lt;0,C92&lt;&gt;"")</formula>
    </cfRule>
    <cfRule type="expression" dxfId="91" priority="93">
      <formula>AND(C94=0,C92&lt;&gt;"")</formula>
    </cfRule>
  </conditionalFormatting>
  <conditionalFormatting sqref="C92:I92 C95:I95 C98:I98 C101:I101 C104:I104 C107:I107">
    <cfRule type="expression" dxfId="90" priority="87">
      <formula>AND(C93&gt;0,C92&lt;&gt;"")</formula>
    </cfRule>
  </conditionalFormatting>
  <conditionalFormatting sqref="C93:I93 C96:I96 C99:I99 C102:I102 C105:I105 C108:I108">
    <cfRule type="expression" dxfId="89" priority="86">
      <formula>AND(C93&gt;0,C92&lt;&gt;"")</formula>
    </cfRule>
    <cfRule type="expression" dxfId="88" priority="89">
      <formula>AND(C93&lt;0,C92&lt;&gt;"")</formula>
    </cfRule>
    <cfRule type="expression" dxfId="87" priority="92">
      <formula>AND(C94=0,C92&lt;&gt;"")</formula>
    </cfRule>
  </conditionalFormatting>
  <conditionalFormatting sqref="C94:I94 C97:I97 C100:I100 C103:I103 C106:I106 C109:I109">
    <cfRule type="expression" dxfId="86" priority="85">
      <formula>AND(C93&gt;0,C92&lt;&gt;"")</formula>
    </cfRule>
    <cfRule type="expression" dxfId="85" priority="88">
      <formula>AND(C93&lt;0,C92&lt;&gt;"")</formula>
    </cfRule>
    <cfRule type="expression" dxfId="84" priority="91">
      <formula>AND(C94=0,C92&lt;&gt;"")</formula>
    </cfRule>
  </conditionalFormatting>
  <conditionalFormatting sqref="C113:I113 C125:I125 C128:I128">
    <cfRule type="expression" dxfId="83" priority="84">
      <formula>C113=""</formula>
    </cfRule>
  </conditionalFormatting>
  <conditionalFormatting sqref="C114:I114 C126:I126 C129:I129">
    <cfRule type="expression" dxfId="82" priority="83">
      <formula>C113=""</formula>
    </cfRule>
  </conditionalFormatting>
  <conditionalFormatting sqref="C115:I115 C127:I127 C130:I130">
    <cfRule type="expression" dxfId="81" priority="82">
      <formula>C113=""</formula>
    </cfRule>
  </conditionalFormatting>
  <conditionalFormatting sqref="C113:I113 C116:I116 C119:I119 C122:I122 C125:I125 C128:I128">
    <cfRule type="expression" dxfId="80" priority="78">
      <formula>AND(C114&lt;0,C113&lt;&gt;"")</formula>
    </cfRule>
    <cfRule type="expression" dxfId="79" priority="81">
      <formula>AND(C115=0,C113&lt;&gt;"")</formula>
    </cfRule>
  </conditionalFormatting>
  <conditionalFormatting sqref="C113:I113 C116:I116 C119:I119 C122:I122 C125:I125 C128:I128">
    <cfRule type="expression" dxfId="78" priority="75">
      <formula>AND(C114&gt;0,C113&lt;&gt;"")</formula>
    </cfRule>
  </conditionalFormatting>
  <conditionalFormatting sqref="C114:I114 C117:I117 C120:I120 C123:I123 C126:I126 C129:I129">
    <cfRule type="expression" dxfId="77" priority="74">
      <formula>AND(C114&gt;0,C113&lt;&gt;"")</formula>
    </cfRule>
    <cfRule type="expression" dxfId="76" priority="77">
      <formula>AND(C114&lt;0,C113&lt;&gt;"")</formula>
    </cfRule>
    <cfRule type="expression" dxfId="75" priority="80">
      <formula>AND(C115=0,C113&lt;&gt;"")</formula>
    </cfRule>
  </conditionalFormatting>
  <conditionalFormatting sqref="C115:I115 C118:I118 C121:I121 C124:I124 C127:I127 C130:I130">
    <cfRule type="expression" dxfId="74" priority="73">
      <formula>AND(C114&gt;0,C113&lt;&gt;"")</formula>
    </cfRule>
    <cfRule type="expression" dxfId="73" priority="76">
      <formula>AND(C114&lt;0,C113&lt;&gt;"")</formula>
    </cfRule>
    <cfRule type="expression" dxfId="72" priority="79">
      <formula>AND(C115=0,C113&lt;&gt;"")</formula>
    </cfRule>
  </conditionalFormatting>
  <conditionalFormatting sqref="C134:I134 C146:I146 C149:I149">
    <cfRule type="expression" dxfId="71" priority="72">
      <formula>C134=""</formula>
    </cfRule>
  </conditionalFormatting>
  <conditionalFormatting sqref="C135:I135 C147:I147 C150:I150">
    <cfRule type="expression" dxfId="70" priority="71">
      <formula>C134=""</formula>
    </cfRule>
  </conditionalFormatting>
  <conditionalFormatting sqref="C136:I136 C148:I148 C151:I151">
    <cfRule type="expression" dxfId="69" priority="70">
      <formula>C134=""</formula>
    </cfRule>
  </conditionalFormatting>
  <conditionalFormatting sqref="C134:I134 C137:I137 C140:I140 C143:I143 C146:I146 C149:I149">
    <cfRule type="expression" dxfId="68" priority="66">
      <formula>AND(C135&lt;0,C134&lt;&gt;"")</formula>
    </cfRule>
    <cfRule type="expression" dxfId="67" priority="69">
      <formula>AND(C136=0,C134&lt;&gt;"")</formula>
    </cfRule>
  </conditionalFormatting>
  <conditionalFormatting sqref="C134:I134 C137:I137 C140:I140 C143:I143 C146:I146 C149:I149">
    <cfRule type="expression" dxfId="66" priority="63">
      <formula>AND(C135&gt;0,C134&lt;&gt;"")</formula>
    </cfRule>
  </conditionalFormatting>
  <conditionalFormatting sqref="C135:I135 C138:I138 C141:I141 C144:I144 C147:I147 C150:I150">
    <cfRule type="expression" dxfId="65" priority="62">
      <formula>AND(C135&gt;0,C134&lt;&gt;"")</formula>
    </cfRule>
    <cfRule type="expression" dxfId="64" priority="65">
      <formula>AND(C135&lt;0,C134&lt;&gt;"")</formula>
    </cfRule>
    <cfRule type="expression" dxfId="63" priority="68">
      <formula>AND(C136=0,C134&lt;&gt;"")</formula>
    </cfRule>
  </conditionalFormatting>
  <conditionalFormatting sqref="C136:I136 C139:I139 C142:I142 C145:I145 C148:I148 C151:I151">
    <cfRule type="expression" dxfId="62" priority="61">
      <formula>AND(C135&gt;0,C134&lt;&gt;"")</formula>
    </cfRule>
    <cfRule type="expression" dxfId="61" priority="64">
      <formula>AND(C135&lt;0,C134&lt;&gt;"")</formula>
    </cfRule>
    <cfRule type="expression" dxfId="60" priority="67">
      <formula>AND(C136=0,C134&lt;&gt;"")</formula>
    </cfRule>
  </conditionalFormatting>
  <conditionalFormatting sqref="C155:I155 C167:I167 C170:I170">
    <cfRule type="expression" dxfId="59" priority="60">
      <formula>C155=""</formula>
    </cfRule>
  </conditionalFormatting>
  <conditionalFormatting sqref="C156:I156 C168:I168 C171:I171">
    <cfRule type="expression" dxfId="58" priority="59">
      <formula>C155=""</formula>
    </cfRule>
  </conditionalFormatting>
  <conditionalFormatting sqref="C157:I157 C169:I169 C172:I172">
    <cfRule type="expression" dxfId="57" priority="58">
      <formula>C155=""</formula>
    </cfRule>
  </conditionalFormatting>
  <conditionalFormatting sqref="C155:I155 C158:I158 C161:I161 C164:I164 C167:I167 C170:I170">
    <cfRule type="expression" dxfId="56" priority="54">
      <formula>AND(C156&lt;0,C155&lt;&gt;"")</formula>
    </cfRule>
    <cfRule type="expression" dxfId="55" priority="57">
      <formula>AND(C157=0,C155&lt;&gt;"")</formula>
    </cfRule>
  </conditionalFormatting>
  <conditionalFormatting sqref="C155:I155 C158:I158 C161:I161 C164:I164 C167:I167 C170:I170">
    <cfRule type="expression" dxfId="54" priority="51">
      <formula>AND(C156&gt;0,C155&lt;&gt;"")</formula>
    </cfRule>
  </conditionalFormatting>
  <conditionalFormatting sqref="C156:I156 C159:I159 C162:I162 C165:I165 C168:I168 C171:I171">
    <cfRule type="expression" dxfId="53" priority="50">
      <formula>AND(C156&gt;0,C155&lt;&gt;"")</formula>
    </cfRule>
    <cfRule type="expression" dxfId="52" priority="53">
      <formula>AND(C156&lt;0,C155&lt;&gt;"")</formula>
    </cfRule>
    <cfRule type="expression" dxfId="51" priority="56">
      <formula>AND(C157=0,C155&lt;&gt;"")</formula>
    </cfRule>
  </conditionalFormatting>
  <conditionalFormatting sqref="C157:I157 C160:I160 C163:I163 C166:I166 C169:I169 C172:I172">
    <cfRule type="expression" dxfId="50" priority="49">
      <formula>AND(C156&gt;0,C155&lt;&gt;"")</formula>
    </cfRule>
    <cfRule type="expression" dxfId="49" priority="52">
      <formula>AND(C156&lt;0,C155&lt;&gt;"")</formula>
    </cfRule>
    <cfRule type="expression" dxfId="48" priority="55">
      <formula>AND(C157=0,C155&lt;&gt;"")</formula>
    </cfRule>
  </conditionalFormatting>
  <conditionalFormatting sqref="C176:I176 C188:I188 C191:I191">
    <cfRule type="expression" dxfId="47" priority="48">
      <formula>C176=""</formula>
    </cfRule>
  </conditionalFormatting>
  <conditionalFormatting sqref="C177:I177 C189:I189 C192:I192">
    <cfRule type="expression" dxfId="46" priority="47">
      <formula>C176=""</formula>
    </cfRule>
  </conditionalFormatting>
  <conditionalFormatting sqref="C178:I178 C190:I190 C193:I193">
    <cfRule type="expression" dxfId="45" priority="46">
      <formula>C176=""</formula>
    </cfRule>
  </conditionalFormatting>
  <conditionalFormatting sqref="C176:I176 C179:I179 C182:I182 C185:I185 C188:I188 C191:I191">
    <cfRule type="expression" dxfId="44" priority="42">
      <formula>AND(C177&lt;0,C176&lt;&gt;"")</formula>
    </cfRule>
    <cfRule type="expression" dxfId="43" priority="45">
      <formula>AND(C178=0,C176&lt;&gt;"")</formula>
    </cfRule>
  </conditionalFormatting>
  <conditionalFormatting sqref="C176:I176 C179:I179 C182:I182 C185:I185 C188:I188 C191:I191">
    <cfRule type="expression" dxfId="42" priority="39">
      <formula>AND(C177&gt;0,C176&lt;&gt;"")</formula>
    </cfRule>
  </conditionalFormatting>
  <conditionalFormatting sqref="C177:I177 C180:I180 C183:I183 C186:I186 C189:I189 C192:I192">
    <cfRule type="expression" dxfId="41" priority="38">
      <formula>AND(C177&gt;0,C176&lt;&gt;"")</formula>
    </cfRule>
    <cfRule type="expression" dxfId="40" priority="41">
      <formula>AND(C177&lt;0,C176&lt;&gt;"")</formula>
    </cfRule>
    <cfRule type="expression" dxfId="39" priority="44">
      <formula>AND(C178=0,C176&lt;&gt;"")</formula>
    </cfRule>
  </conditionalFormatting>
  <conditionalFormatting sqref="C178:I178 C181:I181 C184:I184 C187:I187 C190:I190 C193:I193">
    <cfRule type="expression" dxfId="38" priority="37">
      <formula>AND(C177&gt;0,C176&lt;&gt;"")</formula>
    </cfRule>
    <cfRule type="expression" dxfId="37" priority="40">
      <formula>AND(C177&lt;0,C176&lt;&gt;"")</formula>
    </cfRule>
    <cfRule type="expression" dxfId="36" priority="43">
      <formula>AND(C178=0,C176&lt;&gt;"")</formula>
    </cfRule>
  </conditionalFormatting>
  <conditionalFormatting sqref="C197:I197 C209:I209 C212:I212">
    <cfRule type="expression" dxfId="35" priority="36">
      <formula>C197=""</formula>
    </cfRule>
  </conditionalFormatting>
  <conditionalFormatting sqref="C198:I198 C210:I210 C213:I213">
    <cfRule type="expression" dxfId="34" priority="35">
      <formula>C197=""</formula>
    </cfRule>
  </conditionalFormatting>
  <conditionalFormatting sqref="C199:I199 C211:I211 C214:I214">
    <cfRule type="expression" dxfId="33" priority="34">
      <formula>C197=""</formula>
    </cfRule>
  </conditionalFormatting>
  <conditionalFormatting sqref="C197:I197 C200:I200 C203:I203 C206:I206 C209:I209 C212:I212">
    <cfRule type="expression" dxfId="32" priority="30">
      <formula>AND(C198&lt;0,C197&lt;&gt;"")</formula>
    </cfRule>
    <cfRule type="expression" dxfId="31" priority="33">
      <formula>AND(C199=0,C197&lt;&gt;"")</formula>
    </cfRule>
  </conditionalFormatting>
  <conditionalFormatting sqref="C197:I197 C200:I200 C203:I203 C206:I206 C209:I209 C212:I212">
    <cfRule type="expression" dxfId="30" priority="27">
      <formula>AND(C198&gt;0,C197&lt;&gt;"")</formula>
    </cfRule>
  </conditionalFormatting>
  <conditionalFormatting sqref="C198:I198 C201:I201 C204:I204 C207:I207 C210:I210 C213:I213">
    <cfRule type="expression" dxfId="29" priority="26">
      <formula>AND(C198&gt;0,C197&lt;&gt;"")</formula>
    </cfRule>
    <cfRule type="expression" dxfId="28" priority="29">
      <formula>AND(C198&lt;0,C197&lt;&gt;"")</formula>
    </cfRule>
    <cfRule type="expression" dxfId="27" priority="32">
      <formula>AND(C199=0,C197&lt;&gt;"")</formula>
    </cfRule>
  </conditionalFormatting>
  <conditionalFormatting sqref="C199:I199 C202:I202 C205:I205 C208:I208 C211:I211 C214:I214">
    <cfRule type="expression" dxfId="26" priority="25">
      <formula>AND(C198&gt;0,C197&lt;&gt;"")</formula>
    </cfRule>
    <cfRule type="expression" dxfId="25" priority="28">
      <formula>AND(C198&lt;0,C197&lt;&gt;"")</formula>
    </cfRule>
    <cfRule type="expression" dxfId="24" priority="31">
      <formula>AND(C199=0,C197&lt;&gt;"")</formula>
    </cfRule>
  </conditionalFormatting>
  <conditionalFormatting sqref="C218:I218 C230:I230 C233:I233">
    <cfRule type="expression" dxfId="23" priority="24">
      <formula>C218=""</formula>
    </cfRule>
  </conditionalFormatting>
  <conditionalFormatting sqref="C219:I219 C231:I231 C234:I234">
    <cfRule type="expression" dxfId="22" priority="23">
      <formula>C218=""</formula>
    </cfRule>
  </conditionalFormatting>
  <conditionalFormatting sqref="C220:I220 C232:I232 C235:I235">
    <cfRule type="expression" dxfId="21" priority="22">
      <formula>C218=""</formula>
    </cfRule>
  </conditionalFormatting>
  <conditionalFormatting sqref="C218:I218 C221:I221 C224:I224 C227:I227 C230:I230 C233:I233">
    <cfRule type="expression" dxfId="20" priority="18">
      <formula>AND(C219&lt;0,C218&lt;&gt;"")</formula>
    </cfRule>
    <cfRule type="expression" dxfId="19" priority="21">
      <formula>AND(C220=0,C218&lt;&gt;"")</formula>
    </cfRule>
  </conditionalFormatting>
  <conditionalFormatting sqref="C218:I218 C221:I221 C224:I224 C227:I227 C230:I230 C233:I233">
    <cfRule type="expression" dxfId="18" priority="15">
      <formula>AND(C219&gt;0,C218&lt;&gt;"")</formula>
    </cfRule>
  </conditionalFormatting>
  <conditionalFormatting sqref="C219:I219 C222:I222 C225:I225 C228:I228 C231:I231 C234:I234">
    <cfRule type="expression" dxfId="17" priority="14">
      <formula>AND(C219&gt;0,C218&lt;&gt;"")</formula>
    </cfRule>
    <cfRule type="expression" dxfId="16" priority="17">
      <formula>AND(C219&lt;0,C218&lt;&gt;"")</formula>
    </cfRule>
    <cfRule type="expression" dxfId="15" priority="20">
      <formula>AND(C220=0,C218&lt;&gt;"")</formula>
    </cfRule>
  </conditionalFormatting>
  <conditionalFormatting sqref="C220:I220 C223:I223 C226:I226 C229:I229 C232:I232 C235:I235">
    <cfRule type="expression" dxfId="14" priority="13">
      <formula>AND(C219&gt;0,C218&lt;&gt;"")</formula>
    </cfRule>
    <cfRule type="expression" dxfId="13" priority="16">
      <formula>AND(C219&lt;0,C218&lt;&gt;"")</formula>
    </cfRule>
    <cfRule type="expression" dxfId="12" priority="19">
      <formula>AND(C220=0,C218&lt;&gt;"")</formula>
    </cfRule>
  </conditionalFormatting>
  <conditionalFormatting sqref="C239:I239 C251:I251 C254:I254">
    <cfRule type="expression" dxfId="11" priority="12">
      <formula>C239=""</formula>
    </cfRule>
  </conditionalFormatting>
  <conditionalFormatting sqref="C240:I240 C252:I252 C255:I255">
    <cfRule type="expression" dxfId="10" priority="11">
      <formula>C239=""</formula>
    </cfRule>
  </conditionalFormatting>
  <conditionalFormatting sqref="C241:I241 C253:I253 C256:I256">
    <cfRule type="expression" dxfId="9" priority="10">
      <formula>C239=""</formula>
    </cfRule>
  </conditionalFormatting>
  <conditionalFormatting sqref="C239:I239 C242:I242 C245:I245 C248:I248 C251:I251 C254:I254">
    <cfRule type="expression" dxfId="8" priority="6">
      <formula>AND(C240&lt;0,C239&lt;&gt;"")</formula>
    </cfRule>
    <cfRule type="expression" dxfId="7" priority="9">
      <formula>AND(C241=0,C239&lt;&gt;"")</formula>
    </cfRule>
  </conditionalFormatting>
  <conditionalFormatting sqref="C239:I239 C242:I242 C245:I245 C248:I248 C251:I251 C254:I254">
    <cfRule type="expression" dxfId="6" priority="3">
      <formula>AND(C240&gt;0,C239&lt;&gt;"")</formula>
    </cfRule>
  </conditionalFormatting>
  <conditionalFormatting sqref="C240:I240 C243:I243 C246:I246 C249:I249 C252:I252 C255:I255">
    <cfRule type="expression" dxfId="5" priority="2">
      <formula>AND(C240&gt;0,C239&lt;&gt;"")</formula>
    </cfRule>
    <cfRule type="expression" dxfId="4" priority="5">
      <formula>AND(C240&lt;0,C239&lt;&gt;"")</formula>
    </cfRule>
    <cfRule type="expression" dxfId="3" priority="8">
      <formula>AND(C241=0,C239&lt;&gt;"")</formula>
    </cfRule>
  </conditionalFormatting>
  <conditionalFormatting sqref="C241:I241 C244:I244 C247:I247 C250:I250 C253:I253 C256:I256">
    <cfRule type="expression" dxfId="2" priority="1">
      <formula>AND(C240&gt;0,C239&lt;&gt;"")</formula>
    </cfRule>
    <cfRule type="expression" dxfId="1" priority="4">
      <formula>AND(C240&lt;0,C239&lt;&gt;"")</formula>
    </cfRule>
    <cfRule type="expression" dxfId="0" priority="7">
      <formula>AND(C241=0,C239&lt;&gt;"")</formula>
    </cfRule>
  </conditionalFormatting>
  <dataValidations disablePrompts="1" count="1">
    <dataValidation type="list" allowBlank="1" showInputMessage="1" showErrorMessage="1" sqref="C3" xr:uid="{187CCC23-1D54-49AF-9E28-A3579DB769A2}">
      <formula1>"January,February,March,April,May,June,July,August,September,October,November,December"</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ettings">
    <tabColor theme="8"/>
  </sheetPr>
  <dimension ref="A1:BD256"/>
  <sheetViews>
    <sheetView showGridLines="0" showRowColHeaders="0" topLeftCell="K1" zoomScaleNormal="100" workbookViewId="0">
      <pane ySplit="8" topLeftCell="A9" activePane="bottomLeft" state="frozen"/>
      <selection activeCell="K1" sqref="K1"/>
      <selection pane="bottomLeft" activeCell="W10" sqref="W10"/>
    </sheetView>
  </sheetViews>
  <sheetFormatPr defaultColWidth="0" defaultRowHeight="15"/>
  <cols>
    <col min="1" max="1" width="8" hidden="1" customWidth="1"/>
    <col min="2" max="2" width="5.140625" hidden="1" customWidth="1"/>
    <col min="3" max="3" width="14" hidden="1" customWidth="1"/>
    <col min="4" max="8" width="10.42578125" hidden="1" customWidth="1"/>
    <col min="9" max="9" width="8" hidden="1" customWidth="1"/>
    <col min="10" max="10" width="31" hidden="1" customWidth="1"/>
    <col min="11" max="12" width="1.42578125" customWidth="1"/>
    <col min="13" max="13" width="15.42578125" customWidth="1"/>
    <col min="14" max="14" width="6.5703125" customWidth="1"/>
    <col min="15" max="15" width="15.5703125" customWidth="1"/>
    <col min="16" max="16" width="6.5703125" customWidth="1"/>
    <col min="17" max="17" width="1.5703125" customWidth="1"/>
    <col min="18" max="18" width="20.5703125" customWidth="1"/>
    <col min="19" max="19" width="15.5703125" customWidth="1"/>
    <col min="20" max="20" width="5.140625" customWidth="1"/>
    <col min="21" max="21" width="3.7109375" customWidth="1"/>
    <col min="22" max="22" width="15.140625" customWidth="1"/>
    <col min="23" max="23" width="16.7109375" customWidth="1"/>
    <col min="24" max="24" width="6.5703125" customWidth="1"/>
    <col min="25" max="25" width="1.5703125" customWidth="1"/>
    <col min="26" max="26" width="13.5703125" customWidth="1"/>
    <col min="27" max="27" width="15.28515625" customWidth="1"/>
    <col min="28" max="28" width="14.42578125" customWidth="1"/>
    <col min="29" max="29" width="9.140625" bestFit="1" customWidth="1"/>
    <col min="30" max="30" width="15.85546875" bestFit="1" customWidth="1"/>
    <col min="31" max="31" width="114.5703125" customWidth="1"/>
    <col min="32" max="33" width="13.28515625" hidden="1" customWidth="1"/>
    <col min="34" max="35" width="15.85546875" hidden="1" customWidth="1"/>
    <col min="36" max="36" width="6.28515625" hidden="1" customWidth="1"/>
    <col min="37" max="38" width="10.85546875" hidden="1" customWidth="1"/>
    <col min="39" max="39" width="12.5703125" hidden="1" customWidth="1"/>
    <col min="40" max="45" width="10.85546875" hidden="1" customWidth="1"/>
    <col min="46" max="46" width="13.7109375" hidden="1" customWidth="1"/>
    <col min="47" max="50" width="10.85546875" hidden="1" customWidth="1"/>
    <col min="51" max="51" width="8" hidden="1" customWidth="1"/>
    <col min="52" max="52" width="10.85546875" hidden="1" customWidth="1"/>
    <col min="53" max="53" width="12.85546875" hidden="1" customWidth="1"/>
    <col min="54" max="16384" width="10.85546875" hidden="1"/>
  </cols>
  <sheetData>
    <row r="1" spans="1:40" ht="30" customHeight="1">
      <c r="A1" s="161"/>
      <c r="B1" s="161"/>
      <c r="C1" s="161"/>
      <c r="D1" s="161"/>
      <c r="E1" s="161"/>
      <c r="F1" s="161"/>
      <c r="G1" s="161"/>
      <c r="H1" s="161"/>
      <c r="I1" s="161"/>
      <c r="J1" s="161"/>
      <c r="K1" s="161"/>
      <c r="L1" s="161"/>
      <c r="M1" s="195" t="s">
        <v>410</v>
      </c>
      <c r="N1" s="113"/>
      <c r="O1" s="113"/>
      <c r="P1" s="113"/>
      <c r="Q1" s="113"/>
      <c r="R1" s="113"/>
      <c r="S1" s="113"/>
      <c r="T1" s="113"/>
      <c r="U1" s="113"/>
      <c r="V1" s="113"/>
      <c r="W1" s="113"/>
      <c r="X1" s="113"/>
      <c r="Y1" s="113"/>
      <c r="Z1" s="113"/>
      <c r="AA1" s="113"/>
      <c r="AB1" s="113"/>
      <c r="AC1" s="113"/>
      <c r="AD1" s="740" t="s">
        <v>772</v>
      </c>
      <c r="AE1" s="161"/>
      <c r="AK1" s="32" t="s">
        <v>811</v>
      </c>
      <c r="AL1" s="567" t="str">
        <f>VLOOKUP(O3,AK2:AL14,2,0)</f>
        <v>$</v>
      </c>
    </row>
    <row r="2" spans="1:40" ht="23.25" customHeight="1" thickBot="1">
      <c r="A2" s="161"/>
      <c r="B2" s="161"/>
      <c r="C2" s="161"/>
      <c r="D2" s="161"/>
      <c r="E2" s="161"/>
      <c r="F2" s="161"/>
      <c r="G2" s="161"/>
      <c r="H2" s="161"/>
      <c r="I2" s="161"/>
      <c r="J2" s="161"/>
      <c r="K2" s="161"/>
      <c r="L2" s="161"/>
      <c r="M2" s="635" t="s">
        <v>716</v>
      </c>
      <c r="N2" s="137"/>
      <c r="O2" s="137"/>
      <c r="P2" s="137"/>
      <c r="Q2" s="137"/>
      <c r="R2" s="635" t="s">
        <v>362</v>
      </c>
      <c r="S2" s="137"/>
      <c r="T2" s="355"/>
      <c r="U2" s="137"/>
      <c r="V2" s="635" t="s">
        <v>701</v>
      </c>
      <c r="W2" s="113"/>
      <c r="X2" s="113"/>
      <c r="Y2" s="113"/>
      <c r="Z2" s="113"/>
      <c r="AA2" s="635" t="s">
        <v>400</v>
      </c>
      <c r="AB2" s="113"/>
      <c r="AC2" s="113"/>
      <c r="AD2" s="247"/>
      <c r="AE2" s="507">
        <f>S3*(1+S5)</f>
        <v>1.1000000000000001E-2</v>
      </c>
      <c r="AG2" s="14">
        <f>DATE(YEAR(AH2),MONTH(AH2),DAY(1))</f>
        <v>45017</v>
      </c>
      <c r="AH2" s="377">
        <v>45024</v>
      </c>
      <c r="AI2" t="s">
        <v>460</v>
      </c>
      <c r="AK2" s="32" t="s">
        <v>173</v>
      </c>
      <c r="AL2" s="32" t="s">
        <v>795</v>
      </c>
    </row>
    <row r="3" spans="1:40" ht="17.25" customHeight="1" thickBot="1">
      <c r="A3" s="161"/>
      <c r="B3" s="161"/>
      <c r="C3" s="161"/>
      <c r="D3" s="161"/>
      <c r="E3" s="161"/>
      <c r="F3" s="161"/>
      <c r="G3" s="161"/>
      <c r="H3" s="161"/>
      <c r="I3" s="161"/>
      <c r="J3" s="161"/>
      <c r="K3" s="161"/>
      <c r="L3" s="161"/>
      <c r="M3" s="634" t="s">
        <v>717</v>
      </c>
      <c r="N3" s="113"/>
      <c r="O3" s="460" t="s">
        <v>173</v>
      </c>
      <c r="P3" s="113"/>
      <c r="Q3" s="113"/>
      <c r="R3" s="634" t="s">
        <v>422</v>
      </c>
      <c r="S3" s="473">
        <v>0.01</v>
      </c>
      <c r="T3" s="356"/>
      <c r="U3" s="113"/>
      <c r="V3" s="634" t="s">
        <v>702</v>
      </c>
      <c r="W3" s="475">
        <v>50</v>
      </c>
      <c r="X3" s="113"/>
      <c r="Y3" s="113"/>
      <c r="Z3" s="370"/>
      <c r="AA3" s="433" t="s">
        <v>392</v>
      </c>
      <c r="AB3" s="378"/>
      <c r="AC3" s="113"/>
      <c r="AD3" s="741"/>
      <c r="AE3" s="161"/>
      <c r="AG3" s="14">
        <f>EOMONTH(AG2,0)+1</f>
        <v>45047</v>
      </c>
      <c r="AH3" s="14">
        <f ca="1">IF(V7="today",TODAY(),MAX('TRADE LOG'!AT15:AT9733))</f>
        <v>45079.00056</v>
      </c>
      <c r="AI3" t="s">
        <v>461</v>
      </c>
      <c r="AK3" s="32" t="s">
        <v>200</v>
      </c>
      <c r="AL3" s="32" t="s">
        <v>796</v>
      </c>
    </row>
    <row r="4" spans="1:40" ht="17.25" customHeight="1" thickBot="1">
      <c r="A4" s="161"/>
      <c r="B4" s="161"/>
      <c r="C4" s="161"/>
      <c r="D4" s="161"/>
      <c r="E4" s="161"/>
      <c r="F4" s="161"/>
      <c r="G4" s="161"/>
      <c r="H4" s="161"/>
      <c r="I4" s="161"/>
      <c r="J4" s="161"/>
      <c r="K4" s="161"/>
      <c r="L4" s="161"/>
      <c r="M4" s="634" t="s">
        <v>718</v>
      </c>
      <c r="N4" s="113"/>
      <c r="O4" s="476">
        <v>100</v>
      </c>
      <c r="P4" s="113"/>
      <c r="Q4" s="113"/>
      <c r="R4" s="634" t="s">
        <v>391</v>
      </c>
      <c r="S4" s="474">
        <v>2</v>
      </c>
      <c r="T4" s="113"/>
      <c r="U4" s="113"/>
      <c r="V4" s="634" t="s">
        <v>821</v>
      </c>
      <c r="W4" s="475">
        <v>100</v>
      </c>
      <c r="X4" s="113"/>
      <c r="Y4" s="113"/>
      <c r="Z4" s="370"/>
      <c r="AA4" s="433" t="s">
        <v>393</v>
      </c>
      <c r="AB4" s="378"/>
      <c r="AC4" s="113"/>
      <c r="AD4" s="742"/>
      <c r="AE4" s="161"/>
      <c r="AK4" s="32" t="s">
        <v>202</v>
      </c>
      <c r="AL4" s="32" t="s">
        <v>797</v>
      </c>
    </row>
    <row r="5" spans="1:40" ht="17.25" customHeight="1" thickBot="1">
      <c r="A5" s="161"/>
      <c r="B5" s="161"/>
      <c r="C5" s="161"/>
      <c r="D5" s="161"/>
      <c r="E5" s="161"/>
      <c r="F5" s="161"/>
      <c r="G5" s="161"/>
      <c r="H5" s="161"/>
      <c r="I5" s="161"/>
      <c r="J5" s="161"/>
      <c r="K5" s="161"/>
      <c r="L5" s="161"/>
      <c r="M5" s="634" t="s">
        <v>719</v>
      </c>
      <c r="N5" s="113"/>
      <c r="O5" s="357">
        <f>1/O4</f>
        <v>0.01</v>
      </c>
      <c r="P5" s="113"/>
      <c r="Q5" s="113"/>
      <c r="R5" s="634" t="s">
        <v>456</v>
      </c>
      <c r="S5" s="461">
        <v>0.1</v>
      </c>
      <c r="T5" s="113"/>
      <c r="U5" s="113"/>
      <c r="V5" s="113"/>
      <c r="W5" s="113"/>
      <c r="X5" s="113"/>
      <c r="Y5" s="113"/>
      <c r="Z5" s="370"/>
      <c r="AA5" s="434" t="s">
        <v>334</v>
      </c>
      <c r="AB5" s="358"/>
      <c r="AC5" s="113"/>
      <c r="AD5" s="743"/>
      <c r="AE5" s="161"/>
      <c r="AK5" s="32" t="s">
        <v>201</v>
      </c>
      <c r="AL5" s="32" t="s">
        <v>798</v>
      </c>
    </row>
    <row r="6" spans="1:40" ht="17.25" customHeight="1">
      <c r="A6" s="161"/>
      <c r="B6" s="161"/>
      <c r="C6" s="161"/>
      <c r="D6" s="161"/>
      <c r="E6" s="161"/>
      <c r="F6" s="161"/>
      <c r="G6" s="161"/>
      <c r="H6" s="161"/>
      <c r="I6" s="161"/>
      <c r="J6" s="161"/>
      <c r="K6" s="161"/>
      <c r="L6" s="161"/>
      <c r="M6" s="113"/>
      <c r="N6" s="113"/>
      <c r="O6" s="113"/>
      <c r="P6" s="113"/>
      <c r="Q6" s="113"/>
      <c r="R6" s="113"/>
      <c r="S6" s="113"/>
      <c r="T6" s="359"/>
      <c r="U6" s="113"/>
      <c r="V6" s="635" t="s">
        <v>818</v>
      </c>
      <c r="W6" s="631">
        <f>AH2</f>
        <v>45024</v>
      </c>
      <c r="X6" s="113"/>
      <c r="Y6" s="113"/>
      <c r="Z6" s="370"/>
      <c r="AA6" s="113"/>
      <c r="AB6" s="358"/>
      <c r="AC6" s="113"/>
      <c r="AD6" s="743"/>
      <c r="AE6" s="161"/>
      <c r="AK6" s="32" t="s">
        <v>695</v>
      </c>
      <c r="AL6" s="32" t="s">
        <v>695</v>
      </c>
      <c r="AN6" t="str">
        <f>AA13</f>
        <v>REWARD-RISK RATIO</v>
      </c>
    </row>
    <row r="7" spans="1:40" ht="17.25" customHeight="1">
      <c r="A7" s="161"/>
      <c r="B7" s="161"/>
      <c r="C7" s="161"/>
      <c r="D7" s="161"/>
      <c r="E7" s="161"/>
      <c r="F7" s="161"/>
      <c r="G7" s="161"/>
      <c r="H7" s="161"/>
      <c r="I7" s="161"/>
      <c r="J7" s="161"/>
      <c r="K7" s="161"/>
      <c r="L7" s="161"/>
      <c r="M7" s="113"/>
      <c r="N7" s="113"/>
      <c r="O7" s="113"/>
      <c r="P7" s="113"/>
      <c r="Q7" s="113"/>
      <c r="R7" s="634" t="s">
        <v>462</v>
      </c>
      <c r="S7" s="568">
        <f>'MONTHLY REPORT'!J14*SETTINGS!S3</f>
        <v>542.71420000000001</v>
      </c>
      <c r="T7" s="113"/>
      <c r="U7" s="113"/>
      <c r="V7" s="630" t="s">
        <v>831</v>
      </c>
      <c r="W7" s="113"/>
      <c r="X7" s="113"/>
      <c r="Y7" s="113"/>
      <c r="Z7" s="113"/>
      <c r="AA7" s="113"/>
      <c r="AB7" s="358"/>
      <c r="AC7" s="113"/>
      <c r="AD7" s="741"/>
      <c r="AE7" s="161"/>
      <c r="AK7" s="32" t="s">
        <v>799</v>
      </c>
      <c r="AL7" s="32" t="s">
        <v>807</v>
      </c>
    </row>
    <row r="8" spans="1:40" ht="21.75" customHeight="1">
      <c r="A8" s="161"/>
      <c r="B8" s="161"/>
      <c r="C8" s="161"/>
      <c r="D8" s="161"/>
      <c r="E8" s="161"/>
      <c r="F8" s="161"/>
      <c r="G8" s="161"/>
      <c r="H8" s="161"/>
      <c r="I8" s="161"/>
      <c r="J8" s="161"/>
      <c r="K8" s="161"/>
      <c r="L8" s="161"/>
      <c r="M8" s="113"/>
      <c r="N8" s="113"/>
      <c r="O8" s="113"/>
      <c r="P8" s="113"/>
      <c r="Q8" s="113"/>
      <c r="R8" s="113"/>
      <c r="S8" s="113"/>
      <c r="T8" s="113"/>
      <c r="U8" s="113"/>
      <c r="V8" s="113"/>
      <c r="W8" s="113"/>
      <c r="X8" s="113"/>
      <c r="Y8" s="113"/>
      <c r="Z8" s="113"/>
      <c r="AA8" s="113"/>
      <c r="AB8" s="358"/>
      <c r="AC8" s="113"/>
      <c r="AD8" s="741"/>
      <c r="AE8" s="161"/>
      <c r="AK8" s="32" t="s">
        <v>800</v>
      </c>
      <c r="AL8" s="32" t="s">
        <v>808</v>
      </c>
    </row>
    <row r="9" spans="1:40" ht="21.95" customHeight="1">
      <c r="A9" s="161"/>
      <c r="B9" s="161"/>
      <c r="C9" s="161"/>
      <c r="D9" s="161"/>
      <c r="E9" s="161"/>
      <c r="F9" s="161"/>
      <c r="G9" s="161"/>
      <c r="H9" s="161"/>
      <c r="I9" s="161"/>
      <c r="J9" s="161"/>
      <c r="K9" s="161"/>
      <c r="L9" s="161"/>
      <c r="M9" s="636" t="s">
        <v>333</v>
      </c>
      <c r="N9" s="637"/>
      <c r="O9" s="637"/>
      <c r="P9" s="637"/>
      <c r="Q9" s="161"/>
      <c r="R9" s="636" t="s">
        <v>335</v>
      </c>
      <c r="S9" s="638"/>
      <c r="T9" s="161"/>
      <c r="U9" s="161"/>
      <c r="V9" s="161"/>
      <c r="W9" s="161"/>
      <c r="X9" s="161"/>
      <c r="Y9" s="161"/>
      <c r="Z9" s="636" t="s">
        <v>463</v>
      </c>
      <c r="AA9" s="161"/>
      <c r="AB9" s="361"/>
      <c r="AC9" s="161"/>
      <c r="AD9" s="360"/>
      <c r="AE9" s="161"/>
      <c r="AK9" s="32" t="s">
        <v>801</v>
      </c>
      <c r="AL9" s="32" t="s">
        <v>801</v>
      </c>
    </row>
    <row r="10" spans="1:40" ht="21.95" customHeight="1">
      <c r="A10" s="161"/>
      <c r="B10" s="161"/>
      <c r="C10" s="161"/>
      <c r="D10" s="161"/>
      <c r="E10" s="161"/>
      <c r="F10" s="161"/>
      <c r="G10" s="161"/>
      <c r="H10" s="161"/>
      <c r="I10" s="161"/>
      <c r="J10" s="161"/>
      <c r="K10" s="161"/>
      <c r="L10" s="161"/>
      <c r="M10" s="667" t="s">
        <v>286</v>
      </c>
      <c r="N10" s="667" t="s">
        <v>321</v>
      </c>
      <c r="O10" s="667" t="s">
        <v>287</v>
      </c>
      <c r="P10" s="667" t="s">
        <v>321</v>
      </c>
      <c r="Q10" s="362"/>
      <c r="R10" s="667" t="s">
        <v>337</v>
      </c>
      <c r="S10" s="666" t="s">
        <v>338</v>
      </c>
      <c r="T10" s="113"/>
      <c r="U10" s="113"/>
      <c r="V10" s="113"/>
      <c r="W10" s="113"/>
      <c r="X10" s="113"/>
      <c r="Y10" s="161"/>
      <c r="Z10" s="666" t="s">
        <v>464</v>
      </c>
      <c r="AA10" s="453"/>
      <c r="AB10" s="358"/>
      <c r="AC10" s="113"/>
      <c r="AD10" s="744"/>
      <c r="AE10" s="161"/>
      <c r="AK10" s="32" t="s">
        <v>802</v>
      </c>
      <c r="AL10" s="32" t="s">
        <v>802</v>
      </c>
    </row>
    <row r="11" spans="1:40" ht="9" hidden="1" customHeight="1">
      <c r="A11" s="161"/>
      <c r="B11" s="161"/>
      <c r="C11" s="161"/>
      <c r="D11" s="161"/>
      <c r="E11" s="161"/>
      <c r="F11" s="161"/>
      <c r="G11" s="161"/>
      <c r="H11" s="161"/>
      <c r="I11" s="161"/>
      <c r="J11" s="161"/>
      <c r="K11" s="161"/>
      <c r="L11" s="161"/>
      <c r="M11" s="363"/>
      <c r="N11" s="363"/>
      <c r="O11" s="363"/>
      <c r="P11" s="363"/>
      <c r="Q11" s="161"/>
      <c r="R11" s="364" t="s">
        <v>336</v>
      </c>
      <c r="S11" s="365"/>
      <c r="T11" s="161"/>
      <c r="U11" s="161"/>
      <c r="V11" s="161"/>
      <c r="W11" s="161"/>
      <c r="X11" s="161"/>
      <c r="Y11" s="161"/>
      <c r="Z11" s="113"/>
      <c r="AA11" s="113" t="s">
        <v>443</v>
      </c>
      <c r="AB11" s="113"/>
      <c r="AC11" s="113"/>
      <c r="AD11" s="741"/>
      <c r="AE11" s="161">
        <v>1E-4</v>
      </c>
      <c r="AK11" s="32" t="s">
        <v>803</v>
      </c>
      <c r="AL11" s="32" t="s">
        <v>809</v>
      </c>
    </row>
    <row r="12" spans="1:40" ht="18" customHeight="1">
      <c r="A12" s="161"/>
      <c r="B12" s="161"/>
      <c r="C12" s="161"/>
      <c r="D12" s="161"/>
      <c r="E12" s="161"/>
      <c r="F12" s="161"/>
      <c r="G12" s="161"/>
      <c r="H12" s="161"/>
      <c r="I12" s="161"/>
      <c r="J12" s="161"/>
      <c r="K12" s="161"/>
      <c r="L12" s="161"/>
      <c r="M12" s="639" t="s">
        <v>50</v>
      </c>
      <c r="N12" s="471">
        <v>-1</v>
      </c>
      <c r="O12" s="642" t="s">
        <v>46</v>
      </c>
      <c r="P12" s="471">
        <v>-1</v>
      </c>
      <c r="Q12" s="161"/>
      <c r="R12" s="645" t="s">
        <v>157</v>
      </c>
      <c r="S12" s="812" t="s">
        <v>363</v>
      </c>
      <c r="T12" s="813"/>
      <c r="U12" s="813"/>
      <c r="V12" s="813"/>
      <c r="W12" s="813"/>
      <c r="X12" s="813"/>
      <c r="Y12" s="366"/>
      <c r="Z12" s="113"/>
      <c r="AA12" s="113"/>
      <c r="AB12" s="454"/>
      <c r="AC12" s="454"/>
      <c r="AD12" s="741"/>
      <c r="AE12" s="161"/>
      <c r="AK12" s="32" t="s">
        <v>804</v>
      </c>
      <c r="AL12" s="32" t="s">
        <v>809</v>
      </c>
    </row>
    <row r="13" spans="1:40" ht="18" customHeight="1">
      <c r="A13" s="161"/>
      <c r="B13" s="161"/>
      <c r="C13" s="161"/>
      <c r="D13" s="161"/>
      <c r="E13" s="161"/>
      <c r="F13" s="161"/>
      <c r="G13" s="161"/>
      <c r="H13" s="161"/>
      <c r="I13" s="161"/>
      <c r="J13" s="161"/>
      <c r="K13" s="161"/>
      <c r="L13" s="161"/>
      <c r="M13" s="640" t="s">
        <v>52</v>
      </c>
      <c r="N13" s="470">
        <v>-1</v>
      </c>
      <c r="O13" s="643" t="s">
        <v>47</v>
      </c>
      <c r="P13" s="470">
        <v>-1</v>
      </c>
      <c r="Q13" s="161"/>
      <c r="R13" s="645" t="s">
        <v>158</v>
      </c>
      <c r="S13" s="812" t="s">
        <v>363</v>
      </c>
      <c r="T13" s="813"/>
      <c r="U13" s="813"/>
      <c r="V13" s="813"/>
      <c r="W13" s="813"/>
      <c r="X13" s="813"/>
      <c r="Y13" s="366"/>
      <c r="Z13" s="455" t="s">
        <v>465</v>
      </c>
      <c r="AA13" s="745" t="s">
        <v>460</v>
      </c>
      <c r="AB13" s="454"/>
      <c r="AC13" s="454"/>
      <c r="AD13" s="741"/>
      <c r="AE13" s="161"/>
      <c r="AK13" s="32" t="s">
        <v>805</v>
      </c>
      <c r="AL13" s="32" t="s">
        <v>810</v>
      </c>
    </row>
    <row r="14" spans="1:40" ht="18" customHeight="1">
      <c r="A14" s="161"/>
      <c r="B14" s="161"/>
      <c r="C14" s="161"/>
      <c r="D14" s="161"/>
      <c r="E14" s="161"/>
      <c r="F14" s="161"/>
      <c r="G14" s="161"/>
      <c r="H14" s="161"/>
      <c r="I14" s="161"/>
      <c r="J14" s="161"/>
      <c r="K14" s="161"/>
      <c r="L14" s="161"/>
      <c r="M14" s="640" t="s">
        <v>51</v>
      </c>
      <c r="N14" s="470">
        <v>-1</v>
      </c>
      <c r="O14" s="643" t="s">
        <v>48</v>
      </c>
      <c r="P14" s="470">
        <v>-1</v>
      </c>
      <c r="Q14" s="161"/>
      <c r="R14" s="646" t="s">
        <v>18</v>
      </c>
      <c r="S14" s="812" t="s">
        <v>363</v>
      </c>
      <c r="T14" s="813"/>
      <c r="U14" s="813"/>
      <c r="V14" s="813"/>
      <c r="W14" s="813"/>
      <c r="X14" s="813"/>
      <c r="Y14" s="366"/>
      <c r="Z14" s="113"/>
      <c r="AA14" s="113"/>
      <c r="AB14" s="454"/>
      <c r="AC14" s="454"/>
      <c r="AD14" s="741"/>
      <c r="AE14" s="161"/>
      <c r="AG14" s="32"/>
      <c r="AK14" s="32" t="s">
        <v>806</v>
      </c>
      <c r="AL14" s="32" t="s">
        <v>689</v>
      </c>
    </row>
    <row r="15" spans="1:40" ht="18" customHeight="1" thickBot="1">
      <c r="A15" s="161"/>
      <c r="B15" s="161"/>
      <c r="C15" s="161"/>
      <c r="D15" s="161"/>
      <c r="E15" s="161"/>
      <c r="F15" s="161"/>
      <c r="G15" s="161"/>
      <c r="H15" s="161"/>
      <c r="I15" s="161"/>
      <c r="J15" s="161"/>
      <c r="K15" s="161"/>
      <c r="L15" s="161"/>
      <c r="M15" s="640" t="s">
        <v>56</v>
      </c>
      <c r="N15" s="470">
        <v>1</v>
      </c>
      <c r="O15" s="643" t="s">
        <v>49</v>
      </c>
      <c r="P15" s="470">
        <v>-1</v>
      </c>
      <c r="Q15" s="161"/>
      <c r="R15" s="646" t="s">
        <v>156</v>
      </c>
      <c r="S15" s="812" t="s">
        <v>363</v>
      </c>
      <c r="T15" s="813"/>
      <c r="U15" s="813"/>
      <c r="V15" s="813"/>
      <c r="W15" s="813"/>
      <c r="X15" s="813"/>
      <c r="Y15" s="366"/>
      <c r="Z15" s="453" t="s">
        <v>477</v>
      </c>
      <c r="AA15" s="113"/>
      <c r="AB15" s="454"/>
      <c r="AC15" s="454"/>
      <c r="AD15" s="741"/>
      <c r="AE15" s="161"/>
      <c r="AG15" s="32"/>
    </row>
    <row r="16" spans="1:40" ht="18" customHeight="1" thickBot="1">
      <c r="A16" s="161"/>
      <c r="B16" s="161"/>
      <c r="C16" s="161"/>
      <c r="D16" s="161"/>
      <c r="E16" s="161"/>
      <c r="F16" s="161"/>
      <c r="G16" s="161"/>
      <c r="H16" s="161"/>
      <c r="I16" s="161"/>
      <c r="J16" s="161"/>
      <c r="K16" s="161"/>
      <c r="L16" s="161"/>
      <c r="M16" s="640" t="s">
        <v>53</v>
      </c>
      <c r="N16" s="470">
        <v>-1</v>
      </c>
      <c r="O16" s="643" t="s">
        <v>54</v>
      </c>
      <c r="P16" s="470">
        <v>-2</v>
      </c>
      <c r="Q16" s="161"/>
      <c r="R16" s="645" t="s">
        <v>159</v>
      </c>
      <c r="S16" s="812" t="s">
        <v>363</v>
      </c>
      <c r="T16" s="813"/>
      <c r="U16" s="813"/>
      <c r="V16" s="813"/>
      <c r="W16" s="813"/>
      <c r="X16" s="813"/>
      <c r="Y16" s="366"/>
      <c r="Z16" s="634" t="s">
        <v>822</v>
      </c>
      <c r="AA16" s="460">
        <v>2</v>
      </c>
      <c r="AB16" s="454"/>
      <c r="AC16" s="454"/>
      <c r="AD16" s="113"/>
      <c r="AE16" s="161"/>
      <c r="AG16" s="32"/>
    </row>
    <row r="17" spans="1:56" ht="18" customHeight="1" thickBot="1">
      <c r="A17" s="161"/>
      <c r="B17" s="161"/>
      <c r="C17" s="161"/>
      <c r="D17" s="161"/>
      <c r="E17" s="161"/>
      <c r="F17" s="161"/>
      <c r="G17" s="161"/>
      <c r="H17" s="161"/>
      <c r="I17" s="161"/>
      <c r="J17" s="161"/>
      <c r="K17" s="161"/>
      <c r="L17" s="161"/>
      <c r="M17" s="640"/>
      <c r="N17" s="470"/>
      <c r="O17" s="643" t="s">
        <v>55</v>
      </c>
      <c r="P17" s="470">
        <v>-1</v>
      </c>
      <c r="Q17" s="161"/>
      <c r="R17" s="645" t="s">
        <v>826</v>
      </c>
      <c r="S17" s="812" t="s">
        <v>363</v>
      </c>
      <c r="T17" s="813"/>
      <c r="U17" s="813"/>
      <c r="V17" s="813"/>
      <c r="W17" s="813"/>
      <c r="X17" s="813"/>
      <c r="Y17" s="366"/>
      <c r="Z17" s="634" t="s">
        <v>823</v>
      </c>
      <c r="AA17" s="461">
        <v>0.5</v>
      </c>
      <c r="AB17" s="454"/>
      <c r="AC17" s="454"/>
      <c r="AD17" s="113"/>
      <c r="AE17" s="161"/>
      <c r="AG17" s="32"/>
    </row>
    <row r="18" spans="1:56" ht="18" customHeight="1">
      <c r="A18" s="161"/>
      <c r="B18" s="161"/>
      <c r="C18" s="161"/>
      <c r="D18" s="161"/>
      <c r="E18" s="161"/>
      <c r="F18" s="161"/>
      <c r="G18" s="161"/>
      <c r="H18" s="161"/>
      <c r="I18" s="161"/>
      <c r="J18" s="161"/>
      <c r="K18" s="161"/>
      <c r="L18" s="161"/>
      <c r="M18" s="640"/>
      <c r="N18" s="470"/>
      <c r="O18" s="643" t="s">
        <v>113</v>
      </c>
      <c r="P18" s="470">
        <v>1</v>
      </c>
      <c r="Q18" s="161"/>
      <c r="R18" s="645" t="s">
        <v>827</v>
      </c>
      <c r="S18" s="812" t="s">
        <v>363</v>
      </c>
      <c r="T18" s="813"/>
      <c r="U18" s="813"/>
      <c r="V18" s="813"/>
      <c r="W18" s="813"/>
      <c r="X18" s="813"/>
      <c r="Y18" s="366"/>
      <c r="Z18" s="456" t="str">
        <f>"   You need to have a win rate% of more than "&amp;TEXT(AC19,"0%")&amp;" to be profitable."</f>
        <v xml:space="preserve">   You need to have a win rate% of more than 33% to be profitable.</v>
      </c>
      <c r="AA18" s="113"/>
      <c r="AB18" s="454"/>
      <c r="AC18" s="454"/>
      <c r="AD18" s="113"/>
      <c r="AE18" s="161"/>
      <c r="AG18" s="32"/>
    </row>
    <row r="19" spans="1:56" ht="18" customHeight="1">
      <c r="A19" s="161"/>
      <c r="B19" s="161"/>
      <c r="C19" s="161"/>
      <c r="D19" s="161"/>
      <c r="E19" s="161"/>
      <c r="F19" s="161"/>
      <c r="G19" s="161"/>
      <c r="H19" s="161"/>
      <c r="I19" s="161"/>
      <c r="J19" s="161"/>
      <c r="K19" s="161"/>
      <c r="L19" s="161"/>
      <c r="M19" s="641"/>
      <c r="N19" s="472"/>
      <c r="O19" s="644" t="s">
        <v>160</v>
      </c>
      <c r="P19" s="472">
        <v>-1</v>
      </c>
      <c r="Q19" s="161"/>
      <c r="R19" s="645" t="s">
        <v>828</v>
      </c>
      <c r="S19" s="812" t="s">
        <v>363</v>
      </c>
      <c r="T19" s="813"/>
      <c r="U19" s="813"/>
      <c r="V19" s="813"/>
      <c r="W19" s="813"/>
      <c r="X19" s="813"/>
      <c r="Y19" s="366"/>
      <c r="Z19" s="457" t="s">
        <v>478</v>
      </c>
      <c r="AA19" s="135"/>
      <c r="AB19" s="454"/>
      <c r="AC19" s="458">
        <f>1/(1+(AA16/1))</f>
        <v>0.33333333333333331</v>
      </c>
      <c r="AD19" s="113"/>
      <c r="AE19" s="161"/>
      <c r="AG19" s="32"/>
    </row>
    <row r="20" spans="1:56" ht="18" customHeight="1">
      <c r="A20" s="161"/>
      <c r="B20" s="161"/>
      <c r="C20" s="161"/>
      <c r="D20" s="161"/>
      <c r="E20" s="161"/>
      <c r="F20" s="161"/>
      <c r="G20" s="161"/>
      <c r="H20" s="161"/>
      <c r="I20" s="161"/>
      <c r="J20" s="161"/>
      <c r="K20" s="161"/>
      <c r="L20" s="161"/>
      <c r="M20" s="625"/>
      <c r="N20" s="113"/>
      <c r="O20" s="113"/>
      <c r="P20" s="113"/>
      <c r="Q20" s="161"/>
      <c r="R20" s="645" t="s">
        <v>829</v>
      </c>
      <c r="S20" s="812" t="s">
        <v>363</v>
      </c>
      <c r="T20" s="813"/>
      <c r="U20" s="813"/>
      <c r="V20" s="813"/>
      <c r="W20" s="813"/>
      <c r="X20" s="813"/>
      <c r="Y20" s="366"/>
      <c r="Z20" s="459" t="s">
        <v>479</v>
      </c>
      <c r="AA20" s="113"/>
      <c r="AB20" s="454"/>
      <c r="AC20" s="454"/>
      <c r="AD20" s="113"/>
      <c r="AE20" s="161"/>
      <c r="AG20" s="32"/>
    </row>
    <row r="21" spans="1:56" ht="18" customHeight="1">
      <c r="A21" s="161"/>
      <c r="B21" s="161"/>
      <c r="C21" s="161"/>
      <c r="D21" s="161"/>
      <c r="E21" s="161"/>
      <c r="F21" s="161"/>
      <c r="G21" s="161"/>
      <c r="H21" s="161"/>
      <c r="I21" s="161"/>
      <c r="J21" s="161"/>
      <c r="K21" s="161"/>
      <c r="L21" s="161"/>
      <c r="M21" s="814" t="s">
        <v>817</v>
      </c>
      <c r="N21" s="814"/>
      <c r="O21" s="814"/>
      <c r="P21" s="814"/>
      <c r="Q21" s="161"/>
      <c r="R21" s="645" t="s">
        <v>830</v>
      </c>
      <c r="S21" s="812" t="s">
        <v>363</v>
      </c>
      <c r="T21" s="813"/>
      <c r="U21" s="813"/>
      <c r="V21" s="813"/>
      <c r="W21" s="813"/>
      <c r="X21" s="813"/>
      <c r="Y21" s="366"/>
      <c r="Z21" s="459" t="s">
        <v>480</v>
      </c>
      <c r="AA21" s="113"/>
      <c r="AB21" s="454"/>
      <c r="AC21" s="454"/>
      <c r="AD21" s="113"/>
      <c r="AE21" s="161"/>
    </row>
    <row r="22" spans="1:56" ht="18" customHeight="1">
      <c r="A22" s="161"/>
      <c r="B22" s="161"/>
      <c r="C22" s="161"/>
      <c r="D22" s="161"/>
      <c r="E22" s="161"/>
      <c r="F22" s="161"/>
      <c r="G22" s="161"/>
      <c r="H22" s="161"/>
      <c r="I22" s="161"/>
      <c r="J22" s="161"/>
      <c r="K22" s="161"/>
      <c r="L22" s="161"/>
      <c r="M22" s="814"/>
      <c r="N22" s="814"/>
      <c r="O22" s="814"/>
      <c r="P22" s="814"/>
      <c r="Q22" s="161"/>
      <c r="R22" s="646"/>
      <c r="S22" s="812"/>
      <c r="T22" s="813"/>
      <c r="U22" s="813"/>
      <c r="V22" s="813"/>
      <c r="W22" s="813"/>
      <c r="X22" s="813"/>
      <c r="Y22" s="161"/>
      <c r="Z22" s="113"/>
      <c r="AA22" s="113"/>
      <c r="AB22" s="113"/>
      <c r="AC22" s="113"/>
      <c r="AD22" s="113"/>
      <c r="AE22" s="161"/>
    </row>
    <row r="23" spans="1:56" ht="18" customHeight="1">
      <c r="A23" s="161"/>
      <c r="B23" s="161"/>
      <c r="C23" s="161"/>
      <c r="D23" s="161"/>
      <c r="E23" s="161"/>
      <c r="F23" s="161"/>
      <c r="G23" s="161"/>
      <c r="H23" s="161"/>
      <c r="I23" s="161"/>
      <c r="J23" s="161"/>
      <c r="K23" s="161"/>
      <c r="L23" s="161"/>
      <c r="M23" s="113"/>
      <c r="N23" s="113"/>
      <c r="O23" s="113"/>
      <c r="P23" s="113"/>
      <c r="Q23" s="161"/>
      <c r="R23" s="646"/>
      <c r="S23" s="812"/>
      <c r="T23" s="813"/>
      <c r="U23" s="813"/>
      <c r="V23" s="813"/>
      <c r="W23" s="813"/>
      <c r="X23" s="813"/>
      <c r="Y23" s="161"/>
      <c r="Z23" s="113"/>
      <c r="AA23" s="113"/>
      <c r="AB23" s="113"/>
      <c r="AC23" s="113"/>
      <c r="AD23" s="113"/>
      <c r="AE23" s="161"/>
      <c r="AW23" t="str">
        <f>IF(AG23=0,"",AP23+AQ23+AE23)</f>
        <v/>
      </c>
      <c r="AX23">
        <f>IFERROR((AJ23*AR23)-((1-AJ23)*-AS23),0)</f>
        <v>0</v>
      </c>
      <c r="AY23" t="e">
        <f>LARGE($AW$23:$AW$23,AF23)</f>
        <v>#NUM!</v>
      </c>
      <c r="AZ23" t="e">
        <f>MATCH(AY23,$AW$23:$AW$23,0)</f>
        <v>#NUM!</v>
      </c>
      <c r="BA23" t="e">
        <f>INDEX($R$11:$R$21,AZ23)</f>
        <v>#NUM!</v>
      </c>
      <c r="BB23" t="e">
        <f>INDEX('TRADE LOG'!$EI$2:$EI$12,AZ23)</f>
        <v>#NUM!</v>
      </c>
      <c r="BC23" t="e">
        <f>INDEX('TRADE LOG'!$DU$2:$DU$12,AZ23)</f>
        <v>#NUM!</v>
      </c>
      <c r="BD23" t="e">
        <f>INDEX('TRADE LOG'!$DR$2:$DR$12,AZ23)</f>
        <v>#NUM!</v>
      </c>
    </row>
    <row r="24" spans="1:56" ht="18" customHeight="1">
      <c r="A24" s="161"/>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G24">
        <f>AH24+AI24</f>
        <v>55</v>
      </c>
      <c r="AH24">
        <f>'TRADE STATISTICS'!BI4</f>
        <v>25</v>
      </c>
      <c r="AI24">
        <f>'TRADE STATISTICS'!BJ4</f>
        <v>30</v>
      </c>
      <c r="AJ24">
        <f>AH24/AG24</f>
        <v>0.45454545454545453</v>
      </c>
      <c r="AK24">
        <f>DASHBOARD!I37</f>
        <v>6.8203044749986161E-2</v>
      </c>
      <c r="AL24">
        <f>-DASHBOARD!I38</f>
        <v>4.4519008585946623E-2</v>
      </c>
      <c r="AP24">
        <f>'MONTHLY REPORT'!AD6</f>
        <v>13805.110000000002</v>
      </c>
      <c r="AQ24">
        <f>'MONTHLY REPORT'!AE6</f>
        <v>-9533.6899999999969</v>
      </c>
      <c r="AR24">
        <f>AP24/AH24</f>
        <v>552.20440000000008</v>
      </c>
      <c r="AS24">
        <f>AQ24/AI24</f>
        <v>-317.78966666666656</v>
      </c>
      <c r="AT24">
        <f>IFERROR(AR24/(-AS24),"")</f>
        <v>1.7376411441949557</v>
      </c>
      <c r="AW24">
        <f>IF(AG24=0,"",AP24+AQ24+AE24)</f>
        <v>4271.4200000000055</v>
      </c>
      <c r="AX24">
        <f>IFERROR((AJ24*AR24)-((1-AJ24)*-AS24),0)</f>
        <v>77.662181818181921</v>
      </c>
    </row>
    <row r="25" spans="1:56" ht="18" customHeight="1">
      <c r="A25" s="161"/>
      <c r="B25" s="161"/>
      <c r="C25" s="161"/>
      <c r="D25" s="161"/>
      <c r="E25" s="161"/>
      <c r="F25" s="161"/>
      <c r="G25" s="161"/>
      <c r="H25" s="161"/>
      <c r="I25" s="161"/>
      <c r="J25" s="161"/>
      <c r="K25" s="161"/>
      <c r="L25" s="161"/>
      <c r="M25" s="647" t="s">
        <v>531</v>
      </c>
      <c r="N25" s="161"/>
      <c r="O25" s="161"/>
      <c r="P25" s="161"/>
      <c r="Q25" s="161"/>
      <c r="R25" s="161"/>
      <c r="S25" s="161"/>
      <c r="T25" s="161"/>
      <c r="U25" s="161"/>
      <c r="V25" s="161"/>
      <c r="W25" s="161"/>
      <c r="X25" s="161"/>
      <c r="Y25" s="161"/>
      <c r="Z25" s="636" t="s">
        <v>685</v>
      </c>
      <c r="AA25" s="161"/>
      <c r="AB25" s="161"/>
      <c r="AC25" s="161"/>
      <c r="AD25" s="161"/>
      <c r="AE25" s="161"/>
    </row>
    <row r="26" spans="1:56" ht="9" customHeight="1">
      <c r="A26" s="16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t="s">
        <v>536</v>
      </c>
    </row>
    <row r="27" spans="1:56" ht="14.25" customHeight="1" thickBot="1">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667" t="s">
        <v>530</v>
      </c>
      <c r="AA27" s="666"/>
      <c r="AB27" s="666" t="s">
        <v>307</v>
      </c>
      <c r="AC27" s="668" t="s">
        <v>529</v>
      </c>
      <c r="AD27" s="113"/>
      <c r="AE27" s="161"/>
      <c r="AF27" t="s">
        <v>537</v>
      </c>
    </row>
    <row r="28" spans="1:56" ht="15.75" thickBot="1">
      <c r="A28" s="161"/>
      <c r="B28" s="161"/>
      <c r="C28" s="161"/>
      <c r="D28" s="161"/>
      <c r="E28" s="161"/>
      <c r="F28" s="161"/>
      <c r="G28" s="161"/>
      <c r="H28" s="161"/>
      <c r="I28" s="161"/>
      <c r="J28" s="161"/>
      <c r="K28" s="161"/>
      <c r="L28" s="161"/>
      <c r="M28" s="469" t="s">
        <v>473</v>
      </c>
      <c r="N28" s="362"/>
      <c r="O28" s="362"/>
      <c r="P28" s="362" t="s">
        <v>482</v>
      </c>
      <c r="Q28" s="362"/>
      <c r="R28" s="362"/>
      <c r="S28" s="362"/>
      <c r="T28" s="362"/>
      <c r="U28" s="362"/>
      <c r="V28" s="362"/>
      <c r="W28" s="362"/>
      <c r="X28" s="362"/>
      <c r="Y28" s="362"/>
      <c r="Z28" s="462" t="s">
        <v>535</v>
      </c>
      <c r="AA28" s="113"/>
      <c r="AB28" s="466">
        <v>100000</v>
      </c>
      <c r="AC28" s="467">
        <f>O4</f>
        <v>100</v>
      </c>
      <c r="AD28" s="113"/>
      <c r="AE28" s="161"/>
      <c r="AF28" t="s">
        <v>538</v>
      </c>
    </row>
    <row r="29" spans="1:56" ht="15.75" thickBot="1">
      <c r="A29" s="161"/>
      <c r="B29" s="161"/>
      <c r="C29" s="161"/>
      <c r="D29" s="161"/>
      <c r="E29" s="161"/>
      <c r="F29" s="161"/>
      <c r="G29" s="161"/>
      <c r="H29" s="161"/>
      <c r="I29" s="161"/>
      <c r="J29" s="161"/>
      <c r="K29" s="161"/>
      <c r="L29" s="161"/>
      <c r="M29" s="362" t="s">
        <v>491</v>
      </c>
      <c r="N29" s="362"/>
      <c r="O29" s="362"/>
      <c r="P29" s="362" t="s">
        <v>492</v>
      </c>
      <c r="Q29" s="362"/>
      <c r="R29" s="362"/>
      <c r="S29" s="362"/>
      <c r="T29" s="362"/>
      <c r="U29" s="362"/>
      <c r="V29" s="362"/>
      <c r="W29" s="362"/>
      <c r="X29" s="362"/>
      <c r="Y29" s="362"/>
      <c r="Z29" s="462" t="s">
        <v>534</v>
      </c>
      <c r="AA29" s="113"/>
      <c r="AB29" s="468">
        <v>1</v>
      </c>
      <c r="AC29" s="467">
        <v>1</v>
      </c>
      <c r="AD29" s="113"/>
      <c r="AE29" s="161"/>
      <c r="AF29" t="s">
        <v>539</v>
      </c>
    </row>
    <row r="30" spans="1:56" ht="13.5" customHeight="1" thickBot="1">
      <c r="A30" s="161"/>
      <c r="B30" s="161"/>
      <c r="C30" s="161"/>
      <c r="D30" s="161"/>
      <c r="E30" s="161"/>
      <c r="F30" s="161"/>
      <c r="G30" s="161"/>
      <c r="H30" s="161"/>
      <c r="I30" s="161"/>
      <c r="J30" s="161"/>
      <c r="K30" s="161"/>
      <c r="L30" s="161"/>
      <c r="M30" s="362"/>
      <c r="N30" s="362"/>
      <c r="O30" s="362"/>
      <c r="P30" s="362"/>
      <c r="Q30" s="362"/>
      <c r="R30" s="362"/>
      <c r="S30" s="362"/>
      <c r="T30" s="362"/>
      <c r="U30" s="362"/>
      <c r="V30" s="362"/>
      <c r="W30" s="362"/>
      <c r="X30" s="362"/>
      <c r="Y30" s="362"/>
      <c r="Z30" s="462" t="s">
        <v>533</v>
      </c>
      <c r="AA30" s="463"/>
      <c r="AB30" s="468">
        <v>100</v>
      </c>
      <c r="AC30" s="467">
        <v>1</v>
      </c>
      <c r="AD30" s="113"/>
      <c r="AE30" s="161"/>
      <c r="AF30" t="s">
        <v>540</v>
      </c>
    </row>
    <row r="31" spans="1:56">
      <c r="A31" s="161"/>
      <c r="B31" s="161"/>
      <c r="C31" s="161"/>
      <c r="D31" s="161"/>
      <c r="E31" s="161"/>
      <c r="F31" s="161"/>
      <c r="G31" s="161"/>
      <c r="H31" s="161"/>
      <c r="I31" s="161"/>
      <c r="J31" s="161"/>
      <c r="K31" s="161"/>
      <c r="L31" s="161"/>
      <c r="M31" s="469" t="s">
        <v>483</v>
      </c>
      <c r="N31" s="362"/>
      <c r="O31" s="362"/>
      <c r="P31" s="362" t="s">
        <v>484</v>
      </c>
      <c r="Q31" s="362"/>
      <c r="R31" s="362"/>
      <c r="S31" s="362"/>
      <c r="T31" s="362"/>
      <c r="U31" s="362"/>
      <c r="V31" s="362"/>
      <c r="W31" s="362"/>
      <c r="X31" s="362"/>
      <c r="Y31" s="362"/>
      <c r="Z31" s="462"/>
      <c r="AA31" s="463"/>
      <c r="AB31" s="379"/>
      <c r="AC31" s="379"/>
      <c r="AD31" s="113"/>
      <c r="AE31" s="161"/>
      <c r="AF31" t="s">
        <v>541</v>
      </c>
    </row>
    <row r="32" spans="1:56">
      <c r="A32" s="161"/>
      <c r="B32" s="161"/>
      <c r="C32" s="161"/>
      <c r="D32" s="161"/>
      <c r="E32" s="161"/>
      <c r="F32" s="161"/>
      <c r="G32" s="161"/>
      <c r="H32" s="161"/>
      <c r="I32" s="161"/>
      <c r="J32" s="161"/>
      <c r="K32" s="161"/>
      <c r="L32" s="161"/>
      <c r="M32" s="362" t="s">
        <v>490</v>
      </c>
      <c r="N32" s="362"/>
      <c r="O32" s="362"/>
      <c r="P32" s="362" t="s">
        <v>493</v>
      </c>
      <c r="Q32" s="362"/>
      <c r="R32" s="362"/>
      <c r="S32" s="362"/>
      <c r="T32" s="362"/>
      <c r="U32" s="362"/>
      <c r="V32" s="362"/>
      <c r="W32" s="362"/>
      <c r="X32" s="362"/>
      <c r="Y32" s="362"/>
      <c r="Z32" s="464" t="s">
        <v>744</v>
      </c>
      <c r="AA32" s="463"/>
      <c r="AB32" s="463"/>
      <c r="AC32" s="113"/>
      <c r="AD32" s="113"/>
      <c r="AE32" s="161"/>
      <c r="AF32" t="s">
        <v>542</v>
      </c>
    </row>
    <row r="33" spans="1:32">
      <c r="A33" s="161"/>
      <c r="B33" s="161"/>
      <c r="C33" s="161"/>
      <c r="D33" s="161"/>
      <c r="E33" s="161"/>
      <c r="F33" s="161"/>
      <c r="G33" s="161"/>
      <c r="H33" s="161"/>
      <c r="I33" s="161"/>
      <c r="J33" s="161"/>
      <c r="K33" s="161"/>
      <c r="L33" s="161"/>
      <c r="M33" s="362"/>
      <c r="N33" s="362"/>
      <c r="O33" s="362"/>
      <c r="P33" s="362" t="s">
        <v>494</v>
      </c>
      <c r="Q33" s="362"/>
      <c r="R33" s="362"/>
      <c r="S33" s="362"/>
      <c r="T33" s="362"/>
      <c r="U33" s="362"/>
      <c r="V33" s="362"/>
      <c r="W33" s="362"/>
      <c r="X33" s="362"/>
      <c r="Y33" s="362"/>
      <c r="Z33" s="464" t="s">
        <v>532</v>
      </c>
      <c r="AA33" s="463"/>
      <c r="AB33" s="463"/>
      <c r="AC33" s="113"/>
      <c r="AD33" s="113"/>
      <c r="AE33" s="161"/>
      <c r="AF33" t="s">
        <v>543</v>
      </c>
    </row>
    <row r="34" spans="1:32">
      <c r="A34" s="161"/>
      <c r="B34" s="161"/>
      <c r="C34" s="161"/>
      <c r="D34" s="161"/>
      <c r="E34" s="161"/>
      <c r="F34" s="161"/>
      <c r="G34" s="161"/>
      <c r="H34" s="161"/>
      <c r="I34" s="161"/>
      <c r="J34" s="161"/>
      <c r="K34" s="161"/>
      <c r="L34" s="161"/>
      <c r="M34" s="362"/>
      <c r="N34" s="362"/>
      <c r="O34" s="362"/>
      <c r="P34" s="362"/>
      <c r="Q34" s="362"/>
      <c r="R34" s="362"/>
      <c r="S34" s="362"/>
      <c r="T34" s="362"/>
      <c r="U34" s="362"/>
      <c r="V34" s="362"/>
      <c r="W34" s="362"/>
      <c r="X34" s="362"/>
      <c r="Y34" s="362"/>
      <c r="Z34" s="464" t="s">
        <v>745</v>
      </c>
      <c r="AA34" s="463"/>
      <c r="AB34" s="463"/>
      <c r="AC34" s="113"/>
      <c r="AD34" s="113"/>
      <c r="AE34" s="161"/>
      <c r="AF34" t="s">
        <v>544</v>
      </c>
    </row>
    <row r="35" spans="1:32">
      <c r="A35" s="161"/>
      <c r="B35" s="161"/>
      <c r="C35" s="161"/>
      <c r="D35" s="161"/>
      <c r="E35" s="161"/>
      <c r="F35" s="161"/>
      <c r="G35" s="161"/>
      <c r="H35" s="161"/>
      <c r="I35" s="161"/>
      <c r="J35" s="161"/>
      <c r="K35" s="161"/>
      <c r="L35" s="161"/>
      <c r="M35" s="469" t="s">
        <v>488</v>
      </c>
      <c r="N35" s="362"/>
      <c r="O35" s="362"/>
      <c r="P35" s="362" t="s">
        <v>485</v>
      </c>
      <c r="Q35" s="362"/>
      <c r="R35" s="362"/>
      <c r="S35" s="362"/>
      <c r="T35" s="362"/>
      <c r="U35" s="362"/>
      <c r="V35" s="362"/>
      <c r="W35" s="362"/>
      <c r="X35" s="362"/>
      <c r="Y35" s="362"/>
      <c r="Z35" s="464" t="s">
        <v>688</v>
      </c>
      <c r="AA35" s="463"/>
      <c r="AB35" s="463"/>
      <c r="AC35" s="113"/>
      <c r="AD35" s="113"/>
      <c r="AE35" s="161"/>
      <c r="AF35" t="s">
        <v>545</v>
      </c>
    </row>
    <row r="36" spans="1:32">
      <c r="A36" s="161"/>
      <c r="B36" s="161"/>
      <c r="C36" s="161"/>
      <c r="D36" s="161"/>
      <c r="E36" s="161"/>
      <c r="F36" s="161"/>
      <c r="G36" s="161"/>
      <c r="H36" s="161"/>
      <c r="I36" s="161"/>
      <c r="J36" s="161"/>
      <c r="K36" s="161"/>
      <c r="L36" s="161"/>
      <c r="M36" s="362" t="s">
        <v>498</v>
      </c>
      <c r="N36" s="362"/>
      <c r="O36" s="362"/>
      <c r="P36" s="362" t="s">
        <v>518</v>
      </c>
      <c r="Q36" s="362"/>
      <c r="R36" s="362"/>
      <c r="S36" s="362"/>
      <c r="T36" s="362"/>
      <c r="U36" s="362"/>
      <c r="V36" s="362"/>
      <c r="W36" s="362"/>
      <c r="X36" s="362"/>
      <c r="Y36" s="362"/>
      <c r="Z36" s="463"/>
      <c r="AA36" s="463"/>
      <c r="AB36" s="463"/>
      <c r="AC36" s="113"/>
      <c r="AD36" s="113"/>
      <c r="AE36" s="161"/>
      <c r="AF36" t="s">
        <v>546</v>
      </c>
    </row>
    <row r="37" spans="1:32">
      <c r="A37" s="161"/>
      <c r="B37" s="161"/>
      <c r="C37" s="161"/>
      <c r="D37" s="161"/>
      <c r="E37" s="161"/>
      <c r="F37" s="161"/>
      <c r="G37" s="161"/>
      <c r="H37" s="161"/>
      <c r="I37" s="161"/>
      <c r="J37" s="161"/>
      <c r="K37" s="161"/>
      <c r="L37" s="161"/>
      <c r="M37" s="362"/>
      <c r="N37" s="362"/>
      <c r="O37" s="362"/>
      <c r="P37" s="362"/>
      <c r="Q37" s="362"/>
      <c r="R37" s="362"/>
      <c r="S37" s="362"/>
      <c r="T37" s="362"/>
      <c r="U37" s="362"/>
      <c r="V37" s="362"/>
      <c r="W37" s="362"/>
      <c r="X37" s="362"/>
      <c r="Y37" s="362"/>
      <c r="Z37" s="463"/>
      <c r="AA37" s="463"/>
      <c r="AB37" s="463"/>
      <c r="AC37" s="113"/>
      <c r="AD37" s="113"/>
      <c r="AE37" s="161"/>
      <c r="AF37" t="s">
        <v>547</v>
      </c>
    </row>
    <row r="38" spans="1:32" ht="0.6" customHeight="1">
      <c r="A38" s="161"/>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13"/>
      <c r="AA38" s="113"/>
      <c r="AB38" s="113"/>
      <c r="AC38" s="113"/>
      <c r="AD38" s="113"/>
      <c r="AE38" s="161"/>
      <c r="AF38" t="s">
        <v>548</v>
      </c>
    </row>
    <row r="39" spans="1:32">
      <c r="A39" s="161"/>
      <c r="B39" s="161"/>
      <c r="C39" s="161"/>
      <c r="D39" s="161"/>
      <c r="E39" s="161"/>
      <c r="F39" s="161"/>
      <c r="G39" s="161"/>
      <c r="H39" s="161"/>
      <c r="I39" s="161"/>
      <c r="J39" s="161"/>
      <c r="K39" s="161"/>
      <c r="L39" s="161"/>
      <c r="M39" s="469" t="s">
        <v>489</v>
      </c>
      <c r="N39" s="362"/>
      <c r="O39" s="362"/>
      <c r="P39" s="362" t="s">
        <v>517</v>
      </c>
      <c r="Q39" s="161"/>
      <c r="R39" s="161"/>
      <c r="S39" s="161"/>
      <c r="T39" s="161"/>
      <c r="U39" s="161"/>
      <c r="V39" s="161"/>
      <c r="W39" s="161"/>
      <c r="X39" s="161"/>
      <c r="Y39" s="161"/>
      <c r="Z39" s="113"/>
      <c r="AA39" s="113"/>
      <c r="AB39" s="113"/>
      <c r="AC39" s="113"/>
      <c r="AD39" s="113"/>
      <c r="AE39" s="161"/>
      <c r="AF39" t="s">
        <v>549</v>
      </c>
    </row>
    <row r="40" spans="1:32">
      <c r="A40" s="161"/>
      <c r="B40" s="161"/>
      <c r="C40" s="161"/>
      <c r="D40" s="161"/>
      <c r="E40" s="161"/>
      <c r="F40" s="161"/>
      <c r="G40" s="161"/>
      <c r="H40" s="161"/>
      <c r="I40" s="161"/>
      <c r="J40" s="161"/>
      <c r="K40" s="161"/>
      <c r="L40" s="161"/>
      <c r="M40" s="362" t="s">
        <v>497</v>
      </c>
      <c r="N40" s="362"/>
      <c r="O40" s="362"/>
      <c r="P40" s="362" t="s">
        <v>495</v>
      </c>
      <c r="Q40" s="161"/>
      <c r="R40" s="161"/>
      <c r="S40" s="161"/>
      <c r="T40" s="161"/>
      <c r="U40" s="161"/>
      <c r="V40" s="161"/>
      <c r="W40" s="161"/>
      <c r="X40" s="161"/>
      <c r="Y40" s="161"/>
      <c r="Z40" s="113"/>
      <c r="AA40" s="113"/>
      <c r="AB40" s="113"/>
      <c r="AC40" s="113"/>
      <c r="AD40" s="113"/>
      <c r="AE40" s="161"/>
      <c r="AF40" t="s">
        <v>550</v>
      </c>
    </row>
    <row r="41" spans="1:32">
      <c r="A41" s="161"/>
      <c r="B41" s="161"/>
      <c r="C41" s="161"/>
      <c r="D41" s="161"/>
      <c r="E41" s="161"/>
      <c r="F41" s="161"/>
      <c r="G41" s="161"/>
      <c r="H41" s="161"/>
      <c r="I41" s="161"/>
      <c r="J41" s="161"/>
      <c r="K41" s="161"/>
      <c r="L41" s="161"/>
      <c r="M41" s="362"/>
      <c r="N41" s="362"/>
      <c r="O41" s="362"/>
      <c r="P41" s="362" t="s">
        <v>486</v>
      </c>
      <c r="Q41" s="161"/>
      <c r="R41" s="161"/>
      <c r="S41" s="161"/>
      <c r="T41" s="161"/>
      <c r="U41" s="161"/>
      <c r="V41" s="161"/>
      <c r="W41" s="161"/>
      <c r="X41" s="161"/>
      <c r="Y41" s="161"/>
      <c r="Z41" s="113"/>
      <c r="AA41" s="113"/>
      <c r="AB41" s="113"/>
      <c r="AC41" s="113"/>
      <c r="AD41" s="113"/>
      <c r="AE41" s="161"/>
      <c r="AF41" t="s">
        <v>551</v>
      </c>
    </row>
    <row r="42" spans="1:32">
      <c r="A42" s="161"/>
      <c r="B42" s="161"/>
      <c r="C42" s="161"/>
      <c r="D42" s="161"/>
      <c r="E42" s="161"/>
      <c r="F42" s="161"/>
      <c r="G42" s="161"/>
      <c r="H42" s="161"/>
      <c r="I42" s="161"/>
      <c r="J42" s="161"/>
      <c r="K42" s="161"/>
      <c r="L42" s="161"/>
      <c r="M42" s="161"/>
      <c r="N42" s="161"/>
      <c r="O42" s="161"/>
      <c r="P42" s="362" t="s">
        <v>496</v>
      </c>
      <c r="Q42" s="161"/>
      <c r="R42" s="161"/>
      <c r="S42" s="161"/>
      <c r="T42" s="161"/>
      <c r="U42" s="161"/>
      <c r="V42" s="161"/>
      <c r="W42" s="161"/>
      <c r="X42" s="161"/>
      <c r="Y42" s="161"/>
      <c r="Z42" s="113"/>
      <c r="AA42" s="113"/>
      <c r="AB42" s="113"/>
      <c r="AC42" s="113"/>
      <c r="AD42" s="113"/>
      <c r="AE42" s="161"/>
      <c r="AF42" t="s">
        <v>552</v>
      </c>
    </row>
    <row r="43" spans="1:32">
      <c r="A43" s="161"/>
      <c r="B43" s="161"/>
      <c r="C43" s="161"/>
      <c r="D43" s="161"/>
      <c r="E43" s="161"/>
      <c r="F43" s="161"/>
      <c r="G43" s="161"/>
      <c r="H43" s="161"/>
      <c r="I43" s="161"/>
      <c r="J43" s="161"/>
      <c r="K43" s="161"/>
      <c r="L43" s="161"/>
      <c r="M43" s="161"/>
      <c r="N43" s="161"/>
      <c r="O43" s="161"/>
      <c r="P43" s="362"/>
      <c r="Q43" s="161"/>
      <c r="R43" s="161"/>
      <c r="S43" s="161"/>
      <c r="T43" s="161"/>
      <c r="U43" s="161"/>
      <c r="V43" s="161"/>
      <c r="W43" s="161"/>
      <c r="X43" s="161"/>
      <c r="Y43" s="161"/>
      <c r="Z43" s="113"/>
      <c r="AA43" s="113"/>
      <c r="AB43" s="113"/>
      <c r="AC43" s="113"/>
      <c r="AD43" s="113"/>
      <c r="AE43" s="161"/>
      <c r="AF43" t="s">
        <v>553</v>
      </c>
    </row>
    <row r="44" spans="1:32">
      <c r="A44" s="161"/>
      <c r="B44" s="161"/>
      <c r="C44" s="161"/>
      <c r="D44" s="161"/>
      <c r="E44" s="161"/>
      <c r="F44" s="161"/>
      <c r="G44" s="161"/>
      <c r="H44" s="161"/>
      <c r="I44" s="161"/>
      <c r="J44" s="161"/>
      <c r="K44" s="161"/>
      <c r="L44" s="161"/>
      <c r="M44" s="469" t="s">
        <v>332</v>
      </c>
      <c r="N44" s="362"/>
      <c r="O44" s="362"/>
      <c r="P44" s="362" t="s">
        <v>502</v>
      </c>
      <c r="Q44" s="161"/>
      <c r="R44" s="161"/>
      <c r="S44" s="161"/>
      <c r="T44" s="161"/>
      <c r="U44" s="161"/>
      <c r="V44" s="161"/>
      <c r="W44" s="161"/>
      <c r="X44" s="161"/>
      <c r="Y44" s="161"/>
      <c r="Z44" s="113"/>
      <c r="AA44" s="113"/>
      <c r="AB44" s="113"/>
      <c r="AC44" s="113"/>
      <c r="AD44" s="113"/>
      <c r="AE44" s="161"/>
      <c r="AF44" t="s">
        <v>554</v>
      </c>
    </row>
    <row r="45" spans="1:32">
      <c r="A45" s="161"/>
      <c r="B45" s="161"/>
      <c r="C45" s="161"/>
      <c r="D45" s="161"/>
      <c r="E45" s="161"/>
      <c r="F45" s="161"/>
      <c r="G45" s="161"/>
      <c r="H45" s="161"/>
      <c r="I45" s="161"/>
      <c r="J45" s="161"/>
      <c r="K45" s="161"/>
      <c r="L45" s="161"/>
      <c r="M45" s="362" t="s">
        <v>501</v>
      </c>
      <c r="N45" s="362"/>
      <c r="O45" s="362"/>
      <c r="P45" s="362" t="s">
        <v>495</v>
      </c>
      <c r="Q45" s="161"/>
      <c r="R45" s="161"/>
      <c r="S45" s="161"/>
      <c r="T45" s="161"/>
      <c r="U45" s="161"/>
      <c r="V45" s="161"/>
      <c r="W45" s="161"/>
      <c r="X45" s="161"/>
      <c r="Y45" s="161"/>
      <c r="Z45" s="113"/>
      <c r="AA45" s="113"/>
      <c r="AB45" s="113"/>
      <c r="AC45" s="113"/>
      <c r="AD45" s="113"/>
      <c r="AE45" s="161"/>
      <c r="AF45" t="s">
        <v>555</v>
      </c>
    </row>
    <row r="46" spans="1:32">
      <c r="A46" s="161"/>
      <c r="B46" s="161"/>
      <c r="C46" s="161"/>
      <c r="D46" s="161"/>
      <c r="E46" s="161"/>
      <c r="F46" s="161"/>
      <c r="G46" s="161"/>
      <c r="H46" s="161"/>
      <c r="I46" s="161"/>
      <c r="J46" s="161"/>
      <c r="K46" s="161"/>
      <c r="L46" s="161"/>
      <c r="M46" s="362"/>
      <c r="N46" s="362"/>
      <c r="O46" s="362"/>
      <c r="P46" s="362" t="s">
        <v>487</v>
      </c>
      <c r="Q46" s="161"/>
      <c r="R46" s="161"/>
      <c r="S46" s="161"/>
      <c r="T46" s="161"/>
      <c r="U46" s="161"/>
      <c r="V46" s="161"/>
      <c r="W46" s="161"/>
      <c r="X46" s="161"/>
      <c r="Y46" s="161"/>
      <c r="Z46" s="113"/>
      <c r="AA46" s="113"/>
      <c r="AB46" s="113"/>
      <c r="AC46" s="113"/>
      <c r="AD46" s="113"/>
      <c r="AE46" s="161"/>
      <c r="AF46" t="s">
        <v>556</v>
      </c>
    </row>
    <row r="47" spans="1:32">
      <c r="A47" s="161"/>
      <c r="B47" s="161"/>
      <c r="C47" s="161"/>
      <c r="D47" s="161"/>
      <c r="E47" s="161"/>
      <c r="F47" s="161"/>
      <c r="G47" s="161"/>
      <c r="H47" s="161"/>
      <c r="I47" s="161"/>
      <c r="J47" s="161"/>
      <c r="K47" s="161"/>
      <c r="L47" s="161"/>
      <c r="M47" s="161"/>
      <c r="N47" s="161"/>
      <c r="O47" s="161"/>
      <c r="P47" s="362" t="s">
        <v>519</v>
      </c>
      <c r="Q47" s="161"/>
      <c r="R47" s="161"/>
      <c r="S47" s="161"/>
      <c r="T47" s="161"/>
      <c r="U47" s="161"/>
      <c r="V47" s="161"/>
      <c r="W47" s="161"/>
      <c r="X47" s="161"/>
      <c r="Y47" s="161"/>
      <c r="Z47" s="465"/>
      <c r="AA47" s="113"/>
      <c r="AB47" s="113"/>
      <c r="AC47" s="113"/>
      <c r="AD47" s="113"/>
      <c r="AE47" s="161"/>
      <c r="AF47" t="s">
        <v>557</v>
      </c>
    </row>
    <row r="48" spans="1:32">
      <c r="A48" s="161"/>
      <c r="B48" s="161"/>
      <c r="C48" s="161"/>
      <c r="D48" s="161"/>
      <c r="E48" s="161"/>
      <c r="F48" s="161"/>
      <c r="G48" s="161"/>
      <c r="H48" s="161"/>
      <c r="I48" s="161"/>
      <c r="J48" s="161"/>
      <c r="K48" s="161"/>
      <c r="L48" s="161"/>
      <c r="M48" s="161"/>
      <c r="N48" s="161"/>
      <c r="O48" s="161"/>
      <c r="P48" s="367"/>
      <c r="Q48" s="161"/>
      <c r="R48" s="161"/>
      <c r="S48" s="161"/>
      <c r="T48" s="161"/>
      <c r="U48" s="161"/>
      <c r="V48" s="161"/>
      <c r="W48" s="161"/>
      <c r="X48" s="161"/>
      <c r="Y48" s="161"/>
      <c r="Z48" s="113"/>
      <c r="AA48" s="113"/>
      <c r="AB48" s="113"/>
      <c r="AC48" s="113"/>
      <c r="AD48" s="113"/>
      <c r="AE48" s="161"/>
      <c r="AF48" t="s">
        <v>558</v>
      </c>
    </row>
    <row r="49" spans="1:32">
      <c r="A49" s="161"/>
      <c r="B49" s="161"/>
      <c r="C49" s="161"/>
      <c r="D49" s="161"/>
      <c r="E49" s="161"/>
      <c r="F49" s="161"/>
      <c r="G49" s="161"/>
      <c r="H49" s="161"/>
      <c r="I49" s="161"/>
      <c r="J49" s="161"/>
      <c r="K49" s="161"/>
      <c r="L49" s="161"/>
      <c r="M49" s="469" t="s">
        <v>499</v>
      </c>
      <c r="N49" s="362"/>
      <c r="O49" s="362"/>
      <c r="P49" s="362" t="s">
        <v>503</v>
      </c>
      <c r="Q49" s="161"/>
      <c r="R49" s="161"/>
      <c r="S49" s="161"/>
      <c r="T49" s="161"/>
      <c r="U49" s="161"/>
      <c r="V49" s="161"/>
      <c r="W49" s="161"/>
      <c r="X49" s="161"/>
      <c r="Y49" s="161"/>
      <c r="Z49" s="113"/>
      <c r="AA49" s="113"/>
      <c r="AB49" s="113"/>
      <c r="AC49" s="113"/>
      <c r="AD49" s="113"/>
      <c r="AE49" s="161"/>
      <c r="AF49" t="s">
        <v>559</v>
      </c>
    </row>
    <row r="50" spans="1:32">
      <c r="A50" s="161"/>
      <c r="B50" s="161"/>
      <c r="C50" s="161"/>
      <c r="D50" s="161"/>
      <c r="E50" s="161"/>
      <c r="F50" s="161"/>
      <c r="G50" s="161"/>
      <c r="H50" s="161"/>
      <c r="I50" s="161"/>
      <c r="J50" s="161"/>
      <c r="K50" s="161"/>
      <c r="L50" s="161"/>
      <c r="M50" s="362" t="s">
        <v>500</v>
      </c>
      <c r="N50" s="362"/>
      <c r="O50" s="362"/>
      <c r="P50" s="362"/>
      <c r="Q50" s="161"/>
      <c r="R50" s="161"/>
      <c r="S50" s="161"/>
      <c r="T50" s="161"/>
      <c r="U50" s="161"/>
      <c r="V50" s="161"/>
      <c r="W50" s="161"/>
      <c r="X50" s="161"/>
      <c r="Y50" s="161"/>
      <c r="Z50" s="161"/>
      <c r="AA50" s="161"/>
      <c r="AB50" s="161"/>
      <c r="AC50" s="161"/>
      <c r="AD50" s="161"/>
      <c r="AE50" s="161"/>
      <c r="AF50" t="s">
        <v>560</v>
      </c>
    </row>
    <row r="51" spans="1:32">
      <c r="A51" s="161"/>
      <c r="B51" s="161"/>
      <c r="C51" s="161"/>
      <c r="D51" s="161"/>
      <c r="E51" s="161"/>
      <c r="F51" s="161"/>
      <c r="G51" s="161"/>
      <c r="H51" s="161"/>
      <c r="I51" s="161"/>
      <c r="J51" s="161"/>
      <c r="K51" s="161"/>
      <c r="L51" s="161"/>
      <c r="M51" s="362"/>
      <c r="N51" s="362"/>
      <c r="O51" s="362"/>
      <c r="P51" s="362"/>
      <c r="Q51" s="161"/>
      <c r="R51" s="161"/>
      <c r="S51" s="161"/>
      <c r="T51" s="161"/>
      <c r="U51" s="161"/>
      <c r="V51" s="161"/>
      <c r="W51" s="161"/>
      <c r="X51" s="161"/>
      <c r="Y51" s="161"/>
      <c r="Z51" s="161"/>
      <c r="AA51" s="161"/>
      <c r="AB51" s="161"/>
      <c r="AC51" s="161"/>
      <c r="AD51" s="161"/>
      <c r="AE51" s="161"/>
      <c r="AF51" t="s">
        <v>561</v>
      </c>
    </row>
    <row r="52" spans="1:32">
      <c r="A52" s="161"/>
      <c r="B52" s="161"/>
      <c r="C52" s="161"/>
      <c r="D52" s="161"/>
      <c r="E52" s="161"/>
      <c r="F52" s="161"/>
      <c r="G52" s="161"/>
      <c r="H52" s="161"/>
      <c r="I52" s="161"/>
      <c r="J52" s="161"/>
      <c r="K52" s="161"/>
      <c r="L52" s="161"/>
      <c r="M52" s="161"/>
      <c r="N52" s="161"/>
      <c r="O52" s="161"/>
      <c r="P52" s="362"/>
      <c r="Q52" s="161"/>
      <c r="R52" s="161"/>
      <c r="S52" s="161"/>
      <c r="T52" s="161"/>
      <c r="U52" s="161"/>
      <c r="V52" s="161"/>
      <c r="W52" s="161"/>
      <c r="X52" s="161"/>
      <c r="Y52" s="161"/>
      <c r="Z52" s="161"/>
      <c r="AA52" s="161"/>
      <c r="AB52" s="161"/>
      <c r="AC52" s="161"/>
      <c r="AD52" s="161"/>
      <c r="AE52" s="161"/>
      <c r="AF52" t="s">
        <v>562</v>
      </c>
    </row>
    <row r="53" spans="1:32">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t="s">
        <v>563</v>
      </c>
    </row>
    <row r="54" spans="1:32">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t="s">
        <v>564</v>
      </c>
    </row>
    <row r="55" spans="1:3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t="s">
        <v>565</v>
      </c>
    </row>
    <row r="56" spans="1:3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t="s">
        <v>566</v>
      </c>
    </row>
    <row r="57" spans="1:32">
      <c r="A57" s="161"/>
      <c r="B57" s="161"/>
      <c r="C57" s="161"/>
      <c r="D57" s="161"/>
      <c r="E57" s="161"/>
      <c r="F57" s="161"/>
      <c r="G57" s="161"/>
      <c r="H57" s="161"/>
      <c r="I57" s="161"/>
      <c r="J57" s="161"/>
      <c r="K57" s="161"/>
      <c r="L57" s="161"/>
      <c r="M57" s="469" t="s">
        <v>504</v>
      </c>
      <c r="N57" s="362"/>
      <c r="O57" s="362"/>
      <c r="P57" s="362" t="s">
        <v>506</v>
      </c>
      <c r="Q57" s="161"/>
      <c r="R57" s="161"/>
      <c r="S57" s="161"/>
      <c r="T57" s="161"/>
      <c r="U57" s="161"/>
      <c r="V57" s="161"/>
      <c r="W57" s="161"/>
      <c r="X57" s="161"/>
      <c r="Y57" s="161"/>
      <c r="Z57" s="161"/>
      <c r="AA57" s="161"/>
      <c r="AB57" s="161"/>
      <c r="AC57" s="161"/>
      <c r="AD57" s="161"/>
      <c r="AE57" s="161"/>
      <c r="AF57" t="s">
        <v>567</v>
      </c>
    </row>
    <row r="58" spans="1:32">
      <c r="A58" s="161"/>
      <c r="B58" s="161"/>
      <c r="C58" s="161"/>
      <c r="D58" s="161"/>
      <c r="E58" s="161"/>
      <c r="F58" s="161"/>
      <c r="G58" s="161"/>
      <c r="H58" s="161"/>
      <c r="I58" s="161"/>
      <c r="J58" s="161"/>
      <c r="K58" s="161"/>
      <c r="L58" s="161"/>
      <c r="M58" s="362" t="s">
        <v>505</v>
      </c>
      <c r="N58" s="362"/>
      <c r="O58" s="362"/>
      <c r="P58" s="362" t="s">
        <v>507</v>
      </c>
      <c r="Q58" s="161"/>
      <c r="R58" s="161"/>
      <c r="S58" s="161"/>
      <c r="T58" s="161"/>
      <c r="U58" s="161"/>
      <c r="V58" s="161"/>
      <c r="W58" s="161"/>
      <c r="X58" s="161"/>
      <c r="Y58" s="161"/>
      <c r="Z58" s="161"/>
      <c r="AA58" s="161"/>
      <c r="AB58" s="161"/>
      <c r="AC58" s="161"/>
      <c r="AD58" s="161"/>
      <c r="AE58" s="161"/>
      <c r="AF58" t="s">
        <v>568</v>
      </c>
    </row>
    <row r="59" spans="1:32">
      <c r="A59" s="161"/>
      <c r="B59" s="161"/>
      <c r="C59" s="161"/>
      <c r="D59" s="161"/>
      <c r="E59" s="161"/>
      <c r="F59" s="161"/>
      <c r="G59" s="161"/>
      <c r="H59" s="161"/>
      <c r="I59" s="161"/>
      <c r="J59" s="161"/>
      <c r="K59" s="161"/>
      <c r="L59" s="161"/>
      <c r="M59" s="161"/>
      <c r="N59" s="161"/>
      <c r="O59" s="161"/>
      <c r="P59" s="362" t="s">
        <v>508</v>
      </c>
      <c r="Q59" s="161"/>
      <c r="R59" s="161"/>
      <c r="S59" s="161"/>
      <c r="T59" s="161"/>
      <c r="U59" s="161"/>
      <c r="V59" s="161"/>
      <c r="W59" s="161"/>
      <c r="X59" s="161"/>
      <c r="Y59" s="161"/>
      <c r="Z59" s="161"/>
      <c r="AA59" s="161"/>
      <c r="AB59" s="161"/>
      <c r="AC59" s="161"/>
      <c r="AD59" s="161"/>
      <c r="AE59" s="161"/>
      <c r="AF59" t="s">
        <v>569</v>
      </c>
    </row>
    <row r="60" spans="1:32">
      <c r="A60" s="161"/>
      <c r="B60" s="161"/>
      <c r="C60" s="161"/>
      <c r="D60" s="161"/>
      <c r="E60" s="161"/>
      <c r="F60" s="161"/>
      <c r="G60" s="161"/>
      <c r="H60" s="161"/>
      <c r="I60" s="161"/>
      <c r="J60" s="161"/>
      <c r="K60" s="161"/>
      <c r="L60" s="161"/>
      <c r="M60" s="161"/>
      <c r="N60" s="161"/>
      <c r="O60" s="161"/>
      <c r="P60" s="362" t="s">
        <v>520</v>
      </c>
      <c r="Q60" s="161"/>
      <c r="R60" s="161"/>
      <c r="S60" s="161"/>
      <c r="T60" s="161"/>
      <c r="U60" s="161"/>
      <c r="V60" s="161"/>
      <c r="W60" s="161"/>
      <c r="X60" s="161"/>
      <c r="Y60" s="161"/>
      <c r="Z60" s="161"/>
      <c r="AA60" s="161"/>
      <c r="AB60" s="161"/>
      <c r="AC60" s="161"/>
      <c r="AD60" s="161"/>
      <c r="AE60" s="161"/>
      <c r="AF60" t="s">
        <v>570</v>
      </c>
    </row>
    <row r="61" spans="1:32">
      <c r="A61" s="161"/>
      <c r="B61" s="161"/>
      <c r="C61" s="161"/>
      <c r="D61" s="161"/>
      <c r="E61" s="161"/>
      <c r="F61" s="161"/>
      <c r="G61" s="161"/>
      <c r="H61" s="161"/>
      <c r="I61" s="161"/>
      <c r="J61" s="161"/>
      <c r="K61" s="161"/>
      <c r="L61" s="161"/>
      <c r="M61" s="161"/>
      <c r="N61" s="161"/>
      <c r="O61" s="161"/>
      <c r="P61" s="362" t="s">
        <v>521</v>
      </c>
      <c r="Q61" s="161"/>
      <c r="R61" s="161"/>
      <c r="S61" s="161"/>
      <c r="T61" s="161"/>
      <c r="U61" s="161"/>
      <c r="V61" s="161"/>
      <c r="W61" s="161"/>
      <c r="X61" s="161"/>
      <c r="Y61" s="161"/>
      <c r="Z61" s="161"/>
      <c r="AA61" s="161"/>
      <c r="AB61" s="161"/>
      <c r="AC61" s="161"/>
      <c r="AD61" s="161"/>
      <c r="AE61" s="161"/>
      <c r="AF61" t="s">
        <v>571</v>
      </c>
    </row>
    <row r="62" spans="1:32">
      <c r="A62" s="161"/>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t="s">
        <v>572</v>
      </c>
    </row>
    <row r="63" spans="1:32">
      <c r="A63" s="161"/>
      <c r="B63" s="161"/>
      <c r="C63" s="161"/>
      <c r="D63" s="161"/>
      <c r="E63" s="161"/>
      <c r="F63" s="161"/>
      <c r="G63" s="161"/>
      <c r="H63" s="161"/>
      <c r="I63" s="161"/>
      <c r="J63" s="161"/>
      <c r="K63" s="161"/>
      <c r="L63" s="161"/>
      <c r="M63" s="469" t="s">
        <v>509</v>
      </c>
      <c r="N63" s="362"/>
      <c r="O63" s="362"/>
      <c r="P63" s="362" t="s">
        <v>510</v>
      </c>
      <c r="Q63" s="161"/>
      <c r="R63" s="161"/>
      <c r="S63" s="161"/>
      <c r="T63" s="161"/>
      <c r="U63" s="161"/>
      <c r="V63" s="161"/>
      <c r="W63" s="161"/>
      <c r="X63" s="161"/>
      <c r="Y63" s="161"/>
      <c r="Z63" s="161"/>
      <c r="AA63" s="161"/>
      <c r="AB63" s="161"/>
      <c r="AC63" s="161"/>
      <c r="AD63" s="161"/>
      <c r="AE63" s="161"/>
      <c r="AF63" t="s">
        <v>573</v>
      </c>
    </row>
    <row r="64" spans="1:32">
      <c r="A64" s="161"/>
      <c r="B64" s="161"/>
      <c r="C64" s="161"/>
      <c r="D64" s="161"/>
      <c r="E64" s="161"/>
      <c r="F64" s="161"/>
      <c r="G64" s="161"/>
      <c r="H64" s="161"/>
      <c r="I64" s="161"/>
      <c r="J64" s="161"/>
      <c r="K64" s="161"/>
      <c r="L64" s="161"/>
      <c r="M64" s="362" t="s">
        <v>516</v>
      </c>
      <c r="N64" s="362"/>
      <c r="O64" s="362"/>
      <c r="P64" s="362" t="s">
        <v>522</v>
      </c>
      <c r="Q64" s="161"/>
      <c r="R64" s="161"/>
      <c r="S64" s="161"/>
      <c r="T64" s="161"/>
      <c r="U64" s="161"/>
      <c r="V64" s="161"/>
      <c r="W64" s="161"/>
      <c r="X64" s="161"/>
      <c r="Y64" s="161"/>
      <c r="Z64" s="161"/>
      <c r="AA64" s="161"/>
      <c r="AB64" s="161"/>
      <c r="AC64" s="161"/>
      <c r="AD64" s="161"/>
      <c r="AE64" s="161"/>
      <c r="AF64" t="s">
        <v>574</v>
      </c>
    </row>
    <row r="65" spans="1:32">
      <c r="A65" s="161"/>
      <c r="B65" s="161"/>
      <c r="C65" s="161"/>
      <c r="D65" s="161"/>
      <c r="E65" s="161"/>
      <c r="F65" s="161"/>
      <c r="G65" s="161"/>
      <c r="H65" s="161"/>
      <c r="I65" s="161"/>
      <c r="J65" s="161"/>
      <c r="K65" s="161"/>
      <c r="L65" s="161"/>
      <c r="M65" s="161"/>
      <c r="N65" s="161"/>
      <c r="O65" s="161"/>
      <c r="P65" s="362" t="s">
        <v>524</v>
      </c>
      <c r="Q65" s="161"/>
      <c r="R65" s="161"/>
      <c r="S65" s="161"/>
      <c r="T65" s="161"/>
      <c r="U65" s="161"/>
      <c r="V65" s="161"/>
      <c r="W65" s="161"/>
      <c r="X65" s="161"/>
      <c r="Y65" s="161"/>
      <c r="Z65" s="161"/>
      <c r="AA65" s="161"/>
      <c r="AB65" s="161"/>
      <c r="AC65" s="161"/>
      <c r="AD65" s="161"/>
      <c r="AE65" s="161"/>
      <c r="AF65" t="s">
        <v>575</v>
      </c>
    </row>
    <row r="66" spans="1:32">
      <c r="A66" s="161"/>
      <c r="B66" s="161"/>
      <c r="C66" s="161"/>
      <c r="D66" s="161"/>
      <c r="E66" s="161"/>
      <c r="F66" s="161"/>
      <c r="G66" s="161"/>
      <c r="H66" s="161"/>
      <c r="I66" s="161"/>
      <c r="J66" s="161"/>
      <c r="K66" s="161"/>
      <c r="L66" s="161"/>
      <c r="M66" s="161"/>
      <c r="N66" s="161"/>
      <c r="O66" s="161"/>
      <c r="P66" s="362" t="s">
        <v>523</v>
      </c>
      <c r="Q66" s="161"/>
      <c r="R66" s="161"/>
      <c r="S66" s="161"/>
      <c r="T66" s="161"/>
      <c r="U66" s="161"/>
      <c r="V66" s="161"/>
      <c r="W66" s="161"/>
      <c r="X66" s="161"/>
      <c r="Y66" s="161"/>
      <c r="Z66" s="161"/>
      <c r="AA66" s="161"/>
      <c r="AB66" s="161"/>
      <c r="AC66" s="161"/>
      <c r="AD66" s="161"/>
      <c r="AE66" s="161"/>
      <c r="AF66" t="s">
        <v>576</v>
      </c>
    </row>
    <row r="67" spans="1:32">
      <c r="A67" s="161"/>
      <c r="B67" s="161"/>
      <c r="C67" s="161"/>
      <c r="D67" s="161"/>
      <c r="E67" s="161"/>
      <c r="F67" s="161"/>
      <c r="G67" s="161"/>
      <c r="H67" s="161"/>
      <c r="I67" s="161"/>
      <c r="J67" s="161"/>
      <c r="K67" s="161"/>
      <c r="L67" s="161"/>
      <c r="M67" s="161"/>
      <c r="N67" s="161"/>
      <c r="O67" s="161"/>
      <c r="P67" s="362"/>
      <c r="Q67" s="161"/>
      <c r="R67" s="161"/>
      <c r="S67" s="161"/>
      <c r="T67" s="161"/>
      <c r="U67" s="161"/>
      <c r="V67" s="161"/>
      <c r="W67" s="161"/>
      <c r="X67" s="161"/>
      <c r="Y67" s="161"/>
      <c r="Z67" s="161"/>
      <c r="AA67" s="161"/>
      <c r="AB67" s="161"/>
      <c r="AC67" s="161"/>
      <c r="AD67" s="161"/>
      <c r="AE67" s="161"/>
      <c r="AF67" t="s">
        <v>577</v>
      </c>
    </row>
    <row r="68" spans="1:32">
      <c r="A68" s="161"/>
      <c r="B68" s="161"/>
      <c r="C68" s="161"/>
      <c r="D68" s="161"/>
      <c r="E68" s="161"/>
      <c r="F68" s="161"/>
      <c r="G68" s="161"/>
      <c r="H68" s="161"/>
      <c r="I68" s="161"/>
      <c r="J68" s="161"/>
      <c r="K68" s="161"/>
      <c r="L68" s="161"/>
      <c r="M68" s="469" t="s">
        <v>525</v>
      </c>
      <c r="N68" s="362"/>
      <c r="O68" s="362"/>
      <c r="P68" s="362" t="s">
        <v>527</v>
      </c>
      <c r="Q68" s="161"/>
      <c r="R68" s="161"/>
      <c r="S68" s="161"/>
      <c r="T68" s="161"/>
      <c r="U68" s="161"/>
      <c r="V68" s="161"/>
      <c r="W68" s="161"/>
      <c r="X68" s="161"/>
      <c r="Y68" s="161"/>
      <c r="Z68" s="161"/>
      <c r="AA68" s="161"/>
      <c r="AB68" s="161"/>
      <c r="AC68" s="161"/>
      <c r="AD68" s="161"/>
      <c r="AE68" s="161"/>
      <c r="AF68" t="s">
        <v>578</v>
      </c>
    </row>
    <row r="69" spans="1:32">
      <c r="A69" s="161"/>
      <c r="B69" s="161"/>
      <c r="C69" s="161"/>
      <c r="D69" s="161"/>
      <c r="E69" s="161"/>
      <c r="F69" s="161"/>
      <c r="G69" s="161"/>
      <c r="H69" s="161"/>
      <c r="I69" s="161"/>
      <c r="J69" s="161"/>
      <c r="K69" s="161"/>
      <c r="L69" s="161"/>
      <c r="M69" s="362"/>
      <c r="N69" s="362"/>
      <c r="O69" s="362"/>
      <c r="P69" s="362" t="s">
        <v>526</v>
      </c>
      <c r="Q69" s="161"/>
      <c r="R69" s="161"/>
      <c r="S69" s="161"/>
      <c r="T69" s="161"/>
      <c r="U69" s="161"/>
      <c r="V69" s="161"/>
      <c r="W69" s="369"/>
      <c r="X69" s="161"/>
      <c r="Y69" s="161"/>
      <c r="Z69" s="161"/>
      <c r="AA69" s="161"/>
      <c r="AB69" s="161"/>
      <c r="AC69" s="161"/>
      <c r="AD69" s="161"/>
      <c r="AE69" s="161"/>
      <c r="AF69" t="s">
        <v>579</v>
      </c>
    </row>
    <row r="70" spans="1:32">
      <c r="A70" s="161"/>
      <c r="B70" s="161"/>
      <c r="C70" s="161"/>
      <c r="D70" s="161"/>
      <c r="E70" s="161"/>
      <c r="F70" s="161"/>
      <c r="G70" s="161"/>
      <c r="H70" s="161"/>
      <c r="I70" s="161"/>
      <c r="J70" s="161"/>
      <c r="K70" s="161"/>
      <c r="L70" s="161"/>
      <c r="M70" s="368"/>
      <c r="N70" s="362"/>
      <c r="O70" s="362"/>
      <c r="P70" s="362"/>
      <c r="Q70" s="161"/>
      <c r="R70" s="161"/>
      <c r="S70" s="161"/>
      <c r="T70" s="161"/>
      <c r="U70" s="161"/>
      <c r="V70" s="161"/>
      <c r="W70" s="161"/>
      <c r="X70" s="161"/>
      <c r="Y70" s="161"/>
      <c r="Z70" s="161"/>
      <c r="AA70" s="161"/>
      <c r="AB70" s="161"/>
      <c r="AC70" s="161"/>
      <c r="AD70" s="161"/>
      <c r="AE70" s="161"/>
      <c r="AF70" t="s">
        <v>580</v>
      </c>
    </row>
    <row r="71" spans="1:32" ht="15" customHeight="1">
      <c r="A71" s="161"/>
      <c r="B71" s="161"/>
      <c r="C71" s="161"/>
      <c r="D71" s="161"/>
      <c r="E71" s="161"/>
      <c r="F71" s="161"/>
      <c r="G71" s="161"/>
      <c r="H71" s="161"/>
      <c r="I71" s="161"/>
      <c r="J71" s="161"/>
      <c r="K71" s="161"/>
      <c r="L71" s="161"/>
      <c r="M71" s="368"/>
      <c r="N71" s="362"/>
      <c r="O71" s="362"/>
      <c r="P71" s="362"/>
      <c r="Q71" s="161"/>
      <c r="R71" s="161"/>
      <c r="S71" s="161"/>
      <c r="T71" s="161"/>
      <c r="U71" s="161"/>
      <c r="V71" s="161"/>
      <c r="W71" s="161"/>
      <c r="X71" s="161"/>
      <c r="Y71" s="161"/>
      <c r="Z71" s="161"/>
      <c r="AA71" s="161"/>
      <c r="AB71" s="161"/>
      <c r="AC71" s="161"/>
      <c r="AD71" s="161"/>
      <c r="AE71" s="161"/>
      <c r="AF71" t="s">
        <v>581</v>
      </c>
    </row>
    <row r="72" spans="1:32">
      <c r="A72" s="161"/>
      <c r="B72" s="161"/>
      <c r="C72" s="161"/>
      <c r="D72" s="161"/>
      <c r="E72" s="161"/>
      <c r="F72" s="161"/>
      <c r="G72" s="161"/>
      <c r="H72" s="161"/>
      <c r="I72" s="161"/>
      <c r="J72" s="161"/>
      <c r="K72" s="161"/>
      <c r="L72" s="161"/>
      <c r="M72" s="362"/>
      <c r="N72" s="362"/>
      <c r="O72" s="362"/>
      <c r="P72" s="362"/>
      <c r="Q72" s="161"/>
      <c r="R72" s="161"/>
      <c r="S72" s="161"/>
      <c r="T72" s="161"/>
      <c r="U72" s="161"/>
      <c r="V72" s="161"/>
      <c r="W72" s="161"/>
      <c r="X72" s="161"/>
      <c r="Y72" s="161"/>
      <c r="Z72" s="161"/>
      <c r="AA72" s="161"/>
      <c r="AB72" s="161"/>
      <c r="AC72" s="161"/>
      <c r="AD72" s="161"/>
      <c r="AE72" s="161"/>
      <c r="AF72" t="s">
        <v>582</v>
      </c>
    </row>
    <row r="73" spans="1:32" ht="30" customHeight="1">
      <c r="A73" s="161"/>
      <c r="B73" s="161"/>
      <c r="C73" s="161"/>
      <c r="D73" s="161"/>
      <c r="E73" s="161"/>
      <c r="F73" s="161"/>
      <c r="G73" s="161"/>
      <c r="H73" s="161"/>
      <c r="I73" s="161"/>
      <c r="J73" s="161"/>
      <c r="K73" s="161"/>
      <c r="L73" s="161"/>
      <c r="M73" s="161"/>
      <c r="N73" s="161"/>
      <c r="O73" s="161"/>
      <c r="P73" s="362"/>
      <c r="Q73" s="161"/>
      <c r="R73" s="161"/>
      <c r="S73" s="161"/>
      <c r="T73" s="161"/>
      <c r="U73" s="161"/>
      <c r="V73" s="161"/>
      <c r="W73" s="161"/>
      <c r="X73" s="161"/>
      <c r="Y73" s="161"/>
      <c r="Z73" s="161"/>
      <c r="AA73" s="161"/>
      <c r="AB73" s="161"/>
      <c r="AC73" s="161"/>
      <c r="AD73" s="161"/>
      <c r="AE73" s="161"/>
      <c r="AF73" t="s">
        <v>583</v>
      </c>
    </row>
    <row r="74" spans="1:32">
      <c r="A74" s="161"/>
      <c r="B74" s="161"/>
      <c r="C74" s="161"/>
      <c r="D74" s="161"/>
      <c r="E74" s="161"/>
      <c r="F74" s="161"/>
      <c r="G74" s="161"/>
      <c r="H74" s="161"/>
      <c r="I74" s="161"/>
      <c r="J74" s="161"/>
      <c r="K74" s="161"/>
      <c r="L74" s="161"/>
      <c r="M74" s="469" t="s">
        <v>511</v>
      </c>
      <c r="N74" s="362"/>
      <c r="O74" s="362"/>
      <c r="P74" s="362" t="s">
        <v>512</v>
      </c>
      <c r="Q74" s="161"/>
      <c r="R74" s="161"/>
      <c r="S74" s="161"/>
      <c r="T74" s="161"/>
      <c r="U74" s="161"/>
      <c r="V74" s="161"/>
      <c r="W74" s="161"/>
      <c r="X74" s="161"/>
      <c r="Y74" s="161"/>
      <c r="Z74" s="161"/>
      <c r="AA74" s="161"/>
      <c r="AB74" s="161"/>
      <c r="AC74" s="161"/>
      <c r="AD74" s="161"/>
      <c r="AE74" s="161"/>
      <c r="AF74" t="s">
        <v>584</v>
      </c>
    </row>
    <row r="75" spans="1:32">
      <c r="A75" s="161"/>
      <c r="B75" s="161"/>
      <c r="C75" s="161"/>
      <c r="D75" s="161"/>
      <c r="E75" s="161"/>
      <c r="F75" s="161"/>
      <c r="G75" s="161"/>
      <c r="H75" s="161"/>
      <c r="I75" s="161"/>
      <c r="J75" s="161"/>
      <c r="K75" s="161"/>
      <c r="L75" s="161"/>
      <c r="M75" s="362"/>
      <c r="N75" s="362"/>
      <c r="O75" s="362"/>
      <c r="P75" s="362" t="s">
        <v>514</v>
      </c>
      <c r="Q75" s="161"/>
      <c r="R75" s="161"/>
      <c r="S75" s="161"/>
      <c r="T75" s="161"/>
      <c r="U75" s="161"/>
      <c r="V75" s="161"/>
      <c r="W75" s="161"/>
      <c r="X75" s="161"/>
      <c r="Y75" s="161"/>
      <c r="Z75" s="161"/>
      <c r="AA75" s="161"/>
      <c r="AB75" s="161"/>
      <c r="AC75" s="161"/>
      <c r="AD75" s="161"/>
      <c r="AE75" s="161"/>
      <c r="AF75" t="s">
        <v>585</v>
      </c>
    </row>
    <row r="76" spans="1:32">
      <c r="A76" s="161"/>
      <c r="B76" s="161"/>
      <c r="C76" s="161"/>
      <c r="D76" s="161"/>
      <c r="E76" s="161"/>
      <c r="F76" s="161"/>
      <c r="G76" s="161"/>
      <c r="H76" s="161"/>
      <c r="I76" s="161"/>
      <c r="J76" s="161"/>
      <c r="K76" s="161"/>
      <c r="L76" s="161"/>
      <c r="M76" s="161"/>
      <c r="N76" s="161"/>
      <c r="O76" s="161"/>
      <c r="P76" s="362" t="s">
        <v>513</v>
      </c>
      <c r="Q76" s="161"/>
      <c r="R76" s="161"/>
      <c r="S76" s="161"/>
      <c r="T76" s="161"/>
      <c r="U76" s="161"/>
      <c r="V76" s="161"/>
      <c r="W76" s="161"/>
      <c r="X76" s="161"/>
      <c r="Y76" s="161"/>
      <c r="Z76" s="161"/>
      <c r="AA76" s="161"/>
      <c r="AB76" s="161"/>
      <c r="AC76" s="161"/>
      <c r="AD76" s="161"/>
      <c r="AE76" s="161"/>
      <c r="AF76" t="s">
        <v>586</v>
      </c>
    </row>
    <row r="77" spans="1:32">
      <c r="A77" s="161"/>
      <c r="B77" s="161"/>
      <c r="C77" s="161"/>
      <c r="D77" s="161"/>
      <c r="E77" s="161"/>
      <c r="F77" s="161"/>
      <c r="G77" s="161"/>
      <c r="H77" s="161"/>
      <c r="I77" s="161"/>
      <c r="J77" s="161"/>
      <c r="K77" s="161"/>
      <c r="L77" s="161"/>
      <c r="M77" s="161"/>
      <c r="N77" s="161"/>
      <c r="O77" s="161"/>
      <c r="P77" s="362" t="s">
        <v>515</v>
      </c>
      <c r="Q77" s="161"/>
      <c r="R77" s="161"/>
      <c r="S77" s="161"/>
      <c r="T77" s="161"/>
      <c r="U77" s="161"/>
      <c r="V77" s="161"/>
      <c r="W77" s="161"/>
      <c r="X77" s="161"/>
      <c r="Y77" s="161"/>
      <c r="Z77" s="161"/>
      <c r="AA77" s="161"/>
      <c r="AB77" s="161"/>
      <c r="AC77" s="161"/>
      <c r="AD77" s="161"/>
      <c r="AE77" s="161"/>
      <c r="AF77" t="s">
        <v>587</v>
      </c>
    </row>
    <row r="78" spans="1:32">
      <c r="A78" s="161"/>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t="s">
        <v>588</v>
      </c>
    </row>
    <row r="79" spans="1:32">
      <c r="A79" s="161"/>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t="s">
        <v>589</v>
      </c>
    </row>
    <row r="80" spans="1:32">
      <c r="A80" s="161"/>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t="s">
        <v>590</v>
      </c>
    </row>
    <row r="81" spans="3:32">
      <c r="C81" s="161"/>
      <c r="D81" s="161"/>
      <c r="E81" s="161"/>
      <c r="F81" s="161"/>
      <c r="G81" s="161"/>
      <c r="H81" s="161"/>
      <c r="I81" s="161"/>
      <c r="AF81" t="s">
        <v>591</v>
      </c>
    </row>
    <row r="82" spans="3:32">
      <c r="C82" s="161"/>
      <c r="D82" s="161"/>
      <c r="E82" s="161"/>
      <c r="F82" s="161"/>
      <c r="G82" s="161"/>
      <c r="H82" s="161"/>
      <c r="I82" s="161"/>
      <c r="AF82" t="s">
        <v>592</v>
      </c>
    </row>
    <row r="83" spans="3:32">
      <c r="C83" s="161"/>
      <c r="D83" s="161"/>
      <c r="E83" s="161"/>
      <c r="F83" s="161"/>
      <c r="G83" s="161"/>
      <c r="H83" s="161"/>
      <c r="I83" s="161"/>
      <c r="AF83" t="s">
        <v>593</v>
      </c>
    </row>
    <row r="84" spans="3:32">
      <c r="C84" s="161"/>
      <c r="D84" s="161"/>
      <c r="E84" s="161"/>
      <c r="F84" s="161"/>
      <c r="G84" s="161"/>
      <c r="H84" s="161"/>
      <c r="I84" s="161"/>
      <c r="AF84" t="s">
        <v>594</v>
      </c>
    </row>
    <row r="85" spans="3:32">
      <c r="C85" s="161"/>
      <c r="D85" s="161"/>
      <c r="E85" s="161"/>
      <c r="F85" s="161"/>
      <c r="G85" s="161"/>
      <c r="H85" s="161"/>
      <c r="I85" s="161"/>
      <c r="AF85" t="s">
        <v>595</v>
      </c>
    </row>
    <row r="86" spans="3:32">
      <c r="C86" s="161"/>
      <c r="D86" s="161"/>
      <c r="E86" s="161"/>
      <c r="F86" s="161"/>
      <c r="G86" s="161"/>
      <c r="H86" s="161"/>
      <c r="I86" s="161"/>
      <c r="AF86" t="s">
        <v>596</v>
      </c>
    </row>
    <row r="87" spans="3:32">
      <c r="C87" s="161"/>
      <c r="D87" s="161"/>
      <c r="E87" s="161"/>
      <c r="F87" s="161"/>
      <c r="G87" s="161"/>
      <c r="H87" s="161"/>
      <c r="I87" s="161"/>
      <c r="AF87" t="s">
        <v>597</v>
      </c>
    </row>
    <row r="88" spans="3:32">
      <c r="C88" s="161"/>
      <c r="D88" s="161"/>
      <c r="E88" s="161"/>
      <c r="F88" s="161"/>
      <c r="G88" s="161"/>
      <c r="H88" s="161"/>
      <c r="I88" s="161"/>
      <c r="AF88" t="s">
        <v>598</v>
      </c>
    </row>
    <row r="89" spans="3:32">
      <c r="AF89" t="s">
        <v>599</v>
      </c>
    </row>
    <row r="90" spans="3:32">
      <c r="AF90" t="s">
        <v>600</v>
      </c>
    </row>
    <row r="91" spans="3:32">
      <c r="AF91" t="s">
        <v>601</v>
      </c>
    </row>
    <row r="92" spans="3:32">
      <c r="C92" s="161"/>
      <c r="D92" s="161"/>
      <c r="E92" s="161"/>
      <c r="F92" s="161"/>
      <c r="G92" s="161"/>
      <c r="H92" s="161"/>
      <c r="I92" s="161"/>
      <c r="AF92" t="s">
        <v>602</v>
      </c>
    </row>
    <row r="93" spans="3:32">
      <c r="C93" s="161"/>
      <c r="D93" s="161"/>
      <c r="E93" s="161"/>
      <c r="F93" s="161"/>
      <c r="G93" s="161"/>
      <c r="H93" s="161"/>
      <c r="I93" s="161"/>
      <c r="AF93" t="s">
        <v>603</v>
      </c>
    </row>
    <row r="94" spans="3:32">
      <c r="C94" s="161"/>
      <c r="D94" s="161"/>
      <c r="E94" s="161"/>
      <c r="F94" s="161"/>
      <c r="G94" s="161"/>
      <c r="H94" s="161"/>
      <c r="I94" s="161"/>
      <c r="AF94" t="s">
        <v>604</v>
      </c>
    </row>
    <row r="95" spans="3:32">
      <c r="C95" s="161"/>
      <c r="D95" s="161"/>
      <c r="E95" s="161"/>
      <c r="F95" s="161"/>
      <c r="G95" s="161"/>
      <c r="H95" s="161"/>
      <c r="I95" s="161"/>
      <c r="AF95" t="s">
        <v>605</v>
      </c>
    </row>
    <row r="96" spans="3:32">
      <c r="C96" s="161"/>
      <c r="D96" s="161"/>
      <c r="E96" s="161"/>
      <c r="F96" s="161"/>
      <c r="G96" s="161"/>
      <c r="H96" s="161"/>
      <c r="I96" s="161"/>
      <c r="AF96" t="s">
        <v>606</v>
      </c>
    </row>
    <row r="97" spans="3:32">
      <c r="C97" s="161"/>
      <c r="D97" s="161"/>
      <c r="E97" s="161"/>
      <c r="F97" s="161"/>
      <c r="G97" s="161"/>
      <c r="H97" s="161"/>
      <c r="I97" s="161"/>
      <c r="AF97" t="s">
        <v>607</v>
      </c>
    </row>
    <row r="98" spans="3:32">
      <c r="C98" s="161"/>
      <c r="D98" s="161"/>
      <c r="E98" s="161"/>
      <c r="F98" s="161"/>
      <c r="G98" s="161"/>
      <c r="H98" s="161"/>
      <c r="I98" s="161"/>
      <c r="AF98" t="s">
        <v>608</v>
      </c>
    </row>
    <row r="99" spans="3:32">
      <c r="C99" s="161"/>
      <c r="D99" s="161"/>
      <c r="E99" s="161"/>
      <c r="F99" s="161"/>
      <c r="G99" s="161"/>
      <c r="H99" s="161"/>
      <c r="I99" s="161"/>
      <c r="AF99" t="s">
        <v>609</v>
      </c>
    </row>
    <row r="100" spans="3:32">
      <c r="C100" s="161"/>
      <c r="D100" s="161"/>
      <c r="E100" s="161"/>
      <c r="F100" s="161"/>
      <c r="G100" s="161"/>
      <c r="H100" s="161"/>
      <c r="I100" s="161"/>
      <c r="AF100" t="s">
        <v>610</v>
      </c>
    </row>
    <row r="101" spans="3:32">
      <c r="C101" s="161"/>
      <c r="D101" s="161"/>
      <c r="E101" s="161"/>
      <c r="F101" s="161"/>
      <c r="G101" s="161"/>
      <c r="H101" s="161"/>
      <c r="I101" s="161"/>
      <c r="AF101" t="s">
        <v>611</v>
      </c>
    </row>
    <row r="102" spans="3:32">
      <c r="C102" s="161"/>
      <c r="D102" s="161"/>
      <c r="E102" s="161"/>
      <c r="F102" s="161"/>
      <c r="G102" s="161"/>
      <c r="H102" s="161"/>
      <c r="I102" s="161"/>
      <c r="AF102" t="s">
        <v>612</v>
      </c>
    </row>
    <row r="103" spans="3:32">
      <c r="C103" s="161"/>
      <c r="D103" s="161"/>
      <c r="E103" s="161"/>
      <c r="F103" s="161"/>
      <c r="G103" s="161"/>
      <c r="H103" s="161"/>
      <c r="I103" s="161"/>
      <c r="AF103" t="s">
        <v>613</v>
      </c>
    </row>
    <row r="104" spans="3:32">
      <c r="C104" s="161"/>
      <c r="D104" s="161"/>
      <c r="E104" s="161"/>
      <c r="F104" s="161"/>
      <c r="G104" s="161"/>
      <c r="H104" s="161"/>
      <c r="I104" s="161"/>
      <c r="AF104" t="s">
        <v>614</v>
      </c>
    </row>
    <row r="105" spans="3:32">
      <c r="C105" s="161"/>
      <c r="D105" s="161"/>
      <c r="E105" s="161"/>
      <c r="F105" s="161"/>
      <c r="G105" s="161"/>
      <c r="H105" s="161"/>
      <c r="I105" s="161"/>
      <c r="AF105" t="s">
        <v>615</v>
      </c>
    </row>
    <row r="106" spans="3:32">
      <c r="C106" s="161"/>
      <c r="D106" s="161"/>
      <c r="E106" s="161"/>
      <c r="F106" s="161"/>
      <c r="G106" s="161"/>
      <c r="H106" s="161"/>
      <c r="I106" s="161"/>
      <c r="AF106" t="s">
        <v>616</v>
      </c>
    </row>
    <row r="107" spans="3:32">
      <c r="C107" s="161"/>
      <c r="D107" s="161"/>
      <c r="E107" s="161"/>
      <c r="F107" s="161"/>
      <c r="G107" s="161"/>
      <c r="H107" s="161"/>
      <c r="I107" s="161"/>
      <c r="AF107" t="s">
        <v>474</v>
      </c>
    </row>
    <row r="108" spans="3:32">
      <c r="C108" s="161"/>
      <c r="D108" s="161"/>
      <c r="E108" s="161"/>
      <c r="F108" s="161"/>
      <c r="G108" s="161"/>
      <c r="H108" s="161"/>
      <c r="I108" s="161"/>
      <c r="AF108" t="s">
        <v>617</v>
      </c>
    </row>
    <row r="109" spans="3:32">
      <c r="C109" s="161"/>
      <c r="D109" s="161"/>
      <c r="E109" s="161"/>
      <c r="F109" s="161"/>
      <c r="G109" s="161"/>
      <c r="H109" s="161"/>
      <c r="I109" s="161"/>
      <c r="AF109" t="s">
        <v>618</v>
      </c>
    </row>
    <row r="110" spans="3:32">
      <c r="AF110" t="s">
        <v>619</v>
      </c>
    </row>
    <row r="111" spans="3:32">
      <c r="AF111" t="s">
        <v>620</v>
      </c>
    </row>
    <row r="112" spans="3:32">
      <c r="AF112" t="s">
        <v>621</v>
      </c>
    </row>
    <row r="113" spans="3:32">
      <c r="C113" s="161"/>
      <c r="D113" s="161"/>
      <c r="E113" s="161"/>
      <c r="F113" s="161"/>
      <c r="G113" s="161"/>
      <c r="H113" s="161"/>
      <c r="I113" s="161"/>
      <c r="AF113" t="s">
        <v>622</v>
      </c>
    </row>
    <row r="114" spans="3:32">
      <c r="C114" s="161"/>
      <c r="D114" s="161"/>
      <c r="E114" s="161"/>
      <c r="F114" s="161"/>
      <c r="G114" s="161"/>
      <c r="H114" s="161"/>
      <c r="I114" s="161"/>
      <c r="AF114" t="s">
        <v>623</v>
      </c>
    </row>
    <row r="115" spans="3:32">
      <c r="C115" s="161"/>
      <c r="D115" s="161"/>
      <c r="E115" s="161"/>
      <c r="F115" s="161"/>
      <c r="G115" s="161"/>
      <c r="H115" s="161"/>
      <c r="I115" s="161"/>
      <c r="AF115" t="s">
        <v>624</v>
      </c>
    </row>
    <row r="116" spans="3:32">
      <c r="C116" s="161"/>
      <c r="D116" s="161"/>
      <c r="E116" s="161"/>
      <c r="F116" s="161"/>
      <c r="G116" s="161"/>
      <c r="H116" s="161"/>
      <c r="I116" s="161"/>
      <c r="AF116" t="s">
        <v>625</v>
      </c>
    </row>
    <row r="117" spans="3:32">
      <c r="C117" s="161"/>
      <c r="D117" s="161"/>
      <c r="E117" s="161"/>
      <c r="F117" s="161"/>
      <c r="G117" s="161"/>
      <c r="H117" s="161"/>
      <c r="I117" s="161"/>
      <c r="AF117" t="s">
        <v>626</v>
      </c>
    </row>
    <row r="118" spans="3:32">
      <c r="C118" s="161"/>
      <c r="D118" s="161"/>
      <c r="E118" s="161"/>
      <c r="F118" s="161"/>
      <c r="G118" s="161"/>
      <c r="H118" s="161"/>
      <c r="I118" s="161"/>
      <c r="AF118" t="s">
        <v>627</v>
      </c>
    </row>
    <row r="119" spans="3:32">
      <c r="C119" s="161"/>
      <c r="D119" s="161"/>
      <c r="E119" s="161"/>
      <c r="F119" s="161"/>
      <c r="G119" s="161"/>
      <c r="H119" s="161"/>
      <c r="I119" s="161"/>
      <c r="AF119" t="s">
        <v>628</v>
      </c>
    </row>
    <row r="120" spans="3:32">
      <c r="C120" s="161"/>
      <c r="D120" s="161"/>
      <c r="E120" s="161"/>
      <c r="F120" s="161"/>
      <c r="G120" s="161"/>
      <c r="H120" s="161"/>
      <c r="I120" s="161"/>
      <c r="AF120" t="s">
        <v>629</v>
      </c>
    </row>
    <row r="121" spans="3:32">
      <c r="C121" s="161"/>
      <c r="D121" s="161"/>
      <c r="E121" s="161"/>
      <c r="F121" s="161"/>
      <c r="G121" s="161"/>
      <c r="H121" s="161"/>
      <c r="I121" s="161"/>
      <c r="AF121" t="s">
        <v>630</v>
      </c>
    </row>
    <row r="122" spans="3:32">
      <c r="C122" s="161"/>
      <c r="D122" s="161"/>
      <c r="E122" s="161"/>
      <c r="F122" s="161"/>
      <c r="G122" s="161"/>
      <c r="H122" s="161"/>
      <c r="I122" s="161"/>
      <c r="AF122" t="s">
        <v>631</v>
      </c>
    </row>
    <row r="123" spans="3:32">
      <c r="C123" s="161"/>
      <c r="D123" s="161"/>
      <c r="E123" s="161"/>
      <c r="F123" s="161"/>
      <c r="G123" s="161"/>
      <c r="H123" s="161"/>
      <c r="I123" s="161"/>
      <c r="AF123" t="s">
        <v>632</v>
      </c>
    </row>
    <row r="124" spans="3:32">
      <c r="C124" s="161"/>
      <c r="D124" s="161"/>
      <c r="E124" s="161"/>
      <c r="F124" s="161"/>
      <c r="G124" s="161"/>
      <c r="H124" s="161"/>
      <c r="I124" s="161"/>
      <c r="AF124" t="s">
        <v>633</v>
      </c>
    </row>
    <row r="125" spans="3:32">
      <c r="C125" s="161"/>
      <c r="D125" s="161"/>
      <c r="E125" s="161"/>
      <c r="F125" s="161"/>
      <c r="G125" s="161"/>
      <c r="H125" s="161"/>
      <c r="I125" s="161"/>
      <c r="AF125" t="s">
        <v>634</v>
      </c>
    </row>
    <row r="126" spans="3:32">
      <c r="C126" s="161"/>
      <c r="D126" s="161"/>
      <c r="E126" s="161"/>
      <c r="F126" s="161"/>
      <c r="G126" s="161"/>
      <c r="H126" s="161"/>
      <c r="I126" s="161"/>
      <c r="AF126" t="s">
        <v>635</v>
      </c>
    </row>
    <row r="127" spans="3:32">
      <c r="C127" s="161"/>
      <c r="D127" s="161"/>
      <c r="E127" s="161"/>
      <c r="F127" s="161"/>
      <c r="G127" s="161"/>
      <c r="H127" s="161"/>
      <c r="I127" s="161"/>
      <c r="AF127" t="s">
        <v>636</v>
      </c>
    </row>
    <row r="128" spans="3:32">
      <c r="C128" s="161"/>
      <c r="D128" s="161"/>
      <c r="E128" s="161"/>
      <c r="F128" s="161"/>
      <c r="G128" s="161"/>
      <c r="H128" s="161"/>
      <c r="I128" s="161"/>
      <c r="AF128" t="s">
        <v>637</v>
      </c>
    </row>
    <row r="129" spans="3:32">
      <c r="C129" s="161"/>
      <c r="D129" s="161"/>
      <c r="E129" s="161"/>
      <c r="F129" s="161"/>
      <c r="G129" s="161"/>
      <c r="H129" s="161"/>
      <c r="I129" s="161"/>
      <c r="AF129" t="s">
        <v>638</v>
      </c>
    </row>
    <row r="130" spans="3:32">
      <c r="C130" s="161"/>
      <c r="D130" s="161"/>
      <c r="E130" s="161"/>
      <c r="F130" s="161"/>
      <c r="G130" s="161"/>
      <c r="H130" s="161"/>
      <c r="I130" s="161"/>
      <c r="AF130" t="s">
        <v>639</v>
      </c>
    </row>
    <row r="131" spans="3:32">
      <c r="AF131" t="s">
        <v>640</v>
      </c>
    </row>
    <row r="132" spans="3:32">
      <c r="AF132" t="s">
        <v>641</v>
      </c>
    </row>
    <row r="133" spans="3:32">
      <c r="AF133" t="s">
        <v>642</v>
      </c>
    </row>
    <row r="134" spans="3:32">
      <c r="C134" s="161"/>
      <c r="D134" s="161"/>
      <c r="E134" s="161"/>
      <c r="F134" s="161"/>
      <c r="G134" s="161"/>
      <c r="H134" s="161"/>
      <c r="I134" s="161"/>
      <c r="AF134" t="s">
        <v>174</v>
      </c>
    </row>
    <row r="135" spans="3:32">
      <c r="C135" s="161"/>
      <c r="D135" s="161"/>
      <c r="E135" s="161"/>
      <c r="F135" s="161"/>
      <c r="G135" s="161"/>
      <c r="H135" s="161"/>
      <c r="I135" s="161"/>
      <c r="AF135" t="s">
        <v>643</v>
      </c>
    </row>
    <row r="136" spans="3:32">
      <c r="C136" s="161"/>
      <c r="D136" s="161"/>
      <c r="E136" s="161"/>
      <c r="F136" s="161"/>
      <c r="G136" s="161"/>
      <c r="H136" s="161"/>
      <c r="I136" s="161"/>
      <c r="AF136" t="s">
        <v>644</v>
      </c>
    </row>
    <row r="137" spans="3:32">
      <c r="C137" s="161"/>
      <c r="D137" s="161"/>
      <c r="E137" s="161"/>
      <c r="F137" s="161"/>
      <c r="G137" s="161"/>
      <c r="H137" s="161"/>
      <c r="I137" s="161"/>
      <c r="AF137" t="s">
        <v>645</v>
      </c>
    </row>
    <row r="138" spans="3:32">
      <c r="C138" s="161"/>
      <c r="D138" s="161"/>
      <c r="E138" s="161"/>
      <c r="F138" s="161"/>
      <c r="G138" s="161"/>
      <c r="H138" s="161"/>
      <c r="I138" s="161"/>
      <c r="AF138" t="s">
        <v>646</v>
      </c>
    </row>
    <row r="139" spans="3:32">
      <c r="C139" s="161"/>
      <c r="D139" s="161"/>
      <c r="E139" s="161"/>
      <c r="F139" s="161"/>
      <c r="G139" s="161"/>
      <c r="H139" s="161"/>
      <c r="I139" s="161"/>
      <c r="AF139" t="s">
        <v>647</v>
      </c>
    </row>
    <row r="140" spans="3:32">
      <c r="C140" s="161"/>
      <c r="D140" s="161"/>
      <c r="E140" s="161"/>
      <c r="F140" s="161"/>
      <c r="G140" s="161"/>
      <c r="H140" s="161"/>
      <c r="I140" s="161"/>
      <c r="AF140" t="s">
        <v>648</v>
      </c>
    </row>
    <row r="141" spans="3:32">
      <c r="C141" s="161"/>
      <c r="D141" s="161"/>
      <c r="E141" s="161"/>
      <c r="F141" s="161"/>
      <c r="G141" s="161"/>
      <c r="H141" s="161"/>
      <c r="I141" s="161"/>
      <c r="AF141" t="s">
        <v>649</v>
      </c>
    </row>
    <row r="142" spans="3:32">
      <c r="C142" s="161"/>
      <c r="D142" s="161"/>
      <c r="E142" s="161"/>
      <c r="F142" s="161"/>
      <c r="G142" s="161"/>
      <c r="H142" s="161"/>
      <c r="I142" s="161"/>
      <c r="AF142" t="s">
        <v>650</v>
      </c>
    </row>
    <row r="143" spans="3:32">
      <c r="C143" s="161"/>
      <c r="D143" s="161"/>
      <c r="E143" s="161"/>
      <c r="F143" s="161"/>
      <c r="G143" s="161"/>
      <c r="H143" s="161"/>
      <c r="I143" s="161"/>
      <c r="AF143" t="s">
        <v>651</v>
      </c>
    </row>
    <row r="144" spans="3:32">
      <c r="C144" s="161"/>
      <c r="D144" s="161"/>
      <c r="E144" s="161"/>
      <c r="F144" s="161"/>
      <c r="G144" s="161"/>
      <c r="H144" s="161"/>
      <c r="I144" s="161"/>
      <c r="AF144" t="s">
        <v>476</v>
      </c>
    </row>
    <row r="145" spans="3:32">
      <c r="C145" s="161"/>
      <c r="D145" s="161"/>
      <c r="E145" s="161"/>
      <c r="F145" s="161"/>
      <c r="G145" s="161"/>
      <c r="H145" s="161"/>
      <c r="I145" s="161"/>
      <c r="AF145" t="s">
        <v>652</v>
      </c>
    </row>
    <row r="146" spans="3:32">
      <c r="C146" s="161"/>
      <c r="D146" s="161"/>
      <c r="E146" s="161"/>
      <c r="F146" s="161"/>
      <c r="G146" s="161"/>
      <c r="H146" s="161"/>
      <c r="I146" s="161"/>
      <c r="AF146" t="s">
        <v>653</v>
      </c>
    </row>
    <row r="147" spans="3:32">
      <c r="C147" s="161"/>
      <c r="D147" s="161"/>
      <c r="E147" s="161"/>
      <c r="F147" s="161"/>
      <c r="G147" s="161"/>
      <c r="H147" s="161"/>
      <c r="I147" s="161"/>
      <c r="AF147" t="s">
        <v>654</v>
      </c>
    </row>
    <row r="148" spans="3:32">
      <c r="C148" s="161"/>
      <c r="D148" s="161"/>
      <c r="E148" s="161"/>
      <c r="F148" s="161"/>
      <c r="G148" s="161"/>
      <c r="H148" s="161"/>
      <c r="I148" s="161"/>
      <c r="AF148" t="s">
        <v>655</v>
      </c>
    </row>
    <row r="149" spans="3:32">
      <c r="C149" s="161"/>
      <c r="D149" s="161"/>
      <c r="E149" s="161"/>
      <c r="F149" s="161"/>
      <c r="G149" s="161"/>
      <c r="H149" s="161"/>
      <c r="I149" s="161"/>
      <c r="AF149" t="s">
        <v>656</v>
      </c>
    </row>
    <row r="150" spans="3:32">
      <c r="C150" s="161"/>
      <c r="D150" s="161"/>
      <c r="E150" s="161"/>
      <c r="F150" s="161"/>
      <c r="G150" s="161"/>
      <c r="H150" s="161"/>
      <c r="I150" s="161"/>
      <c r="AF150" t="s">
        <v>657</v>
      </c>
    </row>
    <row r="151" spans="3:32">
      <c r="C151" s="161"/>
      <c r="D151" s="161"/>
      <c r="E151" s="161"/>
      <c r="F151" s="161"/>
      <c r="G151" s="161"/>
      <c r="H151" s="161"/>
      <c r="I151" s="161"/>
      <c r="AF151" t="s">
        <v>658</v>
      </c>
    </row>
    <row r="152" spans="3:32">
      <c r="AF152" t="s">
        <v>376</v>
      </c>
    </row>
    <row r="153" spans="3:32">
      <c r="AF153" t="s">
        <v>659</v>
      </c>
    </row>
    <row r="154" spans="3:32">
      <c r="AF154" t="s">
        <v>660</v>
      </c>
    </row>
    <row r="155" spans="3:32">
      <c r="C155" s="161"/>
      <c r="D155" s="161"/>
      <c r="E155" s="161"/>
      <c r="F155" s="161"/>
      <c r="G155" s="161"/>
      <c r="H155" s="161"/>
      <c r="I155" s="161"/>
      <c r="AF155" t="s">
        <v>661</v>
      </c>
    </row>
    <row r="156" spans="3:32">
      <c r="C156" s="161"/>
      <c r="D156" s="161"/>
      <c r="E156" s="161"/>
      <c r="F156" s="161"/>
      <c r="G156" s="161"/>
      <c r="H156" s="161"/>
      <c r="I156" s="161"/>
      <c r="AF156" t="s">
        <v>662</v>
      </c>
    </row>
    <row r="157" spans="3:32">
      <c r="C157" s="161"/>
      <c r="D157" s="161"/>
      <c r="E157" s="161"/>
      <c r="F157" s="161"/>
      <c r="G157" s="161"/>
      <c r="H157" s="161"/>
      <c r="I157" s="161"/>
      <c r="AF157" t="s">
        <v>663</v>
      </c>
    </row>
    <row r="158" spans="3:32">
      <c r="C158" s="161"/>
      <c r="D158" s="161"/>
      <c r="E158" s="161"/>
      <c r="F158" s="161"/>
      <c r="G158" s="161"/>
      <c r="H158" s="161"/>
      <c r="I158" s="161"/>
      <c r="AF158" t="s">
        <v>664</v>
      </c>
    </row>
    <row r="159" spans="3:32">
      <c r="C159" s="161"/>
      <c r="D159" s="161"/>
      <c r="E159" s="161"/>
      <c r="F159" s="161"/>
      <c r="G159" s="161"/>
      <c r="H159" s="161"/>
      <c r="I159" s="161"/>
      <c r="AF159" t="s">
        <v>665</v>
      </c>
    </row>
    <row r="160" spans="3:32">
      <c r="C160" s="161"/>
      <c r="D160" s="161"/>
      <c r="E160" s="161"/>
      <c r="F160" s="161"/>
      <c r="G160" s="161"/>
      <c r="H160" s="161"/>
      <c r="I160" s="161"/>
      <c r="AF160" t="s">
        <v>666</v>
      </c>
    </row>
    <row r="161" spans="3:32">
      <c r="C161" s="161"/>
      <c r="D161" s="161"/>
      <c r="E161" s="161"/>
      <c r="F161" s="161"/>
      <c r="G161" s="161"/>
      <c r="H161" s="161"/>
      <c r="I161" s="161"/>
      <c r="AF161" t="s">
        <v>667</v>
      </c>
    </row>
    <row r="162" spans="3:32">
      <c r="C162" s="161"/>
      <c r="D162" s="161"/>
      <c r="E162" s="161"/>
      <c r="F162" s="161"/>
      <c r="G162" s="161"/>
      <c r="H162" s="161"/>
      <c r="I162" s="161"/>
      <c r="AF162" t="s">
        <v>668</v>
      </c>
    </row>
    <row r="163" spans="3:32">
      <c r="C163" s="161"/>
      <c r="D163" s="161"/>
      <c r="E163" s="161"/>
      <c r="F163" s="161"/>
      <c r="G163" s="161"/>
      <c r="H163" s="161"/>
      <c r="I163" s="161"/>
      <c r="AF163" t="s">
        <v>669</v>
      </c>
    </row>
    <row r="164" spans="3:32">
      <c r="C164" s="161"/>
      <c r="D164" s="161"/>
      <c r="E164" s="161"/>
      <c r="F164" s="161"/>
      <c r="G164" s="161"/>
      <c r="H164" s="161"/>
      <c r="I164" s="161"/>
      <c r="AF164" t="s">
        <v>670</v>
      </c>
    </row>
    <row r="165" spans="3:32">
      <c r="C165" s="161"/>
      <c r="D165" s="161"/>
      <c r="E165" s="161"/>
      <c r="F165" s="161"/>
      <c r="G165" s="161"/>
      <c r="H165" s="161"/>
      <c r="I165" s="161"/>
      <c r="AF165" t="s">
        <v>475</v>
      </c>
    </row>
    <row r="166" spans="3:32">
      <c r="C166" s="161"/>
      <c r="D166" s="161"/>
      <c r="E166" s="161"/>
      <c r="F166" s="161"/>
      <c r="G166" s="161"/>
      <c r="H166" s="161"/>
      <c r="I166" s="161"/>
      <c r="AF166" t="s">
        <v>377</v>
      </c>
    </row>
    <row r="167" spans="3:32">
      <c r="C167" s="161"/>
      <c r="D167" s="161"/>
      <c r="E167" s="161"/>
      <c r="F167" s="161"/>
      <c r="G167" s="161"/>
      <c r="H167" s="161"/>
      <c r="I167" s="161"/>
      <c r="AF167" t="s">
        <v>671</v>
      </c>
    </row>
    <row r="168" spans="3:32">
      <c r="C168" s="161"/>
      <c r="D168" s="161"/>
      <c r="E168" s="161"/>
      <c r="F168" s="161"/>
      <c r="G168" s="161"/>
      <c r="H168" s="161"/>
      <c r="I168" s="161"/>
      <c r="AF168" t="s">
        <v>672</v>
      </c>
    </row>
    <row r="169" spans="3:32">
      <c r="C169" s="161"/>
      <c r="D169" s="161"/>
      <c r="E169" s="161"/>
      <c r="F169" s="161"/>
      <c r="G169" s="161"/>
      <c r="H169" s="161"/>
      <c r="I169" s="161"/>
      <c r="AF169" t="s">
        <v>673</v>
      </c>
    </row>
    <row r="170" spans="3:32">
      <c r="C170" s="161"/>
      <c r="D170" s="161"/>
      <c r="E170" s="161"/>
      <c r="F170" s="161"/>
      <c r="G170" s="161"/>
      <c r="H170" s="161"/>
      <c r="I170" s="161"/>
      <c r="AF170" t="s">
        <v>674</v>
      </c>
    </row>
    <row r="171" spans="3:32">
      <c r="C171" s="161"/>
      <c r="D171" s="161"/>
      <c r="E171" s="161"/>
      <c r="F171" s="161"/>
      <c r="G171" s="161"/>
      <c r="H171" s="161"/>
      <c r="I171" s="161"/>
      <c r="AF171" t="s">
        <v>675</v>
      </c>
    </row>
    <row r="172" spans="3:32">
      <c r="C172" s="161"/>
      <c r="D172" s="161"/>
      <c r="E172" s="161"/>
      <c r="F172" s="161"/>
      <c r="G172" s="161"/>
      <c r="H172" s="161"/>
      <c r="I172" s="161"/>
      <c r="AF172" t="s">
        <v>375</v>
      </c>
    </row>
    <row r="173" spans="3:32">
      <c r="AF173" t="s">
        <v>676</v>
      </c>
    </row>
    <row r="174" spans="3:32">
      <c r="AF174" t="s">
        <v>677</v>
      </c>
    </row>
    <row r="175" spans="3:32">
      <c r="AF175" t="s">
        <v>678</v>
      </c>
    </row>
    <row r="176" spans="3:32">
      <c r="C176" s="161"/>
      <c r="D176" s="161"/>
      <c r="E176" s="161"/>
      <c r="F176" s="161"/>
      <c r="G176" s="161"/>
      <c r="H176" s="161"/>
      <c r="I176" s="161"/>
      <c r="AF176" t="s">
        <v>679</v>
      </c>
    </row>
    <row r="177" spans="3:32">
      <c r="C177" s="161"/>
      <c r="D177" s="161"/>
      <c r="E177" s="161"/>
      <c r="F177" s="161"/>
      <c r="G177" s="161"/>
      <c r="H177" s="161"/>
      <c r="I177" s="161"/>
      <c r="AF177" t="s">
        <v>680</v>
      </c>
    </row>
    <row r="178" spans="3:32">
      <c r="C178" s="161"/>
      <c r="D178" s="161"/>
      <c r="E178" s="161"/>
      <c r="F178" s="161"/>
      <c r="G178" s="161"/>
      <c r="H178" s="161"/>
      <c r="I178" s="161"/>
      <c r="AF178" t="s">
        <v>681</v>
      </c>
    </row>
    <row r="179" spans="3:32">
      <c r="C179" s="161"/>
      <c r="D179" s="161"/>
      <c r="E179" s="161"/>
      <c r="F179" s="161"/>
      <c r="G179" s="161"/>
      <c r="H179" s="161"/>
      <c r="I179" s="161"/>
      <c r="AF179" t="s">
        <v>682</v>
      </c>
    </row>
    <row r="180" spans="3:32">
      <c r="C180" s="161"/>
      <c r="D180" s="161"/>
      <c r="E180" s="161"/>
      <c r="F180" s="161"/>
      <c r="G180" s="161"/>
      <c r="H180" s="161"/>
      <c r="I180" s="161"/>
      <c r="AF180" t="s">
        <v>683</v>
      </c>
    </row>
    <row r="181" spans="3:32">
      <c r="C181" s="161"/>
      <c r="D181" s="161"/>
      <c r="E181" s="161"/>
      <c r="F181" s="161"/>
      <c r="G181" s="161"/>
      <c r="H181" s="161"/>
      <c r="I181" s="161"/>
      <c r="AF181" t="s">
        <v>684</v>
      </c>
    </row>
    <row r="182" spans="3:32">
      <c r="C182" s="161"/>
      <c r="D182" s="161"/>
      <c r="E182" s="161"/>
      <c r="F182" s="161"/>
      <c r="G182" s="161"/>
      <c r="H182" s="161"/>
      <c r="I182" s="161"/>
    </row>
    <row r="183" spans="3:32">
      <c r="C183" s="161"/>
      <c r="D183" s="161"/>
      <c r="E183" s="161"/>
      <c r="F183" s="161"/>
      <c r="G183" s="161"/>
      <c r="H183" s="161"/>
      <c r="I183" s="161"/>
    </row>
    <row r="184" spans="3:32">
      <c r="C184" s="161"/>
      <c r="D184" s="161"/>
      <c r="E184" s="161"/>
      <c r="F184" s="161"/>
      <c r="G184" s="161"/>
      <c r="H184" s="161"/>
      <c r="I184" s="161"/>
    </row>
    <row r="185" spans="3:32">
      <c r="C185" s="161"/>
      <c r="D185" s="161"/>
      <c r="E185" s="161"/>
      <c r="F185" s="161"/>
      <c r="G185" s="161"/>
      <c r="H185" s="161"/>
      <c r="I185" s="161"/>
    </row>
    <row r="186" spans="3:32">
      <c r="C186" s="161"/>
      <c r="D186" s="161"/>
      <c r="E186" s="161"/>
      <c r="F186" s="161"/>
      <c r="G186" s="161"/>
      <c r="H186" s="161"/>
      <c r="I186" s="161"/>
      <c r="AC186" s="495" t="s">
        <v>711</v>
      </c>
      <c r="AD186" t="s">
        <v>770</v>
      </c>
    </row>
    <row r="187" spans="3:32">
      <c r="C187" s="161"/>
      <c r="D187" s="161"/>
      <c r="E187" s="161"/>
      <c r="F187" s="161"/>
      <c r="G187" s="161"/>
      <c r="H187" s="161"/>
      <c r="I187" s="161"/>
    </row>
    <row r="188" spans="3:32">
      <c r="C188" s="161"/>
      <c r="D188" s="161"/>
      <c r="E188" s="161"/>
      <c r="F188" s="161"/>
      <c r="G188" s="161"/>
      <c r="H188" s="161"/>
      <c r="I188" s="161"/>
      <c r="AB188" t="s">
        <v>711</v>
      </c>
    </row>
    <row r="189" spans="3:32">
      <c r="C189" s="161"/>
      <c r="D189" s="161"/>
      <c r="E189" s="161"/>
      <c r="F189" s="161"/>
      <c r="G189" s="161"/>
      <c r="H189" s="161"/>
      <c r="I189" s="161"/>
      <c r="AB189" t="s">
        <v>770</v>
      </c>
    </row>
    <row r="190" spans="3:32">
      <c r="C190" s="161"/>
      <c r="D190" s="161"/>
      <c r="E190" s="161"/>
      <c r="F190" s="161"/>
      <c r="G190" s="161"/>
      <c r="H190" s="161"/>
      <c r="I190" s="161"/>
      <c r="AB190" t="s">
        <v>771</v>
      </c>
    </row>
    <row r="191" spans="3:32">
      <c r="C191" s="161"/>
      <c r="D191" s="161"/>
      <c r="E191" s="161"/>
      <c r="F191" s="161"/>
      <c r="G191" s="161"/>
      <c r="H191" s="161"/>
      <c r="I191" s="161"/>
    </row>
    <row r="192" spans="3:32">
      <c r="C192" s="161"/>
      <c r="D192" s="161"/>
      <c r="E192" s="161"/>
      <c r="F192" s="161"/>
      <c r="G192" s="161"/>
      <c r="H192" s="161"/>
      <c r="I192" s="161"/>
    </row>
    <row r="193" spans="3:9">
      <c r="C193" s="161"/>
      <c r="D193" s="161"/>
      <c r="E193" s="161"/>
      <c r="F193" s="161"/>
      <c r="G193" s="161"/>
      <c r="H193" s="161"/>
      <c r="I193" s="161"/>
    </row>
    <row r="197" spans="3:9">
      <c r="C197" s="161"/>
      <c r="D197" s="161"/>
      <c r="E197" s="161"/>
      <c r="F197" s="161"/>
      <c r="G197" s="161"/>
      <c r="H197" s="161"/>
      <c r="I197" s="161"/>
    </row>
    <row r="198" spans="3:9">
      <c r="C198" s="161"/>
      <c r="D198" s="161"/>
      <c r="E198" s="161"/>
      <c r="F198" s="161"/>
      <c r="G198" s="161"/>
      <c r="H198" s="161"/>
      <c r="I198" s="161"/>
    </row>
    <row r="199" spans="3:9">
      <c r="C199" s="161"/>
      <c r="D199" s="161"/>
      <c r="E199" s="161"/>
      <c r="F199" s="161"/>
      <c r="G199" s="161"/>
      <c r="H199" s="161"/>
      <c r="I199" s="161"/>
    </row>
    <row r="200" spans="3:9">
      <c r="C200" s="161"/>
      <c r="D200" s="161"/>
      <c r="E200" s="161"/>
      <c r="F200" s="161"/>
      <c r="G200" s="161"/>
      <c r="H200" s="161"/>
      <c r="I200" s="161"/>
    </row>
    <row r="201" spans="3:9">
      <c r="C201" s="161"/>
      <c r="D201" s="161"/>
      <c r="E201" s="161"/>
      <c r="F201" s="161"/>
      <c r="G201" s="161"/>
      <c r="H201" s="161"/>
      <c r="I201" s="161"/>
    </row>
    <row r="202" spans="3:9">
      <c r="C202" s="161"/>
      <c r="D202" s="161"/>
      <c r="E202" s="161"/>
      <c r="F202" s="161"/>
      <c r="G202" s="161"/>
      <c r="H202" s="161"/>
      <c r="I202" s="161"/>
    </row>
    <row r="203" spans="3:9">
      <c r="C203" s="161"/>
      <c r="D203" s="161"/>
      <c r="E203" s="161"/>
      <c r="F203" s="161"/>
      <c r="G203" s="161"/>
      <c r="H203" s="161"/>
      <c r="I203" s="161"/>
    </row>
    <row r="204" spans="3:9">
      <c r="C204" s="161"/>
      <c r="D204" s="161"/>
      <c r="E204" s="161"/>
      <c r="F204" s="161"/>
      <c r="G204" s="161"/>
      <c r="H204" s="161"/>
      <c r="I204" s="161"/>
    </row>
    <row r="205" spans="3:9">
      <c r="C205" s="161"/>
      <c r="D205" s="161"/>
      <c r="E205" s="161"/>
      <c r="F205" s="161"/>
      <c r="G205" s="161"/>
      <c r="H205" s="161"/>
      <c r="I205" s="161"/>
    </row>
    <row r="206" spans="3:9">
      <c r="C206" s="161"/>
      <c r="D206" s="161"/>
      <c r="E206" s="161"/>
      <c r="F206" s="161"/>
      <c r="G206" s="161"/>
      <c r="H206" s="161"/>
      <c r="I206" s="161"/>
    </row>
    <row r="207" spans="3:9">
      <c r="C207" s="161"/>
      <c r="D207" s="161"/>
      <c r="E207" s="161"/>
      <c r="F207" s="161"/>
      <c r="G207" s="161"/>
      <c r="H207" s="161"/>
      <c r="I207" s="161"/>
    </row>
    <row r="208" spans="3:9">
      <c r="C208" s="161"/>
      <c r="D208" s="161"/>
      <c r="E208" s="161"/>
      <c r="F208" s="161"/>
      <c r="G208" s="161"/>
      <c r="H208" s="161"/>
      <c r="I208" s="161"/>
    </row>
    <row r="209" spans="3:9">
      <c r="C209" s="161"/>
      <c r="D209" s="161"/>
      <c r="E209" s="161"/>
      <c r="F209" s="161"/>
      <c r="G209" s="161"/>
      <c r="H209" s="161"/>
      <c r="I209" s="161"/>
    </row>
    <row r="210" spans="3:9">
      <c r="C210" s="161"/>
      <c r="D210" s="161"/>
      <c r="E210" s="161"/>
      <c r="F210" s="161"/>
      <c r="G210" s="161"/>
      <c r="H210" s="161"/>
      <c r="I210" s="161"/>
    </row>
    <row r="211" spans="3:9">
      <c r="C211" s="161"/>
      <c r="D211" s="161"/>
      <c r="E211" s="161"/>
      <c r="F211" s="161"/>
      <c r="G211" s="161"/>
      <c r="H211" s="161"/>
      <c r="I211" s="161"/>
    </row>
    <row r="212" spans="3:9">
      <c r="C212" s="161"/>
      <c r="D212" s="161"/>
      <c r="E212" s="161"/>
      <c r="F212" s="161"/>
      <c r="G212" s="161"/>
      <c r="H212" s="161"/>
      <c r="I212" s="161"/>
    </row>
    <row r="213" spans="3:9">
      <c r="C213" s="161"/>
      <c r="D213" s="161"/>
      <c r="E213" s="161"/>
      <c r="F213" s="161"/>
      <c r="G213" s="161"/>
      <c r="H213" s="161"/>
      <c r="I213" s="161"/>
    </row>
    <row r="214" spans="3:9">
      <c r="C214" s="161"/>
      <c r="D214" s="161"/>
      <c r="E214" s="161"/>
      <c r="F214" s="161"/>
      <c r="G214" s="161"/>
      <c r="H214" s="161"/>
      <c r="I214" s="161"/>
    </row>
    <row r="218" spans="3:9">
      <c r="C218" s="161"/>
      <c r="D218" s="161"/>
      <c r="E218" s="161"/>
      <c r="F218" s="161"/>
      <c r="G218" s="161"/>
      <c r="H218" s="161"/>
      <c r="I218" s="161"/>
    </row>
    <row r="219" spans="3:9">
      <c r="C219" s="161"/>
      <c r="D219" s="161"/>
      <c r="E219" s="161"/>
      <c r="F219" s="161"/>
      <c r="G219" s="161"/>
      <c r="H219" s="161"/>
      <c r="I219" s="161"/>
    </row>
    <row r="220" spans="3:9">
      <c r="C220" s="161"/>
      <c r="D220" s="161"/>
      <c r="E220" s="161"/>
      <c r="F220" s="161"/>
      <c r="G220" s="161"/>
      <c r="H220" s="161"/>
      <c r="I220" s="161"/>
    </row>
    <row r="221" spans="3:9">
      <c r="C221" s="161"/>
      <c r="D221" s="161"/>
      <c r="E221" s="161"/>
      <c r="F221" s="161"/>
      <c r="G221" s="161"/>
      <c r="H221" s="161"/>
      <c r="I221" s="161"/>
    </row>
    <row r="222" spans="3:9">
      <c r="C222" s="161"/>
      <c r="D222" s="161"/>
      <c r="E222" s="161"/>
      <c r="F222" s="161"/>
      <c r="G222" s="161"/>
      <c r="H222" s="161"/>
      <c r="I222" s="161"/>
    </row>
    <row r="223" spans="3:9">
      <c r="C223" s="161"/>
      <c r="D223" s="161"/>
      <c r="E223" s="161"/>
      <c r="F223" s="161"/>
      <c r="G223" s="161"/>
      <c r="H223" s="161"/>
      <c r="I223" s="161"/>
    </row>
    <row r="224" spans="3:9">
      <c r="C224" s="161"/>
      <c r="D224" s="161"/>
      <c r="E224" s="161"/>
      <c r="F224" s="161"/>
      <c r="G224" s="161"/>
      <c r="H224" s="161"/>
      <c r="I224" s="161"/>
    </row>
    <row r="225" spans="3:9">
      <c r="C225" s="161"/>
      <c r="D225" s="161"/>
      <c r="E225" s="161"/>
      <c r="F225" s="161"/>
      <c r="G225" s="161"/>
      <c r="H225" s="161"/>
      <c r="I225" s="161"/>
    </row>
    <row r="226" spans="3:9">
      <c r="C226" s="161"/>
      <c r="D226" s="161"/>
      <c r="E226" s="161"/>
      <c r="F226" s="161"/>
      <c r="G226" s="161"/>
      <c r="H226" s="161"/>
      <c r="I226" s="161"/>
    </row>
    <row r="227" spans="3:9">
      <c r="C227" s="161"/>
      <c r="D227" s="161"/>
      <c r="E227" s="161"/>
      <c r="F227" s="161"/>
      <c r="G227" s="161"/>
      <c r="H227" s="161"/>
      <c r="I227" s="161"/>
    </row>
    <row r="228" spans="3:9">
      <c r="C228" s="161"/>
      <c r="D228" s="161"/>
      <c r="E228" s="161"/>
      <c r="F228" s="161"/>
      <c r="G228" s="161"/>
      <c r="H228" s="161"/>
      <c r="I228" s="161"/>
    </row>
    <row r="229" spans="3:9">
      <c r="C229" s="161"/>
      <c r="D229" s="161"/>
      <c r="E229" s="161"/>
      <c r="F229" s="161"/>
      <c r="G229" s="161"/>
      <c r="H229" s="161"/>
      <c r="I229" s="161"/>
    </row>
    <row r="230" spans="3:9">
      <c r="C230" s="161"/>
      <c r="D230" s="161"/>
      <c r="E230" s="161"/>
      <c r="F230" s="161"/>
      <c r="G230" s="161"/>
      <c r="H230" s="161"/>
      <c r="I230" s="161"/>
    </row>
    <row r="231" spans="3:9">
      <c r="C231" s="161"/>
      <c r="D231" s="161"/>
      <c r="E231" s="161"/>
      <c r="F231" s="161"/>
      <c r="G231" s="161"/>
      <c r="H231" s="161"/>
      <c r="I231" s="161"/>
    </row>
    <row r="232" spans="3:9">
      <c r="C232" s="161"/>
      <c r="D232" s="161"/>
      <c r="E232" s="161"/>
      <c r="F232" s="161"/>
      <c r="G232" s="161"/>
      <c r="H232" s="161"/>
      <c r="I232" s="161"/>
    </row>
    <row r="233" spans="3:9">
      <c r="C233" s="161"/>
      <c r="D233" s="161"/>
      <c r="E233" s="161"/>
      <c r="F233" s="161"/>
      <c r="G233" s="161"/>
      <c r="H233" s="161"/>
      <c r="I233" s="161"/>
    </row>
    <row r="234" spans="3:9">
      <c r="C234" s="161"/>
      <c r="D234" s="161"/>
      <c r="E234" s="161"/>
      <c r="F234" s="161"/>
      <c r="G234" s="161"/>
      <c r="H234" s="161"/>
      <c r="I234" s="161"/>
    </row>
    <row r="235" spans="3:9">
      <c r="C235" s="161"/>
      <c r="D235" s="161"/>
      <c r="E235" s="161"/>
      <c r="F235" s="161"/>
      <c r="G235" s="161"/>
      <c r="H235" s="161"/>
      <c r="I235" s="161"/>
    </row>
    <row r="239" spans="3:9">
      <c r="C239" s="161"/>
      <c r="D239" s="161"/>
      <c r="E239" s="161"/>
      <c r="F239" s="161"/>
      <c r="G239" s="161"/>
      <c r="H239" s="161"/>
      <c r="I239" s="161"/>
    </row>
    <row r="240" spans="3:9">
      <c r="C240" s="161"/>
      <c r="D240" s="161"/>
      <c r="E240" s="161"/>
      <c r="F240" s="161"/>
      <c r="G240" s="161"/>
      <c r="H240" s="161"/>
      <c r="I240" s="161"/>
    </row>
    <row r="241" spans="3:9">
      <c r="C241" s="161"/>
      <c r="D241" s="161"/>
      <c r="E241" s="161"/>
      <c r="F241" s="161"/>
      <c r="G241" s="161"/>
      <c r="H241" s="161"/>
      <c r="I241" s="161"/>
    </row>
    <row r="242" spans="3:9">
      <c r="C242" s="161"/>
      <c r="D242" s="161"/>
      <c r="E242" s="161"/>
      <c r="F242" s="161"/>
      <c r="G242" s="161"/>
      <c r="H242" s="161"/>
      <c r="I242" s="161"/>
    </row>
    <row r="243" spans="3:9">
      <c r="C243" s="161"/>
      <c r="D243" s="161"/>
      <c r="E243" s="161"/>
      <c r="F243" s="161"/>
      <c r="G243" s="161"/>
      <c r="H243" s="161"/>
      <c r="I243" s="161"/>
    </row>
    <row r="244" spans="3:9">
      <c r="C244" s="161"/>
      <c r="D244" s="161"/>
      <c r="E244" s="161"/>
      <c r="F244" s="161"/>
      <c r="G244" s="161"/>
      <c r="H244" s="161"/>
      <c r="I244" s="161"/>
    </row>
    <row r="245" spans="3:9">
      <c r="C245" s="161"/>
      <c r="D245" s="161"/>
      <c r="E245" s="161"/>
      <c r="F245" s="161"/>
      <c r="G245" s="161"/>
      <c r="H245" s="161"/>
      <c r="I245" s="161"/>
    </row>
    <row r="246" spans="3:9">
      <c r="C246" s="161"/>
      <c r="D246" s="161"/>
      <c r="E246" s="161"/>
      <c r="F246" s="161"/>
      <c r="G246" s="161"/>
      <c r="H246" s="161"/>
      <c r="I246" s="161"/>
    </row>
    <row r="247" spans="3:9">
      <c r="C247" s="161"/>
      <c r="D247" s="161"/>
      <c r="E247" s="161"/>
      <c r="F247" s="161"/>
      <c r="G247" s="161"/>
      <c r="H247" s="161"/>
      <c r="I247" s="161"/>
    </row>
    <row r="248" spans="3:9">
      <c r="C248" s="161"/>
      <c r="D248" s="161"/>
      <c r="E248" s="161"/>
      <c r="F248" s="161"/>
      <c r="G248" s="161"/>
      <c r="H248" s="161"/>
      <c r="I248" s="161"/>
    </row>
    <row r="249" spans="3:9">
      <c r="C249" s="161"/>
      <c r="D249" s="161"/>
      <c r="E249" s="161"/>
      <c r="F249" s="161"/>
      <c r="G249" s="161"/>
      <c r="H249" s="161"/>
      <c r="I249" s="161"/>
    </row>
    <row r="250" spans="3:9">
      <c r="C250" s="161"/>
      <c r="D250" s="161"/>
      <c r="E250" s="161"/>
      <c r="F250" s="161"/>
      <c r="G250" s="161"/>
      <c r="H250" s="161"/>
      <c r="I250" s="161"/>
    </row>
    <row r="251" spans="3:9">
      <c r="C251" s="161"/>
      <c r="D251" s="161"/>
      <c r="E251" s="161"/>
      <c r="F251" s="161"/>
      <c r="G251" s="161"/>
      <c r="H251" s="161"/>
      <c r="I251" s="161"/>
    </row>
    <row r="252" spans="3:9">
      <c r="C252" s="161"/>
      <c r="D252" s="161"/>
      <c r="E252" s="161"/>
      <c r="F252" s="161"/>
      <c r="G252" s="161"/>
      <c r="H252" s="161"/>
      <c r="I252" s="161"/>
    </row>
    <row r="253" spans="3:9">
      <c r="C253" s="161"/>
      <c r="D253" s="161"/>
      <c r="E253" s="161"/>
      <c r="F253" s="161"/>
      <c r="G253" s="161"/>
      <c r="H253" s="161"/>
      <c r="I253" s="161"/>
    </row>
    <row r="254" spans="3:9">
      <c r="C254" s="161"/>
      <c r="D254" s="161"/>
      <c r="E254" s="161"/>
      <c r="F254" s="161"/>
      <c r="G254" s="161"/>
      <c r="H254" s="161"/>
      <c r="I254" s="161"/>
    </row>
    <row r="255" spans="3:9">
      <c r="C255" s="161"/>
      <c r="D255" s="161"/>
      <c r="E255" s="161"/>
      <c r="F255" s="161"/>
      <c r="G255" s="161"/>
      <c r="H255" s="161"/>
      <c r="I255" s="161"/>
    </row>
    <row r="256" spans="3:9">
      <c r="C256" s="161"/>
      <c r="D256" s="161"/>
      <c r="E256" s="161"/>
      <c r="F256" s="161"/>
      <c r="G256" s="161"/>
      <c r="H256" s="161"/>
      <c r="I256" s="161"/>
    </row>
  </sheetData>
  <sheetProtection algorithmName="SHA-512" hashValue="qUU9c9Nuu+LcMCtttXP754bGHnlTJ+PJsHCg5AN0bSVMGtEP8Q7ZkXSfzb+lCQ9yAsHByIFJ8OZL/ggZ4HWAVg==" saltValue="siW+yEYRcFr+X2+UUH4+gg==" spinCount="100000" sheet="1" objects="1" scenarios="1" formatCells="0" autoFilter="0" pivotTables="0"/>
  <protectedRanges>
    <protectedRange sqref="AB185:AD191 AF174:AF197 AJ174:AJ197 AG174:AI178 AG186:AI197" name="dashpivot"/>
    <protectedRange sqref="M12:P19 R12:X23 O3:O4 S3:S5 W3:W4 V7 AB28:AC30 AD1:AN8 AA16:AA17 AA13" name="editable"/>
  </protectedRanges>
  <mergeCells count="13">
    <mergeCell ref="S17:X17"/>
    <mergeCell ref="S21:X21"/>
    <mergeCell ref="S22:X22"/>
    <mergeCell ref="S12:X12"/>
    <mergeCell ref="S13:X13"/>
    <mergeCell ref="S14:X14"/>
    <mergeCell ref="S15:X15"/>
    <mergeCell ref="S16:X16"/>
    <mergeCell ref="S23:X23"/>
    <mergeCell ref="M21:P22"/>
    <mergeCell ref="S18:X18"/>
    <mergeCell ref="S19:X19"/>
    <mergeCell ref="S20:X20"/>
  </mergeCells>
  <phoneticPr fontId="111" type="noConversion"/>
  <conditionalFormatting sqref="N12:N19 P12:P19">
    <cfRule type="cellIs" dxfId="132" priority="7" operator="lessThan">
      <formula>0</formula>
    </cfRule>
  </conditionalFormatting>
  <dataValidations count="6">
    <dataValidation allowBlank="1" showInputMessage="1" showErrorMessage="1" prompt="List below will appear in &quot;trade log sheet&quot; notes drop-down list" sqref="R9 R11" xr:uid="{00000000-0002-0000-0300-000003000000}"/>
    <dataValidation type="list" allowBlank="1" showInputMessage="1" showErrorMessage="1" sqref="AA13" xr:uid="{9B51B0CC-DCE2-4FA0-96B2-1E0C2009CEAC}">
      <formula1>$AI$2:$AI$3</formula1>
    </dataValidation>
    <dataValidation type="whole" allowBlank="1" showInputMessage="1" showErrorMessage="1" error="Input Whole Number from 1 to 100" prompt="Input a whole number from 1 to 1000" sqref="W4" xr:uid="{9B1466E3-8483-4707-8E09-209DC40E56CE}">
      <formula1>1</formula1>
      <formula2>1000</formula2>
    </dataValidation>
    <dataValidation type="whole" allowBlank="1" showInputMessage="1" showErrorMessage="1" error="Input Whole Number from 1 to 100" prompt="Input a whole number from 1 to 100" sqref="W3" xr:uid="{B0219348-D387-4AB1-8C02-18BA4C4DB287}">
      <formula1>1</formula1>
      <formula2>100</formula2>
    </dataValidation>
    <dataValidation type="list" allowBlank="1" showInputMessage="1" showErrorMessage="1" sqref="O3" xr:uid="{3039B7E3-E120-4851-88D3-112DA149FCE0}">
      <formula1>$AK$2:$AK$14</formula1>
    </dataValidation>
    <dataValidation type="list" allowBlank="1" showInputMessage="1" showErrorMessage="1" sqref="V7" xr:uid="{AA6B353D-8218-4246-8F32-717C4154D741}">
      <formula1>"Today, Last Data Date"</formula1>
    </dataValidation>
  </dataValidations>
  <pageMargins left="0.7" right="0.7" top="0.75" bottom="0.75" header="0.3" footer="0.3"/>
  <pageSetup orientation="portrait" verticalDpi="1200"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32</vt:i4>
      </vt:variant>
    </vt:vector>
  </HeadingPairs>
  <TitlesOfParts>
    <vt:vector size="33" baseType="lpstr">
      <vt:lpstr>HOME</vt:lpstr>
      <vt:lpstr>aCode</vt:lpstr>
      <vt:lpstr>ActionLog</vt:lpstr>
      <vt:lpstr>BuyAmount</vt:lpstr>
      <vt:lpstr>closeDate</vt:lpstr>
      <vt:lpstr>curpairs</vt:lpstr>
      <vt:lpstr>datecode</vt:lpstr>
      <vt:lpstr>DateExit</vt:lpstr>
      <vt:lpstr>Datelog</vt:lpstr>
      <vt:lpstr>Emotion</vt:lpstr>
      <vt:lpstr>EntryExit</vt:lpstr>
      <vt:lpstr>Fees</vt:lpstr>
      <vt:lpstr>GrossAmount</vt:lpstr>
      <vt:lpstr>LogRow</vt:lpstr>
      <vt:lpstr>M2O</vt:lpstr>
      <vt:lpstr>myData</vt:lpstr>
      <vt:lpstr>Nameko</vt:lpstr>
      <vt:lpstr>NetAmount</vt:lpstr>
      <vt:lpstr>PercentPandL</vt:lpstr>
      <vt:lpstr>PNLPercent</vt:lpstr>
      <vt:lpstr>PNLwFees</vt:lpstr>
      <vt:lpstr>DASHBOARD!Print_Area</vt:lpstr>
      <vt:lpstr>ProfitLoss</vt:lpstr>
      <vt:lpstr>ReviewRow</vt:lpstr>
      <vt:lpstr>S2O</vt:lpstr>
      <vt:lpstr>SetupLog</vt:lpstr>
      <vt:lpstr>SheetIAA6</vt:lpstr>
      <vt:lpstr>SheetlU13</vt:lpstr>
      <vt:lpstr>SheetlU14</vt:lpstr>
      <vt:lpstr>SIZE</vt:lpstr>
      <vt:lpstr>StockLog</vt:lpstr>
      <vt:lpstr>TotalShares</vt:lpstr>
      <vt:lpstr>WL</vt:lpstr>
    </vt:vector>
  </TitlesOfParts>
  <Manager>AA Excel Spreadsheets</Manager>
  <Company>rocketsheets.com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Forex Trading Journal</dc:title>
  <dc:creator>AA Excel Spreadsheets</dc:creator>
  <cp:keywords/>
  <cp:lastModifiedBy>USER</cp:lastModifiedBy>
  <cp:lastPrinted>2020-06-14T03:28:01Z</cp:lastPrinted>
  <dcterms:created xsi:type="dcterms:W3CDTF">2016-10-21T06:11:34Z</dcterms:created>
  <dcterms:modified xsi:type="dcterms:W3CDTF">2023-04-08T04:49:42Z</dcterms:modified>
  <cp:category>Trading Journal</cp:category>
  <cp:version>9.0</cp:version>
</cp:coreProperties>
</file>