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tables/table2.xml" ContentType="application/vnd.openxmlformats-officedocument.spreadsheetml.tab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slicers/slicer1.xml" ContentType="application/vnd.ms-excel.slicer+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codeName="{5022B3EB-BCE5-7840-4BB8-8062D341818C}"/>
  <workbookPr codeName="ThisWorkbook"/>
  <mc:AlternateContent xmlns:mc="http://schemas.openxmlformats.org/markup-compatibility/2006">
    <mc:Choice Requires="x15">
      <x15ac:absPath xmlns:x15ac="http://schemas.microsoft.com/office/spreadsheetml/2010/11/ac" url="D:\00-SPREADSHEET\01 - PREMIUM EXCEL PRODUCTS\01_Published\03_Stock Trading Journal_STJ\Version 10\published\"/>
    </mc:Choice>
  </mc:AlternateContent>
  <xr:revisionPtr revIDLastSave="0" documentId="13_ncr:1_{035AEBF6-0ABD-4FD6-AD84-9DCBFE504F1F}" xr6:coauthVersionLast="47" xr6:coauthVersionMax="47" xr10:uidLastSave="{00000000-0000-0000-0000-000000000000}"/>
  <bookViews>
    <workbookView xWindow="-120" yWindow="-120" windowWidth="20730" windowHeight="11160" tabRatio="931" firstSheet="1" activeTab="1" xr2:uid="{00000000-000D-0000-FFFF-FFFF00000000}"/>
  </bookViews>
  <sheets>
    <sheet name="HOME" sheetId="13" state="veryHidden" r:id="rId1"/>
    <sheet name="Dashboard" sheetId="15" r:id="rId2"/>
    <sheet name="Form" sheetId="18" state="veryHidden" r:id="rId3"/>
    <sheet name="Trade Log" sheetId="4" r:id="rId4"/>
    <sheet name="Bank Transfers" sheetId="8" r:id="rId5"/>
    <sheet name="Trade Review" sheetId="12" r:id="rId6"/>
    <sheet name="Monthly Report" sheetId="7" r:id="rId7"/>
    <sheet name="Calendar" sheetId="19" r:id="rId8"/>
    <sheet name="Portfolio" sheetId="16" r:id="rId9"/>
    <sheet name="Stock Position" sheetId="5" r:id="rId10"/>
    <sheet name="Dividends" sheetId="9" r:id="rId11"/>
    <sheet name="Settings" sheetId="11" r:id="rId12"/>
    <sheet name="calc" sheetId="20" state="veryHidden" r:id="rId13"/>
  </sheets>
  <definedNames>
    <definedName name="_xlnm._FilterDatabase" localSheetId="8" hidden="1">Portfolio!$F$13:$Z$13</definedName>
    <definedName name="_xlnm._FilterDatabase" localSheetId="9" hidden="1">'Stock Position'!$D$14:$M$14</definedName>
    <definedName name="_xlnm._FilterDatabase" localSheetId="3" hidden="1">'Trade Log'!$E$14:$E$17341</definedName>
    <definedName name="_xlnm._FilterDatabase" localSheetId="5" hidden="1">'Trade Review'!$C$16:$Y$2755</definedName>
    <definedName name="actionLog">'Trade Log'!$F$15:$F$20100</definedName>
    <definedName name="dateCode">'Trade Log'!$AM$15:$AM$20100</definedName>
    <definedName name="dateLog">'Trade Log'!$D$15:$D$20100</definedName>
    <definedName name="emotion">'Trade Review'!$T$17:$T$20100</definedName>
    <definedName name="execution">'Trade Review'!$S$17:$S$20100</definedName>
    <definedName name="listEmotion">Settings!$Z$14:INDEX(Settings!$Z$14:$Z$38, COUNT('Trade Review'!$AK$2:$AK$16))</definedName>
    <definedName name="listEntryExit">Settings!$X$14:INDEX(Settings!$X$14:$X$38, COUNT('Trade Review'!$AJ$2:$AJ$16))</definedName>
    <definedName name="listReason">Settings!$S$14:INDEX(Settings!$S$14:$S$38, COUNT(calc!$A$14:$A$38))</definedName>
    <definedName name="listSetup">Settings!$M$14:INDEX(Settings!$M$14:$M$38, COUNT(Settings!$L$14:$L$38))</definedName>
    <definedName name="_xlnm.Print_Area" localSheetId="1">Dashboard!$A$1:$S$46</definedName>
    <definedName name="_xlnm.Print_Area" localSheetId="5">'Trade Review'!$A$1:$V$1016</definedName>
    <definedName name="profitLoss">'Trade Log'!$Z$15:$Z$20100</definedName>
    <definedName name="profitPercent">'Trade Log'!$AT$15:$AT$20100</definedName>
    <definedName name="reviewNo">'Trade Review'!$C$17:$C$20100</definedName>
    <definedName name="setupLog">'Trade Log'!$AE$15:$AE$20100</definedName>
    <definedName name="Slicer_filter">#N/A</definedName>
    <definedName name="stats">'Trade Log'!$AN$15:$AN$20100</definedName>
    <definedName name="symbol">'Trade Log'!$E$15:$E$20100</definedName>
    <definedName name="symbolCode">'Trade Log'!$S$15:$S$20100</definedName>
    <definedName name="volume">'Trade Log'!$H$15:$H$20100</definedName>
  </definedNames>
  <calcPr calcId="181029"/>
  <pivotCaches>
    <pivotCache cacheId="0" r:id="rId14"/>
  </pivotCaches>
  <fileRecoveryPr autoRecover="0"/>
  <extLst>
    <ext xmlns:x14="http://schemas.microsoft.com/office/spreadsheetml/2009/9/main" uri="{BBE1A952-AA13-448e-AADC-164F8A28A991}">
      <x14:slicerCaches>
        <x14:slicerCache r:id="rId15"/>
      </x14:slicerCaches>
    </ext>
    <ext xmlns:x14="http://schemas.microsoft.com/office/spreadsheetml/2009/9/main" uri="{79F54976-1DA5-4618-B147-4CDE4B953A38}">
      <x14:workbookPr/>
    </ext>
  </extLst>
</workbook>
</file>

<file path=xl/calcChain.xml><?xml version="1.0" encoding="utf-8"?>
<calcChain xmlns="http://schemas.openxmlformats.org/spreadsheetml/2006/main">
  <c r="O66" i="12" l="1"/>
  <c r="N66" i="12"/>
  <c r="M66" i="12"/>
  <c r="L66" i="12"/>
  <c r="K66" i="12"/>
  <c r="J66" i="12"/>
  <c r="I66" i="12"/>
  <c r="H66" i="12"/>
  <c r="G66" i="12"/>
  <c r="F66" i="12"/>
  <c r="E66" i="12"/>
  <c r="D66" i="12"/>
  <c r="Q66" i="12" s="1"/>
  <c r="C66" i="12"/>
  <c r="Q65" i="12"/>
  <c r="O65" i="12"/>
  <c r="N65" i="12"/>
  <c r="M65" i="12"/>
  <c r="L65" i="12"/>
  <c r="K65" i="12"/>
  <c r="J65" i="12"/>
  <c r="I65" i="12"/>
  <c r="H65" i="12"/>
  <c r="G65" i="12"/>
  <c r="F65" i="12"/>
  <c r="E65" i="12"/>
  <c r="D65" i="12"/>
  <c r="P65" i="12" s="1"/>
  <c r="C65" i="12"/>
  <c r="O64" i="12"/>
  <c r="N64" i="12"/>
  <c r="M64" i="12"/>
  <c r="L64" i="12"/>
  <c r="K64" i="12"/>
  <c r="J64" i="12"/>
  <c r="I64" i="12"/>
  <c r="H64" i="12"/>
  <c r="G64" i="12"/>
  <c r="F64" i="12"/>
  <c r="E64" i="12"/>
  <c r="D64" i="12"/>
  <c r="P64" i="12" s="1"/>
  <c r="C64" i="12"/>
  <c r="AM64" i="4"/>
  <c r="AK64" i="4"/>
  <c r="AM63" i="4"/>
  <c r="AK63" i="4"/>
  <c r="AM62" i="4"/>
  <c r="AK62" i="4"/>
  <c r="AM61" i="4"/>
  <c r="AK61" i="4"/>
  <c r="AM60" i="4"/>
  <c r="AK60" i="4"/>
  <c r="AM59" i="4"/>
  <c r="AK59" i="4"/>
  <c r="AM58" i="4"/>
  <c r="AK58" i="4"/>
  <c r="AM57" i="4"/>
  <c r="AM56" i="4"/>
  <c r="AK56" i="4"/>
  <c r="AM55" i="4"/>
  <c r="AK55" i="4"/>
  <c r="AM54" i="4"/>
  <c r="AK54" i="4"/>
  <c r="AM53" i="4"/>
  <c r="AK53" i="4"/>
  <c r="AM52" i="4"/>
  <c r="AK52" i="4"/>
  <c r="AM51" i="4"/>
  <c r="AK51" i="4"/>
  <c r="AM50" i="4"/>
  <c r="AK50" i="4"/>
  <c r="AM49" i="4"/>
  <c r="AM48" i="4"/>
  <c r="AK48" i="4"/>
  <c r="AM47" i="4"/>
  <c r="AK47" i="4"/>
  <c r="AM46" i="4"/>
  <c r="AK46" i="4"/>
  <c r="AM45" i="4"/>
  <c r="AK45" i="4"/>
  <c r="AM44" i="4"/>
  <c r="AK44" i="4"/>
  <c r="AM43" i="4"/>
  <c r="AK43" i="4"/>
  <c r="AM42" i="4"/>
  <c r="AK42" i="4"/>
  <c r="AM41" i="4"/>
  <c r="AK41" i="4"/>
  <c r="AM40" i="4"/>
  <c r="AK40" i="4"/>
  <c r="AM39" i="4"/>
  <c r="AK39" i="4"/>
  <c r="AM38" i="4"/>
  <c r="AK38" i="4"/>
  <c r="AM37" i="4"/>
  <c r="AK37" i="4"/>
  <c r="AM36" i="4"/>
  <c r="AK36" i="4"/>
  <c r="AM35" i="4"/>
  <c r="AK35" i="4"/>
  <c r="AM34" i="4"/>
  <c r="AK34" i="4"/>
  <c r="AM33" i="4"/>
  <c r="AM32" i="4"/>
  <c r="AK32" i="4"/>
  <c r="AM31" i="4"/>
  <c r="AM30" i="4"/>
  <c r="AK30" i="4"/>
  <c r="AM29" i="4"/>
  <c r="AM28" i="4"/>
  <c r="AK28" i="4"/>
  <c r="AM27" i="4"/>
  <c r="AK27" i="4"/>
  <c r="AM26" i="4"/>
  <c r="AK26" i="4"/>
  <c r="AM25" i="4"/>
  <c r="AM24" i="4"/>
  <c r="AK24" i="4"/>
  <c r="AM23" i="4"/>
  <c r="AM22" i="4"/>
  <c r="AK22" i="4"/>
  <c r="AM21" i="4"/>
  <c r="AM20" i="4"/>
  <c r="AK20" i="4"/>
  <c r="AM19" i="4"/>
  <c r="AM18" i="4"/>
  <c r="AK18" i="4"/>
  <c r="AM17" i="4"/>
  <c r="AM16" i="4"/>
  <c r="AD64" i="4"/>
  <c r="AB64" i="4"/>
  <c r="Z64" i="4"/>
  <c r="X64" i="4"/>
  <c r="S64" i="4"/>
  <c r="Q64" i="4"/>
  <c r="P64" i="4"/>
  <c r="M64" i="4"/>
  <c r="L64" i="4"/>
  <c r="K64" i="4"/>
  <c r="AD63" i="4"/>
  <c r="AB63" i="4"/>
  <c r="Z63" i="4"/>
  <c r="X63" i="4"/>
  <c r="S63" i="4"/>
  <c r="Q63" i="4"/>
  <c r="P63" i="4"/>
  <c r="M63" i="4"/>
  <c r="L63" i="4"/>
  <c r="K63" i="4"/>
  <c r="AD62" i="4"/>
  <c r="AB62" i="4"/>
  <c r="Z62" i="4"/>
  <c r="X62" i="4"/>
  <c r="S62" i="4"/>
  <c r="Q62" i="4"/>
  <c r="P62" i="4"/>
  <c r="M62" i="4"/>
  <c r="L62" i="4"/>
  <c r="K62" i="4"/>
  <c r="P61" i="4"/>
  <c r="K61" i="4"/>
  <c r="Z60" i="4"/>
  <c r="P60" i="4"/>
  <c r="K60" i="4"/>
  <c r="P59" i="4"/>
  <c r="K59" i="4"/>
  <c r="P58" i="4"/>
  <c r="K58" i="4"/>
  <c r="Z57" i="4"/>
  <c r="AP57" i="4" s="1"/>
  <c r="AZ57" i="4" s="1"/>
  <c r="X57" i="4"/>
  <c r="P57" i="4"/>
  <c r="Q57" i="4" s="1"/>
  <c r="K57" i="4"/>
  <c r="Z56" i="4"/>
  <c r="P56" i="4"/>
  <c r="K56" i="4"/>
  <c r="P55" i="4"/>
  <c r="K55" i="4"/>
  <c r="Z54" i="4"/>
  <c r="P54" i="4"/>
  <c r="K54" i="4"/>
  <c r="Z53" i="4"/>
  <c r="AP53" i="4" s="1"/>
  <c r="AZ53" i="4" s="1"/>
  <c r="P53" i="4"/>
  <c r="K53" i="4"/>
  <c r="P52" i="4"/>
  <c r="K52" i="4"/>
  <c r="P51" i="4"/>
  <c r="K51" i="4"/>
  <c r="P50" i="4"/>
  <c r="K50" i="4"/>
  <c r="Z49" i="4"/>
  <c r="AP49" i="4" s="1"/>
  <c r="AZ49" i="4" s="1"/>
  <c r="X49" i="4"/>
  <c r="P49" i="4"/>
  <c r="K49" i="4"/>
  <c r="Z48" i="4"/>
  <c r="P48" i="4"/>
  <c r="K48" i="4"/>
  <c r="Z47" i="4"/>
  <c r="P47" i="4"/>
  <c r="K47" i="4"/>
  <c r="P46" i="4"/>
  <c r="K46" i="4"/>
  <c r="P45" i="4"/>
  <c r="K45" i="4"/>
  <c r="P44" i="4"/>
  <c r="K44" i="4"/>
  <c r="Z43" i="4"/>
  <c r="P43" i="4"/>
  <c r="K43" i="4"/>
  <c r="Z42" i="4"/>
  <c r="P42" i="4"/>
  <c r="K42" i="4"/>
  <c r="Z41" i="4"/>
  <c r="AP41" i="4" s="1"/>
  <c r="AZ41" i="4" s="1"/>
  <c r="P41" i="4"/>
  <c r="K41" i="4"/>
  <c r="P40" i="4"/>
  <c r="K40" i="4"/>
  <c r="Z39" i="4"/>
  <c r="P39" i="4"/>
  <c r="K39" i="4"/>
  <c r="Z38" i="4"/>
  <c r="P38" i="4"/>
  <c r="K38" i="4"/>
  <c r="Z37" i="4"/>
  <c r="AP37" i="4" s="1"/>
  <c r="AZ37" i="4" s="1"/>
  <c r="P37" i="4"/>
  <c r="K37" i="4"/>
  <c r="P36" i="4"/>
  <c r="K36" i="4"/>
  <c r="Z35" i="4"/>
  <c r="P35" i="4"/>
  <c r="K35" i="4"/>
  <c r="P34" i="4"/>
  <c r="K34" i="4"/>
  <c r="Z33" i="4"/>
  <c r="AP33" i="4" s="1"/>
  <c r="AZ33" i="4" s="1"/>
  <c r="X33" i="4"/>
  <c r="P33" i="4"/>
  <c r="Q34" i="4" s="1"/>
  <c r="K33" i="4"/>
  <c r="P32" i="4"/>
  <c r="K32" i="4"/>
  <c r="Z31" i="4"/>
  <c r="X31" i="4"/>
  <c r="P31" i="4"/>
  <c r="K31" i="4"/>
  <c r="P30" i="4"/>
  <c r="K30" i="4"/>
  <c r="Z29" i="4"/>
  <c r="AP29" i="4" s="1"/>
  <c r="AZ29" i="4" s="1"/>
  <c r="X29" i="4"/>
  <c r="P29" i="4"/>
  <c r="Q29" i="4" s="1"/>
  <c r="K29" i="4"/>
  <c r="P28" i="4"/>
  <c r="K28" i="4"/>
  <c r="Z27" i="4"/>
  <c r="P27" i="4"/>
  <c r="K27" i="4"/>
  <c r="P26" i="4"/>
  <c r="K26" i="4"/>
  <c r="Z25" i="4"/>
  <c r="AP25" i="4" s="1"/>
  <c r="AZ25" i="4" s="1"/>
  <c r="X25" i="4"/>
  <c r="P25" i="4"/>
  <c r="Q25" i="4" s="1"/>
  <c r="K25" i="4"/>
  <c r="P24" i="4"/>
  <c r="K24" i="4"/>
  <c r="Z23" i="4"/>
  <c r="X23" i="4"/>
  <c r="P23" i="4"/>
  <c r="Q23" i="4" s="1"/>
  <c r="K23" i="4"/>
  <c r="P22" i="4"/>
  <c r="K22" i="4"/>
  <c r="Z21" i="4"/>
  <c r="AP21" i="4" s="1"/>
  <c r="AZ21" i="4" s="1"/>
  <c r="X21" i="4"/>
  <c r="P21" i="4"/>
  <c r="Q21" i="4" s="1"/>
  <c r="R21" i="4" s="1"/>
  <c r="K21" i="4"/>
  <c r="P20" i="4"/>
  <c r="K20" i="4"/>
  <c r="Z19" i="4"/>
  <c r="AP19" i="4" s="1"/>
  <c r="AZ19" i="4" s="1"/>
  <c r="X19" i="4"/>
  <c r="P19" i="4"/>
  <c r="Q19" i="4" s="1"/>
  <c r="K19" i="4"/>
  <c r="P18" i="4"/>
  <c r="K18" i="4"/>
  <c r="Z17" i="4"/>
  <c r="AP17" i="4" s="1"/>
  <c r="AZ17" i="4" s="1"/>
  <c r="X17" i="4"/>
  <c r="P17" i="4"/>
  <c r="K17" i="4"/>
  <c r="Z16" i="4"/>
  <c r="AP16" i="4" s="1"/>
  <c r="AZ16" i="4" s="1"/>
  <c r="X16" i="4"/>
  <c r="P16" i="4"/>
  <c r="Q16" i="4" s="1"/>
  <c r="K16" i="4"/>
  <c r="Z15" i="4"/>
  <c r="P15" i="4"/>
  <c r="K15" i="4"/>
  <c r="Q64" i="12" l="1"/>
  <c r="P66" i="12"/>
  <c r="AP31" i="4"/>
  <c r="AZ31" i="4" s="1"/>
  <c r="AP27" i="4"/>
  <c r="AZ27" i="4" s="1"/>
  <c r="AP23" i="4"/>
  <c r="AZ23" i="4" s="1"/>
  <c r="AP43" i="4"/>
  <c r="AZ43" i="4" s="1"/>
  <c r="AP48" i="4"/>
  <c r="AZ48" i="4" s="1"/>
  <c r="AP54" i="4"/>
  <c r="AZ54" i="4" s="1"/>
  <c r="AP60" i="4"/>
  <c r="AZ60" i="4" s="1"/>
  <c r="AP63" i="4"/>
  <c r="AZ63" i="4" s="1"/>
  <c r="Q30" i="4"/>
  <c r="R30" i="4" s="1"/>
  <c r="AP39" i="4"/>
  <c r="AZ39" i="4" s="1"/>
  <c r="AP42" i="4"/>
  <c r="AZ42" i="4" s="1"/>
  <c r="AP47" i="4"/>
  <c r="AZ47" i="4" s="1"/>
  <c r="AP56" i="4"/>
  <c r="AZ56" i="4" s="1"/>
  <c r="AP35" i="4"/>
  <c r="AZ35" i="4" s="1"/>
  <c r="AP38" i="4"/>
  <c r="AZ38" i="4" s="1"/>
  <c r="AP62" i="4"/>
  <c r="AZ62" i="4" s="1"/>
  <c r="AP64" i="4"/>
  <c r="AZ64" i="4" s="1"/>
  <c r="Q24" i="4"/>
  <c r="R24" i="4" s="1"/>
  <c r="Q20" i="4"/>
  <c r="R20" i="4" s="1"/>
  <c r="Q17" i="4"/>
  <c r="R17" i="4" s="1"/>
  <c r="Q26" i="4"/>
  <c r="R26" i="4" s="1"/>
  <c r="R19" i="4"/>
  <c r="S19" i="4" s="1"/>
  <c r="AO19" i="4"/>
  <c r="AR19" i="4" s="1"/>
  <c r="R25" i="4"/>
  <c r="AO25" i="4"/>
  <c r="AR25" i="4" s="1"/>
  <c r="R16" i="4"/>
  <c r="S16" i="4" s="1"/>
  <c r="AO16" i="4"/>
  <c r="AR16" i="4" s="1"/>
  <c r="R23" i="4"/>
  <c r="S23" i="4" s="1"/>
  <c r="AO23" i="4"/>
  <c r="AR23" i="4" s="1"/>
  <c r="Q51" i="4"/>
  <c r="Q61" i="4"/>
  <c r="R29" i="4"/>
  <c r="S29" i="4" s="1"/>
  <c r="AO29" i="4"/>
  <c r="AR29" i="4" s="1"/>
  <c r="R34" i="4"/>
  <c r="R57" i="4"/>
  <c r="S57" i="4" s="1"/>
  <c r="AO57" i="4"/>
  <c r="AR57" i="4" s="1"/>
  <c r="R62" i="4"/>
  <c r="R64" i="4"/>
  <c r="Q15" i="4"/>
  <c r="R15" i="4" s="1"/>
  <c r="AO17" i="4"/>
  <c r="AR17" i="4" s="1"/>
  <c r="AO21" i="4"/>
  <c r="AR21" i="4" s="1"/>
  <c r="S17" i="4"/>
  <c r="S25" i="4"/>
  <c r="S21" i="4"/>
  <c r="Q55" i="4"/>
  <c r="Q54" i="4"/>
  <c r="Q60" i="4"/>
  <c r="Q52" i="4"/>
  <c r="Q58" i="4"/>
  <c r="Q47" i="4"/>
  <c r="Q53" i="4"/>
  <c r="Q45" i="4"/>
  <c r="Q36" i="4"/>
  <c r="Q35" i="4"/>
  <c r="Q43" i="4"/>
  <c r="Q41" i="4"/>
  <c r="Q50" i="4"/>
  <c r="Q48" i="4"/>
  <c r="Q46" i="4"/>
  <c r="Q38" i="4"/>
  <c r="Q59" i="4"/>
  <c r="Q56" i="4"/>
  <c r="Q37" i="4"/>
  <c r="Q44" i="4"/>
  <c r="Q42" i="4"/>
  <c r="Q40" i="4"/>
  <c r="Q39" i="4"/>
  <c r="Q18" i="4"/>
  <c r="Q22" i="4"/>
  <c r="Q27" i="4"/>
  <c r="Q28" i="4"/>
  <c r="Q32" i="4"/>
  <c r="Q31" i="4"/>
  <c r="Q33" i="4"/>
  <c r="Q49" i="4"/>
  <c r="R63" i="4"/>
  <c r="S26" i="4" l="1"/>
  <c r="S30" i="4"/>
  <c r="S20" i="4"/>
  <c r="S24" i="4"/>
  <c r="S15" i="4"/>
  <c r="AB17" i="4" s="1"/>
  <c r="R32" i="4"/>
  <c r="R18" i="4"/>
  <c r="S18" i="4" s="1"/>
  <c r="R44" i="4"/>
  <c r="R38" i="4"/>
  <c r="S38" i="4" s="1"/>
  <c r="AO38" i="4"/>
  <c r="AR38" i="4" s="1"/>
  <c r="R41" i="4"/>
  <c r="AO41" i="4"/>
  <c r="AR41" i="4" s="1"/>
  <c r="R45" i="4"/>
  <c r="R52" i="4"/>
  <c r="R28" i="4"/>
  <c r="R39" i="4"/>
  <c r="S39" i="4" s="1"/>
  <c r="AO39" i="4"/>
  <c r="AR39" i="4" s="1"/>
  <c r="R37" i="4"/>
  <c r="AO37" i="4"/>
  <c r="AR37" i="4" s="1"/>
  <c r="R46" i="4"/>
  <c r="R43" i="4"/>
  <c r="AO43" i="4"/>
  <c r="AR43" i="4" s="1"/>
  <c r="R53" i="4"/>
  <c r="AO53" i="4"/>
  <c r="AR53" i="4" s="1"/>
  <c r="R60" i="4"/>
  <c r="AO60" i="4"/>
  <c r="AR60" i="4" s="1"/>
  <c r="R33" i="4"/>
  <c r="S34" i="4" s="1"/>
  <c r="AO33" i="4"/>
  <c r="AR33" i="4" s="1"/>
  <c r="R27" i="4"/>
  <c r="AO27" i="4"/>
  <c r="AR27" i="4" s="1"/>
  <c r="R40" i="4"/>
  <c r="R56" i="4"/>
  <c r="AO56" i="4"/>
  <c r="AR56" i="4" s="1"/>
  <c r="R48" i="4"/>
  <c r="AO48" i="4"/>
  <c r="AR48" i="4" s="1"/>
  <c r="R35" i="4"/>
  <c r="AO35" i="4"/>
  <c r="AR35" i="4" s="1"/>
  <c r="R47" i="4"/>
  <c r="AO47" i="4"/>
  <c r="AR47" i="4" s="1"/>
  <c r="R54" i="4"/>
  <c r="AO54" i="4"/>
  <c r="AR54" i="4" s="1"/>
  <c r="R61" i="4"/>
  <c r="S61" i="4" s="1"/>
  <c r="R49" i="4"/>
  <c r="S49" i="4" s="1"/>
  <c r="AO49" i="4"/>
  <c r="AR49" i="4" s="1"/>
  <c r="R31" i="4"/>
  <c r="S32" i="4" s="1"/>
  <c r="AO31" i="4"/>
  <c r="AR31" i="4" s="1"/>
  <c r="R22" i="4"/>
  <c r="S22" i="4" s="1"/>
  <c r="R42" i="4"/>
  <c r="AO42" i="4"/>
  <c r="AR42" i="4" s="1"/>
  <c r="R59" i="4"/>
  <c r="R50" i="4"/>
  <c r="R36" i="4"/>
  <c r="R58" i="4"/>
  <c r="R55" i="4"/>
  <c r="R51" i="4"/>
  <c r="S51" i="4" s="1"/>
  <c r="S37" i="4"/>
  <c r="AB19" i="4" l="1"/>
  <c r="S56" i="4"/>
  <c r="S33" i="4"/>
  <c r="S54" i="4"/>
  <c r="S28" i="4"/>
  <c r="AB21" i="4"/>
  <c r="AB30" i="4"/>
  <c r="AB15" i="4"/>
  <c r="AB16" i="4"/>
  <c r="AB26" i="4"/>
  <c r="AB20" i="4"/>
  <c r="AB38" i="4"/>
  <c r="AB18" i="4"/>
  <c r="S53" i="4"/>
  <c r="AB23" i="4"/>
  <c r="S59" i="4"/>
  <c r="S44" i="4"/>
  <c r="S55" i="4"/>
  <c r="S58" i="4"/>
  <c r="S47" i="4"/>
  <c r="S31" i="4"/>
  <c r="S50" i="4"/>
  <c r="S48" i="4"/>
  <c r="S46" i="4"/>
  <c r="AB46" i="4" s="1"/>
  <c r="S41" i="4"/>
  <c r="S35" i="4"/>
  <c r="S36" i="4"/>
  <c r="S52" i="4"/>
  <c r="S27" i="4"/>
  <c r="AB32" i="4" s="1"/>
  <c r="S60" i="4"/>
  <c r="S43" i="4"/>
  <c r="S40" i="4"/>
  <c r="S45" i="4"/>
  <c r="S42" i="4"/>
  <c r="AB22" i="4"/>
  <c r="AB25" i="4"/>
  <c r="AB24" i="4"/>
  <c r="AB31" i="4" l="1"/>
  <c r="AB29" i="4"/>
  <c r="AB39" i="4"/>
  <c r="AB27" i="4"/>
  <c r="AB40" i="4"/>
  <c r="AB34" i="4"/>
  <c r="AB28" i="4"/>
  <c r="AB33" i="4"/>
  <c r="AB57" i="4"/>
  <c r="AB41" i="4"/>
  <c r="AB36" i="4"/>
  <c r="AB44" i="4"/>
  <c r="AB37" i="4"/>
  <c r="AB45" i="4"/>
  <c r="AB35" i="4"/>
  <c r="AB43" i="4"/>
  <c r="AB53" i="4"/>
  <c r="AB59" i="4"/>
  <c r="AB56" i="4"/>
  <c r="AB52" i="4"/>
  <c r="AB51" i="4"/>
  <c r="AB54" i="4"/>
  <c r="AB50" i="4"/>
  <c r="AL63" i="4"/>
  <c r="AO63" i="4" s="1"/>
  <c r="AR63" i="4" s="1"/>
  <c r="AL64" i="4"/>
  <c r="AO64" i="4" s="1"/>
  <c r="AR64" i="4" s="1"/>
  <c r="AL62" i="4"/>
  <c r="AO62" i="4" s="1"/>
  <c r="AR62" i="4" s="1"/>
  <c r="AB58" i="4"/>
  <c r="AB60" i="4"/>
  <c r="AB55" i="4"/>
  <c r="AL60" i="4"/>
  <c r="AB61" i="4"/>
  <c r="AB48" i="4"/>
  <c r="AB42" i="4"/>
  <c r="AB49" i="4"/>
  <c r="AB47" i="4"/>
  <c r="L15" i="11" l="1"/>
  <c r="L33" i="11"/>
  <c r="L32" i="11"/>
  <c r="L31" i="11"/>
  <c r="L30" i="11"/>
  <c r="L29" i="11"/>
  <c r="L28" i="11"/>
  <c r="L27" i="11"/>
  <c r="L26" i="11"/>
  <c r="L25" i="11"/>
  <c r="L24" i="11"/>
  <c r="L23" i="11"/>
  <c r="L22" i="11"/>
  <c r="L21" i="11"/>
  <c r="L20" i="11"/>
  <c r="L19" i="11"/>
  <c r="L18" i="11"/>
  <c r="L17" i="11"/>
  <c r="L16" i="11"/>
  <c r="L14" i="11"/>
  <c r="BV12" i="20"/>
  <c r="CO16" i="20" s="1"/>
  <c r="AS134" i="20"/>
  <c r="AX134" i="20" s="1"/>
  <c r="AS135" i="20"/>
  <c r="AS136" i="20"/>
  <c r="AU136" i="20" s="1"/>
  <c r="AS137" i="20"/>
  <c r="AU137" i="20" s="1"/>
  <c r="AS138" i="20"/>
  <c r="AT138" i="20" s="1"/>
  <c r="AS139" i="20"/>
  <c r="AU139" i="20" s="1"/>
  <c r="AS140" i="20"/>
  <c r="AX140" i="20" s="1"/>
  <c r="AS141" i="20"/>
  <c r="AS142" i="20"/>
  <c r="AS143" i="20"/>
  <c r="AS144" i="20"/>
  <c r="AT144" i="20" s="1"/>
  <c r="AS145" i="20"/>
  <c r="AU145" i="20" s="1"/>
  <c r="AS146" i="20"/>
  <c r="AX146" i="20" s="1"/>
  <c r="AS147" i="20"/>
  <c r="AU147" i="20" s="1"/>
  <c r="AS148" i="20"/>
  <c r="AS149" i="20"/>
  <c r="AS150" i="20"/>
  <c r="AT150" i="20" s="1"/>
  <c r="AS151" i="20"/>
  <c r="AU151" i="20" s="1"/>
  <c r="AS152" i="20"/>
  <c r="AU152" i="20" s="1"/>
  <c r="AS153" i="20"/>
  <c r="AU153" i="20" s="1"/>
  <c r="AS154" i="20"/>
  <c r="AT154" i="20" s="1"/>
  <c r="AS155" i="20"/>
  <c r="AU155" i="20" s="1"/>
  <c r="AS156" i="20"/>
  <c r="AX156" i="20" s="1"/>
  <c r="AS157" i="20"/>
  <c r="AS158" i="20"/>
  <c r="AS159" i="20"/>
  <c r="AS160" i="20"/>
  <c r="AT160" i="20" s="1"/>
  <c r="AS161" i="20"/>
  <c r="AT161" i="20" s="1"/>
  <c r="AS162" i="20"/>
  <c r="AS163" i="20"/>
  <c r="AU163" i="20" s="1"/>
  <c r="AS164" i="20"/>
  <c r="AS165" i="20"/>
  <c r="AX165" i="20" s="1"/>
  <c r="AS166" i="20"/>
  <c r="AS167" i="20"/>
  <c r="AU167" i="20" s="1"/>
  <c r="AS168" i="20"/>
  <c r="AS169" i="20"/>
  <c r="AT169" i="20" s="1"/>
  <c r="AS170" i="20"/>
  <c r="AS171" i="20"/>
  <c r="AU171" i="20" s="1"/>
  <c r="AS172" i="20"/>
  <c r="AS173" i="20"/>
  <c r="AU173" i="20" s="1"/>
  <c r="AS174" i="20"/>
  <c r="AS175" i="20"/>
  <c r="AT175" i="20" s="1"/>
  <c r="AS176" i="20"/>
  <c r="AU176" i="20" s="1"/>
  <c r="AS177" i="20"/>
  <c r="AT177" i="20" s="1"/>
  <c r="AS178" i="20"/>
  <c r="AU178" i="20" s="1"/>
  <c r="AS179" i="20"/>
  <c r="AT179" i="20" s="1"/>
  <c r="AS180" i="20"/>
  <c r="AU180" i="20" s="1"/>
  <c r="AS181" i="20"/>
  <c r="AT181" i="20" s="1"/>
  <c r="AS182" i="20"/>
  <c r="AU182" i="20" s="1"/>
  <c r="AS183" i="20"/>
  <c r="AX183" i="20" s="1"/>
  <c r="AS184" i="20"/>
  <c r="AU184" i="20" s="1"/>
  <c r="AS185" i="20"/>
  <c r="AT185" i="20" s="1"/>
  <c r="AS186" i="20"/>
  <c r="AU186" i="20" s="1"/>
  <c r="AS187" i="20"/>
  <c r="AX187" i="20" s="1"/>
  <c r="AS188" i="20"/>
  <c r="AU188" i="20" s="1"/>
  <c r="AS189" i="20"/>
  <c r="AT189" i="20" s="1"/>
  <c r="AS190" i="20"/>
  <c r="AU190" i="20" s="1"/>
  <c r="AS191" i="20"/>
  <c r="AT191" i="20" s="1"/>
  <c r="AS192" i="20"/>
  <c r="AU192" i="20" s="1"/>
  <c r="AS193" i="20"/>
  <c r="AT193" i="20" s="1"/>
  <c r="AS194" i="20"/>
  <c r="AU194" i="20" s="1"/>
  <c r="AS195" i="20"/>
  <c r="AT195" i="20" s="1"/>
  <c r="AS196" i="20"/>
  <c r="AU196" i="20" s="1"/>
  <c r="AS197" i="20"/>
  <c r="AT197" i="20" s="1"/>
  <c r="AS198" i="20"/>
  <c r="AU198" i="20" s="1"/>
  <c r="AS199" i="20"/>
  <c r="AX199" i="20" s="1"/>
  <c r="AS200" i="20"/>
  <c r="AU200" i="20" s="1"/>
  <c r="AS201" i="20"/>
  <c r="AT201" i="20" s="1"/>
  <c r="AS202" i="20"/>
  <c r="AU202" i="20" s="1"/>
  <c r="AS203" i="20"/>
  <c r="AX203" i="20" s="1"/>
  <c r="AS204" i="20"/>
  <c r="AU204" i="20" s="1"/>
  <c r="AS205" i="20"/>
  <c r="AT205" i="20" s="1"/>
  <c r="AS206" i="20"/>
  <c r="AU206" i="20" s="1"/>
  <c r="AS207" i="20"/>
  <c r="AX207" i="20" s="1"/>
  <c r="AS208" i="20"/>
  <c r="AU208" i="20" s="1"/>
  <c r="AS209" i="20"/>
  <c r="AT209" i="20" s="1"/>
  <c r="AS210" i="20"/>
  <c r="AU210" i="20" s="1"/>
  <c r="AS211" i="20"/>
  <c r="AX211" i="20" s="1"/>
  <c r="AS212" i="20"/>
  <c r="AU212" i="20" s="1"/>
  <c r="AS213" i="20"/>
  <c r="AT213" i="20" s="1"/>
  <c r="AS214" i="20"/>
  <c r="AU214" i="20" s="1"/>
  <c r="AS215" i="20"/>
  <c r="AX215" i="20" s="1"/>
  <c r="AS216" i="20"/>
  <c r="AU216" i="20" s="1"/>
  <c r="AS217" i="20"/>
  <c r="AT217" i="20" s="1"/>
  <c r="AS218" i="20"/>
  <c r="AU218" i="20" s="1"/>
  <c r="AS219" i="20"/>
  <c r="AX219" i="20" s="1"/>
  <c r="AS220" i="20"/>
  <c r="AU220" i="20" s="1"/>
  <c r="AS221" i="20"/>
  <c r="AT221" i="20" s="1"/>
  <c r="AS222" i="20"/>
  <c r="AU222" i="20" s="1"/>
  <c r="AS223" i="20"/>
  <c r="AT223" i="20" s="1"/>
  <c r="AS224" i="20"/>
  <c r="AU224" i="20" s="1"/>
  <c r="AS225" i="20"/>
  <c r="AT225" i="20" s="1"/>
  <c r="AS226" i="20"/>
  <c r="AU226" i="20" s="1"/>
  <c r="AS227" i="20"/>
  <c r="AT227" i="20" s="1"/>
  <c r="AS228" i="20"/>
  <c r="AU228" i="20" s="1"/>
  <c r="AS229" i="20"/>
  <c r="AT229" i="20" s="1"/>
  <c r="AS230" i="20"/>
  <c r="AU230" i="20" s="1"/>
  <c r="AS231" i="20"/>
  <c r="AX231" i="20" s="1"/>
  <c r="AS232" i="20"/>
  <c r="AU232" i="20" s="1"/>
  <c r="AS233" i="20"/>
  <c r="AT233" i="20" s="1"/>
  <c r="AS234" i="20"/>
  <c r="AU234" i="20" s="1"/>
  <c r="AS235" i="20"/>
  <c r="AX235" i="20" s="1"/>
  <c r="AS236" i="20"/>
  <c r="AU236" i="20" s="1"/>
  <c r="AS237" i="20"/>
  <c r="AT237" i="20" s="1"/>
  <c r="AS238" i="20"/>
  <c r="AU238" i="20" s="1"/>
  <c r="AS239" i="20"/>
  <c r="AX239" i="20" s="1"/>
  <c r="AS240" i="20"/>
  <c r="AU240" i="20" s="1"/>
  <c r="AS241" i="20"/>
  <c r="AT241" i="20" s="1"/>
  <c r="AS242" i="20"/>
  <c r="AU242" i="20" s="1"/>
  <c r="AS243" i="20"/>
  <c r="AX243" i="20" s="1"/>
  <c r="AS244" i="20"/>
  <c r="AU244" i="20" s="1"/>
  <c r="AS245" i="20"/>
  <c r="AT245" i="20" s="1"/>
  <c r="AS246" i="20"/>
  <c r="AU246" i="20" s="1"/>
  <c r="AS247" i="20"/>
  <c r="AX247" i="20" s="1"/>
  <c r="AS248" i="20"/>
  <c r="AS249" i="20"/>
  <c r="AX249" i="20" s="1"/>
  <c r="AS250" i="20"/>
  <c r="AU250" i="20" s="1"/>
  <c r="AS251" i="20"/>
  <c r="AU251" i="20" s="1"/>
  <c r="D33" i="20"/>
  <c r="C33" i="20"/>
  <c r="A33" i="20"/>
  <c r="D32" i="20"/>
  <c r="C32" i="20"/>
  <c r="A32" i="20"/>
  <c r="D31" i="20"/>
  <c r="C31" i="20"/>
  <c r="A31" i="20"/>
  <c r="D30" i="20"/>
  <c r="C30" i="20"/>
  <c r="A30" i="20"/>
  <c r="D29" i="20"/>
  <c r="C29" i="20"/>
  <c r="A29" i="20"/>
  <c r="X28" i="20"/>
  <c r="Z28" i="20" s="1"/>
  <c r="W28" i="20"/>
  <c r="Y28" i="20" s="1"/>
  <c r="D28" i="20"/>
  <c r="C28" i="20"/>
  <c r="A28" i="20"/>
  <c r="X27" i="20"/>
  <c r="Z27" i="20" s="1"/>
  <c r="W27" i="20"/>
  <c r="Y27" i="20" s="1"/>
  <c r="D27" i="20"/>
  <c r="C27" i="20"/>
  <c r="A27" i="20"/>
  <c r="X26" i="20"/>
  <c r="Z26" i="20" s="1"/>
  <c r="W26" i="20"/>
  <c r="Y26" i="20" s="1"/>
  <c r="D26" i="20"/>
  <c r="C26" i="20"/>
  <c r="A26" i="20"/>
  <c r="X25" i="20"/>
  <c r="Z25" i="20" s="1"/>
  <c r="W25" i="20"/>
  <c r="Y25" i="20" s="1"/>
  <c r="D25" i="20"/>
  <c r="C25" i="20"/>
  <c r="A25" i="20"/>
  <c r="X24" i="20"/>
  <c r="Z24" i="20" s="1"/>
  <c r="W24" i="20"/>
  <c r="Y24" i="20" s="1"/>
  <c r="D24" i="20"/>
  <c r="C24" i="20"/>
  <c r="A24" i="20"/>
  <c r="X23" i="20"/>
  <c r="Z23" i="20" s="1"/>
  <c r="W23" i="20"/>
  <c r="Y23" i="20" s="1"/>
  <c r="D23" i="20"/>
  <c r="C23" i="20"/>
  <c r="A23" i="20"/>
  <c r="X22" i="20"/>
  <c r="Z22" i="20" s="1"/>
  <c r="W22" i="20"/>
  <c r="Y22" i="20" s="1"/>
  <c r="D22" i="20"/>
  <c r="C22" i="20"/>
  <c r="A22" i="20"/>
  <c r="X21" i="20"/>
  <c r="Z21" i="20" s="1"/>
  <c r="W21" i="20"/>
  <c r="Y21" i="20" s="1"/>
  <c r="D21" i="20"/>
  <c r="C21" i="20"/>
  <c r="A21" i="20"/>
  <c r="W20" i="20"/>
  <c r="Y20" i="20" s="1"/>
  <c r="D20" i="20"/>
  <c r="C20" i="20"/>
  <c r="A20" i="20"/>
  <c r="W19" i="20"/>
  <c r="Y19" i="20" s="1"/>
  <c r="D19" i="20"/>
  <c r="C19" i="20"/>
  <c r="A19" i="20"/>
  <c r="X18" i="20"/>
  <c r="A18" i="20"/>
  <c r="A17" i="20"/>
  <c r="W16" i="20"/>
  <c r="A16" i="20"/>
  <c r="X15" i="20"/>
  <c r="W15" i="20"/>
  <c r="M15" i="20"/>
  <c r="M16" i="20" s="1"/>
  <c r="A15" i="20"/>
  <c r="A14" i="20"/>
  <c r="AX227" i="20" l="1"/>
  <c r="AU229" i="20"/>
  <c r="AU227" i="20"/>
  <c r="AX136" i="20"/>
  <c r="AX189" i="20"/>
  <c r="AU161" i="20"/>
  <c r="AT136" i="20"/>
  <c r="AU146" i="20"/>
  <c r="AT163" i="20"/>
  <c r="AT146" i="20"/>
  <c r="AU177" i="20"/>
  <c r="AT231" i="20"/>
  <c r="AT211" i="20"/>
  <c r="AU195" i="20"/>
  <c r="AX179" i="20"/>
  <c r="AX163" i="20"/>
  <c r="AX160" i="20"/>
  <c r="AX154" i="20"/>
  <c r="AX223" i="20"/>
  <c r="AX221" i="20"/>
  <c r="AT219" i="20"/>
  <c r="AU197" i="20"/>
  <c r="AT165" i="20"/>
  <c r="AX161" i="20"/>
  <c r="AU160" i="20"/>
  <c r="AX150" i="20"/>
  <c r="AX138" i="20"/>
  <c r="AT249" i="20"/>
  <c r="AT243" i="20"/>
  <c r="AX225" i="20"/>
  <c r="AU221" i="20"/>
  <c r="AT199" i="20"/>
  <c r="AT187" i="20"/>
  <c r="AX175" i="20"/>
  <c r="AX144" i="20"/>
  <c r="AT247" i="20"/>
  <c r="AU243" i="20"/>
  <c r="BB243" i="20" s="1"/>
  <c r="AX241" i="20"/>
  <c r="AT239" i="20"/>
  <c r="AU237" i="20"/>
  <c r="AY237" i="20" s="1"/>
  <c r="AT235" i="20"/>
  <c r="AT215" i="20"/>
  <c r="AU211" i="20"/>
  <c r="AX209" i="20"/>
  <c r="AT207" i="20"/>
  <c r="AU205" i="20"/>
  <c r="BB205" i="20" s="1"/>
  <c r="AT203" i="20"/>
  <c r="AX195" i="20"/>
  <c r="AX193" i="20"/>
  <c r="AT183" i="20"/>
  <c r="AT171" i="20"/>
  <c r="BB171" i="20" s="1"/>
  <c r="AU169" i="20"/>
  <c r="AY169" i="20" s="1"/>
  <c r="AU138" i="20"/>
  <c r="AX171" i="20"/>
  <c r="AU154" i="20"/>
  <c r="BB154" i="20" s="1"/>
  <c r="AU245" i="20"/>
  <c r="AY245" i="20" s="1"/>
  <c r="AX237" i="20"/>
  <c r="AU213" i="20"/>
  <c r="AY213" i="20" s="1"/>
  <c r="AX205" i="20"/>
  <c r="AX191" i="20"/>
  <c r="AU181" i="20"/>
  <c r="AY181" i="20" s="1"/>
  <c r="AU179" i="20"/>
  <c r="BB179" i="20" s="1"/>
  <c r="AX169" i="20"/>
  <c r="AT251" i="20"/>
  <c r="AY251" i="20" s="1"/>
  <c r="AX245" i="20"/>
  <c r="AU235" i="20"/>
  <c r="AY235" i="20" s="1"/>
  <c r="AX233" i="20"/>
  <c r="AX229" i="20"/>
  <c r="AU219" i="20"/>
  <c r="BB219" i="20" s="1"/>
  <c r="AX217" i="20"/>
  <c r="AX213" i="20"/>
  <c r="AU203" i="20"/>
  <c r="AX201" i="20"/>
  <c r="AX197" i="20"/>
  <c r="AU187" i="20"/>
  <c r="AX185" i="20"/>
  <c r="AX181" i="20"/>
  <c r="AT167" i="20"/>
  <c r="AY167" i="20" s="1"/>
  <c r="AU165" i="20"/>
  <c r="AY165" i="20" s="1"/>
  <c r="AT152" i="20"/>
  <c r="BB152" i="20" s="1"/>
  <c r="AX251" i="20"/>
  <c r="AX167" i="20"/>
  <c r="AX152" i="20"/>
  <c r="AU144" i="20"/>
  <c r="BB144" i="20" s="1"/>
  <c r="AU189" i="20"/>
  <c r="AY189" i="20" s="1"/>
  <c r="AY163" i="20"/>
  <c r="BB229" i="20"/>
  <c r="BB227" i="20"/>
  <c r="BB195" i="20"/>
  <c r="BB146" i="20"/>
  <c r="BB160" i="20"/>
  <c r="AY160" i="20"/>
  <c r="AY221" i="20"/>
  <c r="AY195" i="20"/>
  <c r="AY229" i="20"/>
  <c r="BB221" i="20"/>
  <c r="AY171" i="20"/>
  <c r="AY161" i="20"/>
  <c r="AY197" i="20"/>
  <c r="AY177" i="20"/>
  <c r="AY136" i="20"/>
  <c r="BB211" i="20"/>
  <c r="CN16" i="20"/>
  <c r="BB197" i="20"/>
  <c r="BB181" i="20"/>
  <c r="AT240" i="20"/>
  <c r="AY240" i="20" s="1"/>
  <c r="AX240" i="20"/>
  <c r="AT232" i="20"/>
  <c r="AY232" i="20" s="1"/>
  <c r="AX232" i="20"/>
  <c r="AT224" i="20"/>
  <c r="AY224" i="20" s="1"/>
  <c r="AX224" i="20"/>
  <c r="AT216" i="20"/>
  <c r="AY216" i="20" s="1"/>
  <c r="AX216" i="20"/>
  <c r="AT208" i="20"/>
  <c r="AY208" i="20" s="1"/>
  <c r="AX208" i="20"/>
  <c r="AT200" i="20"/>
  <c r="AY200" i="20" s="1"/>
  <c r="AX200" i="20"/>
  <c r="AT192" i="20"/>
  <c r="AY192" i="20" s="1"/>
  <c r="AX192" i="20"/>
  <c r="AT184" i="20"/>
  <c r="AY184" i="20" s="1"/>
  <c r="AX184" i="20"/>
  <c r="AX177" i="20"/>
  <c r="AT176" i="20"/>
  <c r="AY176" i="20" s="1"/>
  <c r="AX176" i="20"/>
  <c r="BB163" i="20"/>
  <c r="AT143" i="20"/>
  <c r="AX143" i="20"/>
  <c r="AU143" i="20"/>
  <c r="BB138" i="20"/>
  <c r="BB136" i="20"/>
  <c r="AT248" i="20"/>
  <c r="AX248" i="20"/>
  <c r="AT242" i="20"/>
  <c r="AY242" i="20" s="1"/>
  <c r="AX242" i="20"/>
  <c r="AT234" i="20"/>
  <c r="AY234" i="20" s="1"/>
  <c r="AX234" i="20"/>
  <c r="AT226" i="20"/>
  <c r="AY226" i="20" s="1"/>
  <c r="AX226" i="20"/>
  <c r="AT218" i="20"/>
  <c r="AY218" i="20" s="1"/>
  <c r="AX218" i="20"/>
  <c r="AY211" i="20"/>
  <c r="AT202" i="20"/>
  <c r="AY202" i="20" s="1"/>
  <c r="AX202" i="20"/>
  <c r="AT194" i="20"/>
  <c r="AY194" i="20" s="1"/>
  <c r="AX194" i="20"/>
  <c r="AT186" i="20"/>
  <c r="AY186" i="20" s="1"/>
  <c r="AX186" i="20"/>
  <c r="AT178" i="20"/>
  <c r="AY178" i="20" s="1"/>
  <c r="AX178" i="20"/>
  <c r="BB177" i="20"/>
  <c r="AT173" i="20"/>
  <c r="AY173" i="20" s="1"/>
  <c r="AT172" i="20"/>
  <c r="AX172" i="20"/>
  <c r="AU172" i="20"/>
  <c r="AT162" i="20"/>
  <c r="AX162" i="20"/>
  <c r="AU162" i="20"/>
  <c r="AT159" i="20"/>
  <c r="AX159" i="20"/>
  <c r="AU159" i="20"/>
  <c r="AT148" i="20"/>
  <c r="AU148" i="20"/>
  <c r="AX148" i="20"/>
  <c r="AT250" i="20"/>
  <c r="AY250" i="20" s="1"/>
  <c r="AX250" i="20"/>
  <c r="AY243" i="20"/>
  <c r="AY227" i="20"/>
  <c r="AT210" i="20"/>
  <c r="AY210" i="20" s="1"/>
  <c r="AX210" i="20"/>
  <c r="AU247" i="20"/>
  <c r="AT244" i="20"/>
  <c r="BB244" i="20" s="1"/>
  <c r="AX244" i="20"/>
  <c r="AU239" i="20"/>
  <c r="AT236" i="20"/>
  <c r="BB236" i="20" s="1"/>
  <c r="AX236" i="20"/>
  <c r="AU231" i="20"/>
  <c r="AT228" i="20"/>
  <c r="BB228" i="20" s="1"/>
  <c r="AX228" i="20"/>
  <c r="AU223" i="20"/>
  <c r="AT220" i="20"/>
  <c r="AX220" i="20"/>
  <c r="AU215" i="20"/>
  <c r="AT212" i="20"/>
  <c r="AX212" i="20"/>
  <c r="AU207" i="20"/>
  <c r="AT204" i="20"/>
  <c r="BB204" i="20" s="1"/>
  <c r="AX204" i="20"/>
  <c r="AU199" i="20"/>
  <c r="AT196" i="20"/>
  <c r="BB196" i="20" s="1"/>
  <c r="AX196" i="20"/>
  <c r="AU191" i="20"/>
  <c r="AT188" i="20"/>
  <c r="AX188" i="20"/>
  <c r="AU183" i="20"/>
  <c r="AT180" i="20"/>
  <c r="AX180" i="20"/>
  <c r="AU175" i="20"/>
  <c r="AY175" i="20" s="1"/>
  <c r="AX173" i="20"/>
  <c r="AT170" i="20"/>
  <c r="AX170" i="20"/>
  <c r="AU170" i="20"/>
  <c r="AT166" i="20"/>
  <c r="AX166" i="20"/>
  <c r="AU166" i="20"/>
  <c r="AT164" i="20"/>
  <c r="AX164" i="20"/>
  <c r="AU164" i="20"/>
  <c r="BB161" i="20"/>
  <c r="AU142" i="20"/>
  <c r="AX142" i="20"/>
  <c r="AT142" i="20"/>
  <c r="BB251" i="20"/>
  <c r="AU249" i="20"/>
  <c r="AU248" i="20"/>
  <c r="AT246" i="20"/>
  <c r="AX246" i="20"/>
  <c r="AU241" i="20"/>
  <c r="BB241" i="20" s="1"/>
  <c r="AT238" i="20"/>
  <c r="AX238" i="20"/>
  <c r="AU233" i="20"/>
  <c r="BB233" i="20" s="1"/>
  <c r="BB232" i="20"/>
  <c r="AT230" i="20"/>
  <c r="BB230" i="20" s="1"/>
  <c r="AX230" i="20"/>
  <c r="AU225" i="20"/>
  <c r="BB225" i="20" s="1"/>
  <c r="AT222" i="20"/>
  <c r="AX222" i="20"/>
  <c r="AU217" i="20"/>
  <c r="BB217" i="20" s="1"/>
  <c r="AT214" i="20"/>
  <c r="AX214" i="20"/>
  <c r="AU209" i="20"/>
  <c r="BB209" i="20" s="1"/>
  <c r="AT206" i="20"/>
  <c r="AX206" i="20"/>
  <c r="AU201" i="20"/>
  <c r="BB201" i="20" s="1"/>
  <c r="BB200" i="20"/>
  <c r="AT198" i="20"/>
  <c r="AX198" i="20"/>
  <c r="AU193" i="20"/>
  <c r="BB193" i="20" s="1"/>
  <c r="AT190" i="20"/>
  <c r="BB190" i="20" s="1"/>
  <c r="AX190" i="20"/>
  <c r="AU185" i="20"/>
  <c r="BB185" i="20" s="1"/>
  <c r="BB184" i="20"/>
  <c r="AT182" i="20"/>
  <c r="AX182" i="20"/>
  <c r="AT174" i="20"/>
  <c r="AX174" i="20"/>
  <c r="AU174" i="20"/>
  <c r="AU158" i="20"/>
  <c r="AX158" i="20"/>
  <c r="AT158" i="20"/>
  <c r="AT149" i="20"/>
  <c r="AX149" i="20"/>
  <c r="AU149" i="20"/>
  <c r="AT135" i="20"/>
  <c r="AX135" i="20"/>
  <c r="AU135" i="20"/>
  <c r="AT168" i="20"/>
  <c r="AX168" i="20"/>
  <c r="AU168" i="20"/>
  <c r="AT157" i="20"/>
  <c r="AX157" i="20"/>
  <c r="AU157" i="20"/>
  <c r="AT156" i="20"/>
  <c r="AU156" i="20"/>
  <c r="AT141" i="20"/>
  <c r="AX141" i="20"/>
  <c r="AU141" i="20"/>
  <c r="AT140" i="20"/>
  <c r="AU140" i="20"/>
  <c r="AY154" i="20"/>
  <c r="AT151" i="20"/>
  <c r="AY151" i="20" s="1"/>
  <c r="AX151" i="20"/>
  <c r="AU150" i="20"/>
  <c r="BB150" i="20" s="1"/>
  <c r="AY138" i="20"/>
  <c r="AT134" i="20"/>
  <c r="AU134" i="20"/>
  <c r="AT153" i="20"/>
  <c r="BB153" i="20" s="1"/>
  <c r="AX153" i="20"/>
  <c r="AT145" i="20"/>
  <c r="BB145" i="20" s="1"/>
  <c r="AX145" i="20"/>
  <c r="AT137" i="20"/>
  <c r="AX137" i="20"/>
  <c r="AT155" i="20"/>
  <c r="AX155" i="20"/>
  <c r="AT147" i="20"/>
  <c r="AX147" i="20"/>
  <c r="AT139" i="20"/>
  <c r="AX139" i="20"/>
  <c r="B24" i="20"/>
  <c r="E24" i="20" s="1"/>
  <c r="B26" i="20"/>
  <c r="E26" i="20" s="1"/>
  <c r="B21" i="20"/>
  <c r="E21" i="20" s="1"/>
  <c r="B28" i="20"/>
  <c r="E28" i="20" s="1"/>
  <c r="B19" i="20"/>
  <c r="E19" i="20" s="1"/>
  <c r="B23" i="20"/>
  <c r="E23" i="20" s="1"/>
  <c r="B22" i="20"/>
  <c r="E22" i="20" s="1"/>
  <c r="Z15" i="20"/>
  <c r="B20" i="20"/>
  <c r="E20" i="20" s="1"/>
  <c r="B33" i="20"/>
  <c r="E33" i="20" s="1"/>
  <c r="Y16" i="20"/>
  <c r="M17" i="20"/>
  <c r="B27" i="20"/>
  <c r="E27" i="20" s="1"/>
  <c r="B31" i="20"/>
  <c r="E31" i="20" s="1"/>
  <c r="Y15" i="20"/>
  <c r="B30" i="20"/>
  <c r="E30" i="20" s="1"/>
  <c r="B25" i="20"/>
  <c r="E25" i="20" s="1"/>
  <c r="B29" i="20"/>
  <c r="E29" i="20" s="1"/>
  <c r="B32" i="20"/>
  <c r="E32" i="20" s="1"/>
  <c r="AY187" i="20" l="1"/>
  <c r="AY152" i="20"/>
  <c r="BB216" i="20"/>
  <c r="AY203" i="20"/>
  <c r="AY205" i="20"/>
  <c r="AY219" i="20"/>
  <c r="BB245" i="20"/>
  <c r="AY146" i="20"/>
  <c r="BB248" i="20"/>
  <c r="BB237" i="20"/>
  <c r="BB165" i="20"/>
  <c r="BB176" i="20"/>
  <c r="BB249" i="20"/>
  <c r="BB169" i="20"/>
  <c r="BB213" i="20"/>
  <c r="BB203" i="20"/>
  <c r="BB235" i="20"/>
  <c r="AY179" i="20"/>
  <c r="BB167" i="20"/>
  <c r="AY144" i="20"/>
  <c r="BB189" i="20"/>
  <c r="BB187" i="20"/>
  <c r="BB192" i="20"/>
  <c r="BB208" i="20"/>
  <c r="BB224" i="20"/>
  <c r="BB240" i="20"/>
  <c r="BB250" i="20"/>
  <c r="AY162" i="20"/>
  <c r="AY149" i="20"/>
  <c r="AY141" i="20"/>
  <c r="AY135" i="20"/>
  <c r="AY148" i="20"/>
  <c r="AY157" i="20"/>
  <c r="BB142" i="20"/>
  <c r="AY172" i="20"/>
  <c r="BB143" i="20"/>
  <c r="BB134" i="20"/>
  <c r="AY158" i="20"/>
  <c r="BB159" i="20"/>
  <c r="CM16" i="20"/>
  <c r="BB140" i="20"/>
  <c r="BB141" i="20"/>
  <c r="BB156" i="20"/>
  <c r="BB157" i="20"/>
  <c r="AY168" i="20"/>
  <c r="BB135" i="20"/>
  <c r="BB149" i="20"/>
  <c r="AY174" i="20"/>
  <c r="AY182" i="20"/>
  <c r="AY214" i="20"/>
  <c r="AY246" i="20"/>
  <c r="BB166" i="20"/>
  <c r="AY170" i="20"/>
  <c r="AY188" i="20"/>
  <c r="AY199" i="20"/>
  <c r="BB199" i="20"/>
  <c r="AY220" i="20"/>
  <c r="AY231" i="20"/>
  <c r="BB231" i="20"/>
  <c r="BB178" i="20"/>
  <c r="BB234" i="20"/>
  <c r="AY233" i="20"/>
  <c r="BB186" i="20"/>
  <c r="BB210" i="20"/>
  <c r="AY139" i="20"/>
  <c r="AY153" i="20"/>
  <c r="BB139" i="20"/>
  <c r="AY134" i="20"/>
  <c r="AY140" i="20"/>
  <c r="AY156" i="20"/>
  <c r="AY206" i="20"/>
  <c r="AY238" i="20"/>
  <c r="AY142" i="20"/>
  <c r="BB164" i="20"/>
  <c r="AY180" i="20"/>
  <c r="AY191" i="20"/>
  <c r="BB191" i="20"/>
  <c r="AY212" i="20"/>
  <c r="AY223" i="20"/>
  <c r="BB223" i="20"/>
  <c r="AY244" i="20"/>
  <c r="BB151" i="20"/>
  <c r="BB162" i="20"/>
  <c r="BB172" i="20"/>
  <c r="BB180" i="20"/>
  <c r="BB188" i="20"/>
  <c r="BB212" i="20"/>
  <c r="AY150" i="20"/>
  <c r="BB246" i="20"/>
  <c r="AY185" i="20"/>
  <c r="AY209" i="20"/>
  <c r="AY241" i="20"/>
  <c r="BB242" i="20"/>
  <c r="AY217" i="20"/>
  <c r="AY147" i="20"/>
  <c r="AY145" i="20"/>
  <c r="BB147" i="20"/>
  <c r="BB168" i="20"/>
  <c r="BB158" i="20"/>
  <c r="BB174" i="20"/>
  <c r="AY198" i="20"/>
  <c r="AY230" i="20"/>
  <c r="AY166" i="20"/>
  <c r="BB170" i="20"/>
  <c r="AY183" i="20"/>
  <c r="BB183" i="20"/>
  <c r="AY204" i="20"/>
  <c r="AY215" i="20"/>
  <c r="BB215" i="20"/>
  <c r="AY236" i="20"/>
  <c r="AY247" i="20"/>
  <c r="BB247" i="20"/>
  <c r="BB220" i="20"/>
  <c r="BB148" i="20"/>
  <c r="AY159" i="20"/>
  <c r="AY248" i="20"/>
  <c r="AY193" i="20"/>
  <c r="BB198" i="20"/>
  <c r="BB214" i="20"/>
  <c r="AY249" i="20"/>
  <c r="BB194" i="20"/>
  <c r="BB173" i="20"/>
  <c r="AY201" i="20"/>
  <c r="BB226" i="20"/>
  <c r="AY155" i="20"/>
  <c r="AY137" i="20"/>
  <c r="BB155" i="20"/>
  <c r="BB137" i="20"/>
  <c r="AY190" i="20"/>
  <c r="AY222" i="20"/>
  <c r="AY164" i="20"/>
  <c r="BB175" i="20"/>
  <c r="AY196" i="20"/>
  <c r="AY207" i="20"/>
  <c r="BB207" i="20"/>
  <c r="AY228" i="20"/>
  <c r="AY239" i="20"/>
  <c r="BB239" i="20"/>
  <c r="AY143" i="20"/>
  <c r="AY225" i="20"/>
  <c r="BB202" i="20"/>
  <c r="BB218" i="20"/>
  <c r="BB222" i="20"/>
  <c r="BB182" i="20"/>
  <c r="BB206" i="20"/>
  <c r="BB238" i="20"/>
  <c r="M18" i="20"/>
  <c r="AI1" i="11"/>
  <c r="AG2" i="11"/>
  <c r="AG3" i="11"/>
  <c r="AH4" i="4"/>
  <c r="AJ1" i="4"/>
  <c r="CL16" i="20" l="1"/>
  <c r="M19" i="20"/>
  <c r="Z18" i="20"/>
  <c r="AH1" i="11"/>
  <c r="CK16" i="20" l="1"/>
  <c r="M20" i="20"/>
  <c r="B28" i="15"/>
  <c r="X44" i="15"/>
  <c r="Y57" i="15" s="1"/>
  <c r="X55" i="15"/>
  <c r="U14" i="4"/>
  <c r="AD14" i="4"/>
  <c r="Z14" i="4"/>
  <c r="CJ16" i="20" l="1"/>
  <c r="M21" i="20"/>
  <c r="Y55" i="15"/>
  <c r="Y54" i="15" s="1"/>
  <c r="X56" i="15"/>
  <c r="AA56" i="15" s="1"/>
  <c r="Y58" i="15"/>
  <c r="CI16" i="20" l="1"/>
  <c r="M22" i="20"/>
  <c r="X54" i="15"/>
  <c r="AA54" i="15" s="1"/>
  <c r="AA55" i="15"/>
  <c r="Y59" i="15"/>
  <c r="X57" i="15"/>
  <c r="AA57" i="15" s="1"/>
  <c r="X53" i="15"/>
  <c r="Y53" i="15"/>
  <c r="CH16" i="20" l="1"/>
  <c r="M23" i="20"/>
  <c r="AA53" i="15"/>
  <c r="Y52" i="15"/>
  <c r="X52" i="15"/>
  <c r="Y60" i="15"/>
  <c r="X58" i="15"/>
  <c r="AA58" i="15" s="1"/>
  <c r="AA52" i="15" l="1"/>
  <c r="CG16" i="20"/>
  <c r="M24" i="20"/>
  <c r="Y61" i="15"/>
  <c r="X59" i="15"/>
  <c r="AA59" i="15" s="1"/>
  <c r="Y51" i="15"/>
  <c r="X51" i="15"/>
  <c r="CF16" i="20" l="1"/>
  <c r="M25" i="20"/>
  <c r="Y50" i="15"/>
  <c r="X50" i="15"/>
  <c r="AA51" i="15"/>
  <c r="Y62" i="15"/>
  <c r="X60" i="15"/>
  <c r="AA60" i="15" s="1"/>
  <c r="CE16" i="20" l="1"/>
  <c r="AA50" i="15"/>
  <c r="M26" i="20"/>
  <c r="Y63" i="15"/>
  <c r="X61" i="15"/>
  <c r="AA61" i="15" s="1"/>
  <c r="Y49" i="15"/>
  <c r="X49" i="15"/>
  <c r="AA49" i="15" l="1"/>
  <c r="CD16" i="20"/>
  <c r="M27" i="20"/>
  <c r="Y48" i="15"/>
  <c r="X48" i="15"/>
  <c r="Y64" i="15"/>
  <c r="X62" i="15"/>
  <c r="AA62" i="15" s="1"/>
  <c r="AA48" i="15" l="1"/>
  <c r="CC16" i="20"/>
  <c r="M28" i="20"/>
  <c r="Y65" i="15"/>
  <c r="X63" i="15"/>
  <c r="AA63" i="15" s="1"/>
  <c r="Y47" i="15"/>
  <c r="X47" i="15"/>
  <c r="CB16" i="20" l="1"/>
  <c r="M29" i="20"/>
  <c r="Y46" i="15"/>
  <c r="X45" i="15" s="1"/>
  <c r="AA45" i="15" s="1"/>
  <c r="X46" i="15"/>
  <c r="AA46" i="15" s="1"/>
  <c r="AA47" i="15"/>
  <c r="X65" i="15"/>
  <c r="AA65" i="15" s="1"/>
  <c r="X64" i="15"/>
  <c r="AA64" i="15" s="1"/>
  <c r="Y66" i="15"/>
  <c r="CA16" i="20" l="1"/>
  <c r="M30" i="20"/>
  <c r="X66" i="15"/>
  <c r="AA66" i="15"/>
  <c r="BZ16" i="20" l="1"/>
  <c r="M31" i="20"/>
  <c r="Z7" i="13"/>
  <c r="AD13" i="4"/>
  <c r="K13" i="4"/>
  <c r="AR1" i="5"/>
  <c r="BY16" i="20" l="1"/>
  <c r="M32" i="20"/>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6" i="8"/>
  <c r="O15" i="8"/>
  <c r="BX16" i="20" l="1"/>
  <c r="M33" i="20"/>
  <c r="BW16" i="20" l="1"/>
  <c r="M34" i="20"/>
  <c r="BV16" i="20" l="1"/>
  <c r="C6" i="19"/>
  <c r="C27" i="19" s="1"/>
  <c r="C48" i="19" l="1"/>
  <c r="C69" i="19" s="1"/>
  <c r="G29" i="19"/>
  <c r="C29" i="19"/>
  <c r="I29" i="19"/>
  <c r="E29" i="19"/>
  <c r="D29" i="19"/>
  <c r="F29" i="19"/>
  <c r="H29" i="19"/>
  <c r="E8" i="19"/>
  <c r="I8" i="19"/>
  <c r="F8" i="19"/>
  <c r="C8" i="19"/>
  <c r="G8" i="19"/>
  <c r="D8" i="19"/>
  <c r="H8" i="19"/>
  <c r="H31" i="19" l="1"/>
  <c r="C9" i="19"/>
  <c r="C10" i="19"/>
  <c r="E10" i="19"/>
  <c r="E9" i="19"/>
  <c r="F31" i="19"/>
  <c r="F30" i="19"/>
  <c r="C31" i="19"/>
  <c r="C30" i="19"/>
  <c r="I10" i="19"/>
  <c r="I9" i="19"/>
  <c r="H9" i="19"/>
  <c r="H10" i="19"/>
  <c r="D31" i="19"/>
  <c r="G31" i="19"/>
  <c r="G30" i="19"/>
  <c r="G9" i="19"/>
  <c r="G10" i="19"/>
  <c r="C32" i="19"/>
  <c r="I31" i="19"/>
  <c r="F10" i="19"/>
  <c r="F9" i="19"/>
  <c r="D9" i="19"/>
  <c r="D10" i="19"/>
  <c r="I71" i="19"/>
  <c r="E71" i="19"/>
  <c r="G71" i="19"/>
  <c r="C71" i="19"/>
  <c r="F71" i="19"/>
  <c r="H71" i="19"/>
  <c r="D71" i="19"/>
  <c r="E31" i="19"/>
  <c r="H50" i="19"/>
  <c r="D50" i="19"/>
  <c r="G50" i="19"/>
  <c r="C50" i="19"/>
  <c r="F50" i="19"/>
  <c r="I50" i="19"/>
  <c r="E50" i="19"/>
  <c r="C11" i="19"/>
  <c r="C90" i="19"/>
  <c r="F92" i="19" l="1"/>
  <c r="H92" i="19"/>
  <c r="D92" i="19"/>
  <c r="I92" i="19"/>
  <c r="E92" i="19"/>
  <c r="G92" i="19"/>
  <c r="C92" i="19"/>
  <c r="F52" i="19"/>
  <c r="F51" i="19"/>
  <c r="H51" i="19"/>
  <c r="H52" i="19"/>
  <c r="H73" i="19"/>
  <c r="H72" i="19"/>
  <c r="E73" i="19"/>
  <c r="E72" i="19"/>
  <c r="D32" i="19"/>
  <c r="C53" i="19"/>
  <c r="I51" i="19" s="1"/>
  <c r="I52" i="19"/>
  <c r="D51" i="19"/>
  <c r="D52" i="19"/>
  <c r="D73" i="19"/>
  <c r="D72" i="19"/>
  <c r="G72" i="19"/>
  <c r="G73" i="19"/>
  <c r="C12" i="19"/>
  <c r="C13" i="19"/>
  <c r="C51" i="19"/>
  <c r="C52" i="19"/>
  <c r="F73" i="19"/>
  <c r="F72" i="19"/>
  <c r="C74" i="19"/>
  <c r="I72" i="19" s="1"/>
  <c r="I73" i="19"/>
  <c r="E52" i="19"/>
  <c r="E51" i="19"/>
  <c r="G52" i="19"/>
  <c r="G51" i="19"/>
  <c r="C72" i="19"/>
  <c r="C73" i="19"/>
  <c r="I30" i="19"/>
  <c r="D11" i="19"/>
  <c r="C111" i="19"/>
  <c r="F94" i="19" l="1"/>
  <c r="C95" i="19"/>
  <c r="I93" i="19" s="1"/>
  <c r="I94" i="19"/>
  <c r="C93" i="19"/>
  <c r="C94" i="19"/>
  <c r="D94" i="19"/>
  <c r="D93" i="19"/>
  <c r="D53" i="19"/>
  <c r="G93" i="19"/>
  <c r="G94" i="19"/>
  <c r="H94" i="19"/>
  <c r="H93" i="19"/>
  <c r="D12" i="19"/>
  <c r="C34" i="19"/>
  <c r="E32" i="19"/>
  <c r="D34" i="19" s="1"/>
  <c r="G113" i="19"/>
  <c r="C113" i="19"/>
  <c r="I113" i="19"/>
  <c r="E113" i="19"/>
  <c r="H113" i="19"/>
  <c r="F113" i="19"/>
  <c r="D113" i="19"/>
  <c r="D74" i="19"/>
  <c r="C75" i="19" s="1"/>
  <c r="C33" i="19"/>
  <c r="E94" i="19"/>
  <c r="E93" i="19"/>
  <c r="E11" i="19"/>
  <c r="C132" i="19"/>
  <c r="C76" i="19" l="1"/>
  <c r="F114" i="19"/>
  <c r="F115" i="19"/>
  <c r="C115" i="19"/>
  <c r="C114" i="19"/>
  <c r="H115" i="19"/>
  <c r="H114" i="19"/>
  <c r="G115" i="19"/>
  <c r="G114" i="19"/>
  <c r="E74" i="19"/>
  <c r="D76" i="19" s="1"/>
  <c r="E115" i="19"/>
  <c r="E114" i="19"/>
  <c r="E53" i="19"/>
  <c r="H134" i="19"/>
  <c r="D134" i="19"/>
  <c r="F134" i="19"/>
  <c r="G134" i="19"/>
  <c r="C134" i="19"/>
  <c r="I134" i="19"/>
  <c r="E134" i="19"/>
  <c r="D115" i="19"/>
  <c r="D114" i="19"/>
  <c r="C116" i="19"/>
  <c r="I115" i="19"/>
  <c r="F32" i="19"/>
  <c r="E34" i="19" s="1"/>
  <c r="C55" i="19"/>
  <c r="C54" i="19"/>
  <c r="D95" i="19"/>
  <c r="C97" i="19" s="1"/>
  <c r="F11" i="19"/>
  <c r="C153" i="19"/>
  <c r="D75" i="19" l="1"/>
  <c r="D116" i="19"/>
  <c r="C117" i="19" s="1"/>
  <c r="C137" i="19"/>
  <c r="I135" i="19" s="1"/>
  <c r="I136" i="19"/>
  <c r="D136" i="19"/>
  <c r="D135" i="19"/>
  <c r="F53" i="19"/>
  <c r="I155" i="19"/>
  <c r="E155" i="19"/>
  <c r="C155" i="19"/>
  <c r="F155" i="19"/>
  <c r="H155" i="19"/>
  <c r="D155" i="19"/>
  <c r="G155" i="19"/>
  <c r="C96" i="19"/>
  <c r="E95" i="19"/>
  <c r="E33" i="19"/>
  <c r="G32" i="19"/>
  <c r="H32" i="19" s="1"/>
  <c r="C136" i="19"/>
  <c r="C135" i="19"/>
  <c r="H135" i="19"/>
  <c r="H136" i="19"/>
  <c r="I114" i="19"/>
  <c r="G136" i="19"/>
  <c r="G135" i="19"/>
  <c r="D54" i="19"/>
  <c r="E135" i="19"/>
  <c r="E136" i="19"/>
  <c r="F136" i="19"/>
  <c r="F135" i="19"/>
  <c r="D55" i="19"/>
  <c r="F74" i="19"/>
  <c r="E75" i="19" s="1"/>
  <c r="G11" i="19"/>
  <c r="C174" i="19"/>
  <c r="G34" i="19" l="1"/>
  <c r="I32" i="19"/>
  <c r="H33" i="19" s="1"/>
  <c r="G157" i="19"/>
  <c r="G156" i="19"/>
  <c r="C156" i="19"/>
  <c r="C157" i="19"/>
  <c r="E54" i="19"/>
  <c r="G53" i="19"/>
  <c r="F55" i="19" s="1"/>
  <c r="E76" i="19"/>
  <c r="G74" i="19"/>
  <c r="F176" i="19"/>
  <c r="D176" i="19"/>
  <c r="I176" i="19"/>
  <c r="E176" i="19"/>
  <c r="H176" i="19"/>
  <c r="G176" i="19"/>
  <c r="C176" i="19"/>
  <c r="D156" i="19"/>
  <c r="D157" i="19"/>
  <c r="E157" i="19"/>
  <c r="E156" i="19"/>
  <c r="D137" i="19"/>
  <c r="C138" i="19"/>
  <c r="D97" i="19"/>
  <c r="F95" i="19"/>
  <c r="E97" i="19" s="1"/>
  <c r="H156" i="19"/>
  <c r="H157" i="19"/>
  <c r="C158" i="19"/>
  <c r="I157" i="19"/>
  <c r="F34" i="19"/>
  <c r="F157" i="19"/>
  <c r="F156" i="19"/>
  <c r="E55" i="19"/>
  <c r="C118" i="19"/>
  <c r="E116" i="19"/>
  <c r="H11" i="19"/>
  <c r="C195" i="19"/>
  <c r="G197" i="19" l="1"/>
  <c r="C197" i="19"/>
  <c r="E197" i="19"/>
  <c r="F197" i="19"/>
  <c r="I197" i="19"/>
  <c r="H197" i="19"/>
  <c r="D197" i="19"/>
  <c r="D118" i="19"/>
  <c r="F116" i="19"/>
  <c r="E117" i="19" s="1"/>
  <c r="D158" i="19"/>
  <c r="C160" i="19" s="1"/>
  <c r="E96" i="19"/>
  <c r="G95" i="19"/>
  <c r="F97" i="19" s="1"/>
  <c r="E137" i="19"/>
  <c r="E178" i="19"/>
  <c r="E177" i="19"/>
  <c r="F76" i="19"/>
  <c r="H74" i="19"/>
  <c r="C177" i="19"/>
  <c r="C178" i="19"/>
  <c r="C179" i="19"/>
  <c r="I178" i="19"/>
  <c r="I156" i="19"/>
  <c r="C139" i="19"/>
  <c r="G177" i="19"/>
  <c r="G178" i="19"/>
  <c r="D178" i="19"/>
  <c r="D177" i="19"/>
  <c r="H34" i="19"/>
  <c r="I34" i="19"/>
  <c r="C35" i="19"/>
  <c r="I33" i="19" s="1"/>
  <c r="H178" i="19"/>
  <c r="H177" i="19"/>
  <c r="F178" i="19"/>
  <c r="F177" i="19"/>
  <c r="H53" i="19"/>
  <c r="G55" i="19" s="1"/>
  <c r="I11" i="19"/>
  <c r="C216" i="19"/>
  <c r="D179" i="19" l="1"/>
  <c r="C181" i="19" s="1"/>
  <c r="F198" i="19"/>
  <c r="F199" i="19"/>
  <c r="D138" i="19"/>
  <c r="F137" i="19"/>
  <c r="H218" i="19"/>
  <c r="D218" i="19"/>
  <c r="F218" i="19"/>
  <c r="E218" i="19"/>
  <c r="G218" i="19"/>
  <c r="C218" i="19"/>
  <c r="I218" i="19"/>
  <c r="D35" i="19"/>
  <c r="C36" i="19" s="1"/>
  <c r="C159" i="19"/>
  <c r="E158" i="19"/>
  <c r="D159" i="19" s="1"/>
  <c r="D199" i="19"/>
  <c r="D198" i="19"/>
  <c r="E198" i="19"/>
  <c r="E199" i="19"/>
  <c r="I13" i="19"/>
  <c r="I12" i="19"/>
  <c r="I177" i="19"/>
  <c r="F96" i="19"/>
  <c r="H95" i="19"/>
  <c r="H199" i="19"/>
  <c r="H198" i="19"/>
  <c r="C199" i="19"/>
  <c r="C198" i="19"/>
  <c r="I53" i="19"/>
  <c r="H55" i="19" s="1"/>
  <c r="G76" i="19"/>
  <c r="I74" i="19"/>
  <c r="H76" i="19" s="1"/>
  <c r="D139" i="19"/>
  <c r="E118" i="19"/>
  <c r="G116" i="19"/>
  <c r="F118" i="19" s="1"/>
  <c r="F117" i="19"/>
  <c r="C200" i="19"/>
  <c r="I199" i="19"/>
  <c r="G199" i="19"/>
  <c r="G198" i="19"/>
  <c r="C14" i="19"/>
  <c r="C237" i="19"/>
  <c r="C37" i="19" l="1"/>
  <c r="C220" i="19"/>
  <c r="C219" i="19"/>
  <c r="D220" i="19"/>
  <c r="D219" i="19"/>
  <c r="D200" i="19"/>
  <c r="C202" i="19" s="1"/>
  <c r="I239" i="19"/>
  <c r="E239" i="19"/>
  <c r="G239" i="19"/>
  <c r="H239" i="19"/>
  <c r="D239" i="19"/>
  <c r="C239" i="19"/>
  <c r="F239" i="19"/>
  <c r="I95" i="19"/>
  <c r="H96" i="19" s="1"/>
  <c r="C15" i="19"/>
  <c r="C16" i="19"/>
  <c r="I198" i="19"/>
  <c r="I55" i="19"/>
  <c r="C56" i="19"/>
  <c r="I54" i="19" s="1"/>
  <c r="G220" i="19"/>
  <c r="G219" i="19"/>
  <c r="H220" i="19"/>
  <c r="H219" i="19"/>
  <c r="H116" i="19"/>
  <c r="G118" i="19" s="1"/>
  <c r="H75" i="19"/>
  <c r="C77" i="19"/>
  <c r="I75" i="19" s="1"/>
  <c r="I76" i="19"/>
  <c r="G97" i="19"/>
  <c r="D160" i="19"/>
  <c r="F158" i="19"/>
  <c r="E35" i="19"/>
  <c r="D37" i="19" s="1"/>
  <c r="E219" i="19"/>
  <c r="E220" i="19"/>
  <c r="E139" i="19"/>
  <c r="G137" i="19"/>
  <c r="F139" i="19" s="1"/>
  <c r="G96" i="19"/>
  <c r="C221" i="19"/>
  <c r="I219" i="19" s="1"/>
  <c r="I220" i="19"/>
  <c r="F219" i="19"/>
  <c r="F220" i="19"/>
  <c r="C180" i="19"/>
  <c r="E179" i="19"/>
  <c r="D14" i="19"/>
  <c r="G117" i="19" l="1"/>
  <c r="E159" i="19"/>
  <c r="G158" i="19"/>
  <c r="F160" i="19" s="1"/>
  <c r="D240" i="19"/>
  <c r="D241" i="19"/>
  <c r="C242" i="19"/>
  <c r="I240" i="19" s="1"/>
  <c r="I241" i="19"/>
  <c r="H137" i="19"/>
  <c r="G139" i="19" s="1"/>
  <c r="D77" i="19"/>
  <c r="C78" i="19" s="1"/>
  <c r="I116" i="19"/>
  <c r="H118" i="19" s="1"/>
  <c r="H97" i="19"/>
  <c r="C98" i="19"/>
  <c r="I97" i="19"/>
  <c r="H240" i="19"/>
  <c r="H241" i="19"/>
  <c r="D180" i="19"/>
  <c r="F179" i="19"/>
  <c r="E181" i="19" s="1"/>
  <c r="D36" i="19"/>
  <c r="F35" i="19"/>
  <c r="E36" i="19" s="1"/>
  <c r="F241" i="19"/>
  <c r="F240" i="19"/>
  <c r="G241" i="19"/>
  <c r="G240" i="19"/>
  <c r="C201" i="19"/>
  <c r="E200" i="19"/>
  <c r="D201" i="19" s="1"/>
  <c r="D221" i="19"/>
  <c r="C222" i="19" s="1"/>
  <c r="D181" i="19"/>
  <c r="E160" i="19"/>
  <c r="D56" i="19"/>
  <c r="C58" i="19" s="1"/>
  <c r="C241" i="19"/>
  <c r="C240" i="19"/>
  <c r="E240" i="19"/>
  <c r="E241" i="19"/>
  <c r="E14" i="19"/>
  <c r="C79" i="19" l="1"/>
  <c r="C57" i="19"/>
  <c r="E56" i="19"/>
  <c r="D58" i="19" s="1"/>
  <c r="D202" i="19"/>
  <c r="F200" i="19"/>
  <c r="E201" i="19" s="1"/>
  <c r="E77" i="19"/>
  <c r="D78" i="19"/>
  <c r="E16" i="19"/>
  <c r="E15" i="19"/>
  <c r="C223" i="19"/>
  <c r="E221" i="19"/>
  <c r="E180" i="19"/>
  <c r="G179" i="19"/>
  <c r="I118" i="19"/>
  <c r="C119" i="19"/>
  <c r="I117" i="19"/>
  <c r="D242" i="19"/>
  <c r="C244" i="19"/>
  <c r="F159" i="19"/>
  <c r="H158" i="19"/>
  <c r="E37" i="19"/>
  <c r="G35" i="19"/>
  <c r="F36" i="19" s="1"/>
  <c r="I96" i="19"/>
  <c r="D98" i="19"/>
  <c r="C100" i="19" s="1"/>
  <c r="I137" i="19"/>
  <c r="H138" i="19" s="1"/>
  <c r="F14" i="19"/>
  <c r="F37" i="19" l="1"/>
  <c r="H35" i="19"/>
  <c r="G37" i="19" s="1"/>
  <c r="C99" i="19"/>
  <c r="E98" i="19"/>
  <c r="G160" i="19"/>
  <c r="I158" i="19"/>
  <c r="H160" i="19" s="1"/>
  <c r="F180" i="19"/>
  <c r="H179" i="19"/>
  <c r="G180" i="19" s="1"/>
  <c r="F221" i="19"/>
  <c r="E223" i="19" s="1"/>
  <c r="D119" i="19"/>
  <c r="C120" i="19" s="1"/>
  <c r="D79" i="19"/>
  <c r="F77" i="19"/>
  <c r="E79" i="19" s="1"/>
  <c r="D222" i="19"/>
  <c r="D57" i="19"/>
  <c r="F56" i="19"/>
  <c r="E57" i="19" s="1"/>
  <c r="H139" i="19"/>
  <c r="I139" i="19"/>
  <c r="C140" i="19"/>
  <c r="C243" i="19"/>
  <c r="E242" i="19"/>
  <c r="D244" i="19" s="1"/>
  <c r="F181" i="19"/>
  <c r="D223" i="19"/>
  <c r="E202" i="19"/>
  <c r="G200" i="19"/>
  <c r="F202" i="19" s="1"/>
  <c r="G14" i="19"/>
  <c r="F201" i="19" l="1"/>
  <c r="G15" i="19"/>
  <c r="D100" i="19"/>
  <c r="F98" i="19"/>
  <c r="E100" i="19" s="1"/>
  <c r="H200" i="19"/>
  <c r="G202" i="19" s="1"/>
  <c r="C121" i="19"/>
  <c r="E119" i="19"/>
  <c r="D121" i="19" s="1"/>
  <c r="H159" i="19"/>
  <c r="C161" i="19"/>
  <c r="I160" i="19"/>
  <c r="F242" i="19"/>
  <c r="E244" i="19" s="1"/>
  <c r="I138" i="19"/>
  <c r="D140" i="19"/>
  <c r="C142" i="19" s="1"/>
  <c r="C141" i="19"/>
  <c r="E58" i="19"/>
  <c r="G56" i="19"/>
  <c r="F58" i="19" s="1"/>
  <c r="E78" i="19"/>
  <c r="G77" i="19"/>
  <c r="F78" i="19" s="1"/>
  <c r="F79" i="19"/>
  <c r="I179" i="19"/>
  <c r="H181" i="19" s="1"/>
  <c r="G221" i="19"/>
  <c r="F223" i="19" s="1"/>
  <c r="D99" i="19"/>
  <c r="G36" i="19"/>
  <c r="I35" i="19"/>
  <c r="G181" i="19"/>
  <c r="H14" i="19"/>
  <c r="E99" i="19" l="1"/>
  <c r="F222" i="19"/>
  <c r="F57" i="19"/>
  <c r="I159" i="19"/>
  <c r="D161" i="19"/>
  <c r="C162" i="19" s="1"/>
  <c r="H221" i="19"/>
  <c r="G223" i="19" s="1"/>
  <c r="G98" i="19"/>
  <c r="F99" i="19" s="1"/>
  <c r="G201" i="19"/>
  <c r="I200" i="19"/>
  <c r="I37" i="19"/>
  <c r="C38" i="19"/>
  <c r="I36" i="19" s="1"/>
  <c r="H36" i="19"/>
  <c r="H180" i="19"/>
  <c r="E243" i="19"/>
  <c r="G242" i="19"/>
  <c r="H37" i="19"/>
  <c r="H77" i="19"/>
  <c r="I77" i="19" s="1"/>
  <c r="H56" i="19"/>
  <c r="G58" i="19" s="1"/>
  <c r="E140" i="19"/>
  <c r="D142" i="19" s="1"/>
  <c r="F119" i="19"/>
  <c r="I181" i="19"/>
  <c r="C182" i="19"/>
  <c r="I180" i="19" s="1"/>
  <c r="I14" i="19"/>
  <c r="G79" i="19" l="1"/>
  <c r="F244" i="19"/>
  <c r="H242" i="19"/>
  <c r="G244" i="19" s="1"/>
  <c r="I202" i="19"/>
  <c r="C203" i="19"/>
  <c r="I201" i="19" s="1"/>
  <c r="D182" i="19"/>
  <c r="C184" i="19" s="1"/>
  <c r="I56" i="19"/>
  <c r="H57" i="19" s="1"/>
  <c r="D38" i="19"/>
  <c r="I221" i="19"/>
  <c r="H222" i="19" s="1"/>
  <c r="H223" i="19"/>
  <c r="D141" i="19"/>
  <c r="F140" i="19"/>
  <c r="E141" i="19" s="1"/>
  <c r="E121" i="19"/>
  <c r="G119" i="19"/>
  <c r="I16" i="19"/>
  <c r="I15" i="19"/>
  <c r="E120" i="19"/>
  <c r="G57" i="19"/>
  <c r="H79" i="19"/>
  <c r="I79" i="19"/>
  <c r="C80" i="19"/>
  <c r="F243" i="19"/>
  <c r="H202" i="19"/>
  <c r="F100" i="19"/>
  <c r="H98" i="19"/>
  <c r="G100" i="19" s="1"/>
  <c r="C163" i="19"/>
  <c r="E161" i="19"/>
  <c r="C17" i="19"/>
  <c r="C183" i="19" l="1"/>
  <c r="D162" i="19"/>
  <c r="F161" i="19"/>
  <c r="E163" i="19" s="1"/>
  <c r="C18" i="19"/>
  <c r="C19" i="19"/>
  <c r="E142" i="19"/>
  <c r="G140" i="19"/>
  <c r="F141" i="19" s="1"/>
  <c r="I223" i="19"/>
  <c r="C224" i="19"/>
  <c r="I222" i="19" s="1"/>
  <c r="E182" i="19"/>
  <c r="D184" i="19" s="1"/>
  <c r="D80" i="19"/>
  <c r="C82" i="19" s="1"/>
  <c r="E38" i="19"/>
  <c r="D40" i="19" s="1"/>
  <c r="D163" i="19"/>
  <c r="G99" i="19"/>
  <c r="I98" i="19"/>
  <c r="H99" i="19" s="1"/>
  <c r="I78" i="19"/>
  <c r="F121" i="19"/>
  <c r="H119" i="19"/>
  <c r="G120" i="19" s="1"/>
  <c r="C39" i="19"/>
  <c r="H58" i="19"/>
  <c r="I58" i="19"/>
  <c r="C59" i="19"/>
  <c r="G243" i="19"/>
  <c r="I242" i="19"/>
  <c r="H244" i="19" s="1"/>
  <c r="C40" i="19"/>
  <c r="D203" i="19"/>
  <c r="D17" i="19"/>
  <c r="D18" i="19" s="1"/>
  <c r="E203" i="19" l="1"/>
  <c r="D205" i="19"/>
  <c r="C205" i="19"/>
  <c r="H100" i="19"/>
  <c r="C204" i="19"/>
  <c r="H243" i="19"/>
  <c r="C245" i="19"/>
  <c r="I244" i="19"/>
  <c r="I119" i="19"/>
  <c r="H121" i="19"/>
  <c r="E80" i="19"/>
  <c r="D82" i="19" s="1"/>
  <c r="D224" i="19"/>
  <c r="C225" i="19" s="1"/>
  <c r="H140" i="19"/>
  <c r="G142" i="19" s="1"/>
  <c r="C101" i="19"/>
  <c r="I99" i="19" s="1"/>
  <c r="I100" i="19"/>
  <c r="D39" i="19"/>
  <c r="F38" i="19"/>
  <c r="E40" i="19"/>
  <c r="G161" i="19"/>
  <c r="F163" i="19" s="1"/>
  <c r="I57" i="19"/>
  <c r="D59" i="19"/>
  <c r="C60" i="19" s="1"/>
  <c r="G121" i="19"/>
  <c r="C81" i="19"/>
  <c r="D183" i="19"/>
  <c r="F182" i="19"/>
  <c r="F142" i="19"/>
  <c r="E17" i="19"/>
  <c r="C61" i="19" l="1"/>
  <c r="H161" i="19"/>
  <c r="G163" i="19" s="1"/>
  <c r="G141" i="19"/>
  <c r="I140" i="19"/>
  <c r="H141" i="19" s="1"/>
  <c r="D81" i="19"/>
  <c r="F80" i="19"/>
  <c r="E81" i="19" s="1"/>
  <c r="I243" i="19"/>
  <c r="D245" i="19"/>
  <c r="C247" i="19" s="1"/>
  <c r="E184" i="19"/>
  <c r="G182" i="19"/>
  <c r="F184" i="19" s="1"/>
  <c r="E59" i="19"/>
  <c r="D60" i="19" s="1"/>
  <c r="E183" i="19"/>
  <c r="E39" i="19"/>
  <c r="G38" i="19"/>
  <c r="F40" i="19" s="1"/>
  <c r="D101" i="19"/>
  <c r="C102" i="19" s="1"/>
  <c r="C226" i="19"/>
  <c r="E224" i="19"/>
  <c r="D226" i="19" s="1"/>
  <c r="C122" i="19"/>
  <c r="I121" i="19"/>
  <c r="D204" i="19"/>
  <c r="F203" i="19"/>
  <c r="E204" i="19" s="1"/>
  <c r="F17" i="19"/>
  <c r="E82" i="19" l="1"/>
  <c r="C103" i="19"/>
  <c r="E101" i="19"/>
  <c r="C246" i="19"/>
  <c r="E245" i="19"/>
  <c r="D246" i="19" s="1"/>
  <c r="G80" i="19"/>
  <c r="F81" i="19" s="1"/>
  <c r="I142" i="19"/>
  <c r="C143" i="19"/>
  <c r="F18" i="19"/>
  <c r="E205" i="19"/>
  <c r="G203" i="19"/>
  <c r="F204" i="19" s="1"/>
  <c r="D122" i="19"/>
  <c r="C124" i="19" s="1"/>
  <c r="H38" i="19"/>
  <c r="G40" i="19" s="1"/>
  <c r="D61" i="19"/>
  <c r="F59" i="19"/>
  <c r="E60" i="19" s="1"/>
  <c r="I120" i="19"/>
  <c r="D225" i="19"/>
  <c r="F224" i="19"/>
  <c r="E225" i="19" s="1"/>
  <c r="F39" i="19"/>
  <c r="H182" i="19"/>
  <c r="H142" i="19"/>
  <c r="G162" i="19"/>
  <c r="I161" i="19"/>
  <c r="H162" i="19" s="1"/>
  <c r="G17" i="19"/>
  <c r="C123" i="19" l="1"/>
  <c r="I182" i="19"/>
  <c r="H183" i="19" s="1"/>
  <c r="D247" i="19"/>
  <c r="F245" i="19"/>
  <c r="E246" i="19" s="1"/>
  <c r="E122" i="19"/>
  <c r="D123" i="19" s="1"/>
  <c r="G183" i="19"/>
  <c r="I38" i="19"/>
  <c r="H39" i="19" s="1"/>
  <c r="F82" i="19"/>
  <c r="H80" i="19"/>
  <c r="D103" i="19"/>
  <c r="F101" i="19"/>
  <c r="H163" i="19"/>
  <c r="C164" i="19"/>
  <c r="I163" i="19"/>
  <c r="G184" i="19"/>
  <c r="E226" i="19"/>
  <c r="G224" i="19"/>
  <c r="F226" i="19"/>
  <c r="E61" i="19"/>
  <c r="G59" i="19"/>
  <c r="F60" i="19" s="1"/>
  <c r="F205" i="19"/>
  <c r="H203" i="19"/>
  <c r="I141" i="19"/>
  <c r="D143" i="19"/>
  <c r="H17" i="19"/>
  <c r="H18" i="19" s="1"/>
  <c r="H184" i="19" l="1"/>
  <c r="E143" i="19"/>
  <c r="D145" i="19"/>
  <c r="C145" i="19"/>
  <c r="G205" i="19"/>
  <c r="I203" i="19"/>
  <c r="H204" i="19"/>
  <c r="H205" i="19"/>
  <c r="H59" i="19"/>
  <c r="H224" i="19"/>
  <c r="G225" i="19" s="1"/>
  <c r="G226" i="19"/>
  <c r="E102" i="19"/>
  <c r="G101" i="19"/>
  <c r="F103" i="19" s="1"/>
  <c r="H40" i="19"/>
  <c r="D164" i="19"/>
  <c r="C165" i="19" s="1"/>
  <c r="D124" i="19"/>
  <c r="F122" i="19"/>
  <c r="E124" i="19" s="1"/>
  <c r="G82" i="19"/>
  <c r="I80" i="19"/>
  <c r="I40" i="19"/>
  <c r="C41" i="19"/>
  <c r="I39" i="19" s="1"/>
  <c r="C144" i="19"/>
  <c r="G204" i="19"/>
  <c r="F61" i="19"/>
  <c r="F225" i="19"/>
  <c r="I162" i="19"/>
  <c r="E103" i="19"/>
  <c r="E247" i="19"/>
  <c r="G245" i="19"/>
  <c r="F247" i="19" s="1"/>
  <c r="I184" i="19"/>
  <c r="C185" i="19"/>
  <c r="I17" i="19"/>
  <c r="F102" i="19" l="1"/>
  <c r="H82" i="19"/>
  <c r="I82" i="19"/>
  <c r="C83" i="19"/>
  <c r="I81" i="19" s="1"/>
  <c r="G61" i="19"/>
  <c r="I59" i="19"/>
  <c r="H60" i="19" s="1"/>
  <c r="D41" i="19"/>
  <c r="C43" i="19" s="1"/>
  <c r="C166" i="19"/>
  <c r="E164" i="19"/>
  <c r="D165" i="19" s="1"/>
  <c r="H101" i="19"/>
  <c r="G103" i="19"/>
  <c r="I224" i="19"/>
  <c r="H226" i="19" s="1"/>
  <c r="I18" i="19"/>
  <c r="I19" i="19"/>
  <c r="H245" i="19"/>
  <c r="G247" i="19" s="1"/>
  <c r="I183" i="19"/>
  <c r="D185" i="19"/>
  <c r="C186" i="19" s="1"/>
  <c r="E123" i="19"/>
  <c r="G122" i="19"/>
  <c r="F124" i="19" s="1"/>
  <c r="G60" i="19"/>
  <c r="I205" i="19"/>
  <c r="C206" i="19"/>
  <c r="I204" i="19" s="1"/>
  <c r="D144" i="19"/>
  <c r="F143" i="19"/>
  <c r="E145" i="19" s="1"/>
  <c r="C20" i="19"/>
  <c r="C187" i="19" l="1"/>
  <c r="G246" i="19"/>
  <c r="C42" i="19"/>
  <c r="E41" i="19"/>
  <c r="D42" i="19" s="1"/>
  <c r="C21" i="19"/>
  <c r="C22" i="19"/>
  <c r="D206" i="19"/>
  <c r="C207" i="19" s="1"/>
  <c r="F123" i="19"/>
  <c r="H122" i="19"/>
  <c r="G124" i="19" s="1"/>
  <c r="E185" i="19"/>
  <c r="D186" i="19" s="1"/>
  <c r="I245" i="19"/>
  <c r="H246" i="19" s="1"/>
  <c r="H225" i="19"/>
  <c r="I226" i="19"/>
  <c r="C227" i="19"/>
  <c r="D166" i="19"/>
  <c r="F164" i="19"/>
  <c r="E165" i="19" s="1"/>
  <c r="D83" i="19"/>
  <c r="C84" i="19" s="1"/>
  <c r="G143" i="19"/>
  <c r="F144" i="19" s="1"/>
  <c r="H61" i="19"/>
  <c r="I61" i="19"/>
  <c r="C62" i="19"/>
  <c r="G102" i="19"/>
  <c r="I101" i="19"/>
  <c r="H103" i="19" s="1"/>
  <c r="D20" i="19"/>
  <c r="C208" i="19" l="1"/>
  <c r="G123" i="19"/>
  <c r="E83" i="19"/>
  <c r="D85" i="19" s="1"/>
  <c r="I225" i="19"/>
  <c r="D227" i="19"/>
  <c r="C229" i="19" s="1"/>
  <c r="H247" i="19"/>
  <c r="C248" i="19"/>
  <c r="I247" i="19"/>
  <c r="I246" i="19"/>
  <c r="D43" i="19"/>
  <c r="H102" i="19"/>
  <c r="C104" i="19"/>
  <c r="I102" i="19" s="1"/>
  <c r="I103" i="19"/>
  <c r="I60" i="19"/>
  <c r="D62" i="19"/>
  <c r="C63" i="19" s="1"/>
  <c r="F145" i="19"/>
  <c r="H143" i="19"/>
  <c r="G145" i="19" s="1"/>
  <c r="I122" i="19"/>
  <c r="H123" i="19" s="1"/>
  <c r="E206" i="19"/>
  <c r="D208" i="19" s="1"/>
  <c r="C85" i="19"/>
  <c r="E166" i="19"/>
  <c r="G164" i="19"/>
  <c r="F166" i="19" s="1"/>
  <c r="D187" i="19"/>
  <c r="F185" i="19"/>
  <c r="F41" i="19"/>
  <c r="E42" i="19" s="1"/>
  <c r="E20" i="19"/>
  <c r="C228" i="19" l="1"/>
  <c r="E43" i="19"/>
  <c r="E187" i="19"/>
  <c r="G185" i="19"/>
  <c r="F186" i="19" s="1"/>
  <c r="D248" i="19"/>
  <c r="C249" i="19"/>
  <c r="C250" i="19"/>
  <c r="E227" i="19"/>
  <c r="D229" i="19" s="1"/>
  <c r="H124" i="19"/>
  <c r="I124" i="19"/>
  <c r="C125" i="19"/>
  <c r="C64" i="19"/>
  <c r="G41" i="19"/>
  <c r="F43" i="19"/>
  <c r="E186" i="19"/>
  <c r="H164" i="19"/>
  <c r="G166" i="19" s="1"/>
  <c r="D207" i="19"/>
  <c r="F206" i="19"/>
  <c r="G144" i="19"/>
  <c r="I143" i="19"/>
  <c r="H144" i="19" s="1"/>
  <c r="E62" i="19"/>
  <c r="D64" i="19"/>
  <c r="D104" i="19"/>
  <c r="C106" i="19" s="1"/>
  <c r="D84" i="19"/>
  <c r="F83" i="19"/>
  <c r="E84" i="19" s="1"/>
  <c r="F20" i="19"/>
  <c r="E85" i="19" l="1"/>
  <c r="F42" i="19"/>
  <c r="H41" i="19"/>
  <c r="G43" i="19" s="1"/>
  <c r="G83" i="19"/>
  <c r="E248" i="19"/>
  <c r="D250" i="19" s="1"/>
  <c r="C105" i="19"/>
  <c r="E104" i="19"/>
  <c r="D105" i="19" s="1"/>
  <c r="H145" i="19"/>
  <c r="C146" i="19"/>
  <c r="I144" i="19" s="1"/>
  <c r="I145" i="19"/>
  <c r="I164" i="19"/>
  <c r="D63" i="19"/>
  <c r="F62" i="19"/>
  <c r="E64" i="19" s="1"/>
  <c r="E208" i="19"/>
  <c r="G206" i="19"/>
  <c r="F208" i="19" s="1"/>
  <c r="I123" i="19"/>
  <c r="D125" i="19"/>
  <c r="C127" i="19" s="1"/>
  <c r="D228" i="19"/>
  <c r="F227" i="19"/>
  <c r="E229" i="19" s="1"/>
  <c r="F187" i="19"/>
  <c r="H185" i="19"/>
  <c r="G187" i="19" s="1"/>
  <c r="G20" i="19"/>
  <c r="C126" i="19" l="1"/>
  <c r="F207" i="19"/>
  <c r="E63" i="19"/>
  <c r="H165" i="19"/>
  <c r="C167" i="19"/>
  <c r="I165" i="19" s="1"/>
  <c r="I166" i="19"/>
  <c r="F85" i="19"/>
  <c r="H83" i="19"/>
  <c r="G84" i="19" s="1"/>
  <c r="E228" i="19"/>
  <c r="G227" i="19"/>
  <c r="F229" i="19" s="1"/>
  <c r="E125" i="19"/>
  <c r="D126" i="19" s="1"/>
  <c r="H206" i="19"/>
  <c r="G207" i="19" s="1"/>
  <c r="G62" i="19"/>
  <c r="F64" i="19" s="1"/>
  <c r="D106" i="19"/>
  <c r="G42" i="19"/>
  <c r="D249" i="19"/>
  <c r="F248" i="19"/>
  <c r="E250" i="19" s="1"/>
  <c r="G186" i="19"/>
  <c r="I185" i="19"/>
  <c r="H186" i="19" s="1"/>
  <c r="H166" i="19"/>
  <c r="D146" i="19"/>
  <c r="C148" i="19" s="1"/>
  <c r="F104" i="19"/>
  <c r="E106" i="19" s="1"/>
  <c r="F84" i="19"/>
  <c r="I41" i="19"/>
  <c r="H43" i="19" s="1"/>
  <c r="H20" i="19"/>
  <c r="D127" i="19" l="1"/>
  <c r="E249" i="19"/>
  <c r="H42" i="19"/>
  <c r="G208" i="19"/>
  <c r="E105" i="19"/>
  <c r="G104" i="19"/>
  <c r="F106" i="19" s="1"/>
  <c r="F125" i="19"/>
  <c r="E127" i="19"/>
  <c r="C44" i="19"/>
  <c r="I42" i="19" s="1"/>
  <c r="I43" i="19"/>
  <c r="H187" i="19"/>
  <c r="I187" i="19"/>
  <c r="C188" i="19"/>
  <c r="I186" i="19" s="1"/>
  <c r="G248" i="19"/>
  <c r="I206" i="19"/>
  <c r="H208" i="19" s="1"/>
  <c r="H207" i="19"/>
  <c r="G85" i="19"/>
  <c r="I83" i="19"/>
  <c r="H84" i="19" s="1"/>
  <c r="D167" i="19"/>
  <c r="C169" i="19"/>
  <c r="C147" i="19"/>
  <c r="E146" i="19"/>
  <c r="D147" i="19" s="1"/>
  <c r="H62" i="19"/>
  <c r="G64" i="19" s="1"/>
  <c r="H227" i="19"/>
  <c r="G229" i="19" s="1"/>
  <c r="I20" i="19"/>
  <c r="F249" i="19" l="1"/>
  <c r="H248" i="19"/>
  <c r="G249" i="19" s="1"/>
  <c r="D148" i="19"/>
  <c r="F146" i="19"/>
  <c r="E147" i="19" s="1"/>
  <c r="E126" i="19"/>
  <c r="G125" i="19"/>
  <c r="F127" i="19" s="1"/>
  <c r="C168" i="19"/>
  <c r="E167" i="19"/>
  <c r="I22" i="19"/>
  <c r="I21" i="19"/>
  <c r="I62" i="19"/>
  <c r="H64" i="19" s="1"/>
  <c r="H85" i="19"/>
  <c r="I85" i="19"/>
  <c r="C86" i="19"/>
  <c r="I84" i="19" s="1"/>
  <c r="I208" i="19"/>
  <c r="C209" i="19"/>
  <c r="D188" i="19"/>
  <c r="C189" i="19" s="1"/>
  <c r="F250" i="19"/>
  <c r="D44" i="19"/>
  <c r="C45" i="19" s="1"/>
  <c r="F105" i="19"/>
  <c r="H104" i="19"/>
  <c r="G106" i="19" s="1"/>
  <c r="G228" i="19"/>
  <c r="I227" i="19"/>
  <c r="C23" i="19"/>
  <c r="C46" i="19" l="1"/>
  <c r="H63" i="19"/>
  <c r="C190" i="19"/>
  <c r="D169" i="19"/>
  <c r="F167" i="19"/>
  <c r="E169" i="19" s="1"/>
  <c r="C25" i="19"/>
  <c r="C24" i="19"/>
  <c r="E148" i="19"/>
  <c r="G105" i="19"/>
  <c r="I104" i="19"/>
  <c r="H106" i="19" s="1"/>
  <c r="E44" i="19"/>
  <c r="D46" i="19"/>
  <c r="E188" i="19"/>
  <c r="D189" i="19" s="1"/>
  <c r="D86" i="19"/>
  <c r="C88" i="19" s="1"/>
  <c r="G250" i="19"/>
  <c r="I248" i="19"/>
  <c r="H229" i="19"/>
  <c r="C230" i="19"/>
  <c r="I229" i="19"/>
  <c r="I207" i="19"/>
  <c r="D209" i="19"/>
  <c r="C210" i="19" s="1"/>
  <c r="I64" i="19"/>
  <c r="C65" i="19"/>
  <c r="D168" i="19"/>
  <c r="F126" i="19"/>
  <c r="H125" i="19"/>
  <c r="G146" i="19"/>
  <c r="F147" i="19" s="1"/>
  <c r="D23" i="19"/>
  <c r="D190" i="19" l="1"/>
  <c r="E168" i="19"/>
  <c r="G126" i="19"/>
  <c r="I125" i="19"/>
  <c r="H127" i="19" s="1"/>
  <c r="D65" i="19"/>
  <c r="C66" i="19" s="1"/>
  <c r="D45" i="19"/>
  <c r="F44" i="19"/>
  <c r="E45" i="19" s="1"/>
  <c r="H105" i="19"/>
  <c r="F148" i="19"/>
  <c r="H146" i="19"/>
  <c r="G147" i="19" s="1"/>
  <c r="I228" i="19"/>
  <c r="D230" i="19"/>
  <c r="C87" i="19"/>
  <c r="D25" i="19"/>
  <c r="D24" i="19"/>
  <c r="G127" i="19"/>
  <c r="I63" i="19"/>
  <c r="C211" i="19"/>
  <c r="E209" i="19"/>
  <c r="D210" i="19" s="1"/>
  <c r="F188" i="19"/>
  <c r="G188" i="19" s="1"/>
  <c r="G167" i="19"/>
  <c r="F168" i="19" s="1"/>
  <c r="H250" i="19"/>
  <c r="I250" i="19"/>
  <c r="C251" i="19"/>
  <c r="E86" i="19"/>
  <c r="D87" i="19" s="1"/>
  <c r="I106" i="19"/>
  <c r="C107" i="19"/>
  <c r="E23" i="19"/>
  <c r="D211" i="19" l="1"/>
  <c r="E230" i="19"/>
  <c r="D232" i="19" s="1"/>
  <c r="G44" i="19"/>
  <c r="F46" i="19" s="1"/>
  <c r="E65" i="19"/>
  <c r="D67" i="19" s="1"/>
  <c r="E24" i="19"/>
  <c r="E25" i="19"/>
  <c r="H167" i="19"/>
  <c r="G168" i="19" s="1"/>
  <c r="E190" i="19"/>
  <c r="C232" i="19"/>
  <c r="E46" i="19"/>
  <c r="C67" i="19"/>
  <c r="H126" i="19"/>
  <c r="C128" i="19"/>
  <c r="I127" i="19"/>
  <c r="D251" i="19"/>
  <c r="C253" i="19" s="1"/>
  <c r="F190" i="19"/>
  <c r="H188" i="19"/>
  <c r="G190" i="19" s="1"/>
  <c r="D88" i="19"/>
  <c r="F86" i="19"/>
  <c r="I105" i="19"/>
  <c r="D107" i="19"/>
  <c r="I249" i="19"/>
  <c r="F169" i="19"/>
  <c r="E189" i="19"/>
  <c r="F209" i="19"/>
  <c r="E210" i="19" s="1"/>
  <c r="C231" i="19"/>
  <c r="G148" i="19"/>
  <c r="I146" i="19"/>
  <c r="H148" i="19" s="1"/>
  <c r="F23" i="19"/>
  <c r="E211" i="19" l="1"/>
  <c r="C252" i="19"/>
  <c r="E107" i="19"/>
  <c r="D109" i="19" s="1"/>
  <c r="G86" i="19"/>
  <c r="F87" i="19" s="1"/>
  <c r="F24" i="19"/>
  <c r="F25" i="19"/>
  <c r="H147" i="19"/>
  <c r="C149" i="19"/>
  <c r="I148" i="19"/>
  <c r="I126" i="19"/>
  <c r="D128" i="19"/>
  <c r="C130" i="19" s="1"/>
  <c r="F45" i="19"/>
  <c r="H44" i="19"/>
  <c r="G46" i="19" s="1"/>
  <c r="G209" i="19"/>
  <c r="C108" i="19"/>
  <c r="E88" i="19"/>
  <c r="C109" i="19"/>
  <c r="E87" i="19"/>
  <c r="G189" i="19"/>
  <c r="I188" i="19"/>
  <c r="H190" i="19" s="1"/>
  <c r="H189" i="19"/>
  <c r="E251" i="19"/>
  <c r="D252" i="19" s="1"/>
  <c r="G169" i="19"/>
  <c r="I167" i="19"/>
  <c r="D66" i="19"/>
  <c r="F65" i="19"/>
  <c r="E66" i="19" s="1"/>
  <c r="D231" i="19"/>
  <c r="F230" i="19"/>
  <c r="E231" i="19" s="1"/>
  <c r="G23" i="19"/>
  <c r="E232" i="19" l="1"/>
  <c r="C129" i="19"/>
  <c r="H168" i="19"/>
  <c r="I169" i="19"/>
  <c r="C170" i="19"/>
  <c r="G25" i="19"/>
  <c r="G24" i="19"/>
  <c r="E67" i="19"/>
  <c r="G65" i="19"/>
  <c r="F67" i="19" s="1"/>
  <c r="I147" i="19"/>
  <c r="D149" i="19"/>
  <c r="C151" i="19" s="1"/>
  <c r="F210" i="19"/>
  <c r="H209" i="19"/>
  <c r="G210" i="19" s="1"/>
  <c r="G230" i="19"/>
  <c r="F231" i="19"/>
  <c r="C191" i="19"/>
  <c r="I190" i="19"/>
  <c r="H169" i="19"/>
  <c r="D253" i="19"/>
  <c r="F251" i="19"/>
  <c r="E253" i="19" s="1"/>
  <c r="G45" i="19"/>
  <c r="I44" i="19"/>
  <c r="H45" i="19"/>
  <c r="E128" i="19"/>
  <c r="D129" i="19" s="1"/>
  <c r="F88" i="19"/>
  <c r="H86" i="19"/>
  <c r="G88" i="19" s="1"/>
  <c r="F211" i="19"/>
  <c r="D108" i="19"/>
  <c r="F107" i="19"/>
  <c r="E108" i="19" s="1"/>
  <c r="H23" i="19"/>
  <c r="E252" i="19" l="1"/>
  <c r="D130" i="19"/>
  <c r="F128" i="19"/>
  <c r="E130" i="19" s="1"/>
  <c r="H25" i="19"/>
  <c r="H24" i="19"/>
  <c r="E109" i="19"/>
  <c r="G107" i="19"/>
  <c r="F109" i="19" s="1"/>
  <c r="G87" i="19"/>
  <c r="I86" i="19"/>
  <c r="H88" i="19" s="1"/>
  <c r="G211" i="19"/>
  <c r="C150" i="19"/>
  <c r="H46" i="19"/>
  <c r="I45" i="19"/>
  <c r="I46" i="19"/>
  <c r="G251" i="19"/>
  <c r="F253" i="19" s="1"/>
  <c r="I189" i="19"/>
  <c r="D191" i="19"/>
  <c r="F66" i="19"/>
  <c r="H65" i="19"/>
  <c r="I168" i="19"/>
  <c r="D170" i="19"/>
  <c r="C171" i="19" s="1"/>
  <c r="I209" i="19"/>
  <c r="H211" i="19" s="1"/>
  <c r="E149" i="19"/>
  <c r="D150" i="19" s="1"/>
  <c r="F232" i="19"/>
  <c r="H230" i="19"/>
  <c r="I23" i="19"/>
  <c r="H210" i="19" l="1"/>
  <c r="C172" i="19"/>
  <c r="G231" i="19"/>
  <c r="I230" i="19"/>
  <c r="H231" i="19" s="1"/>
  <c r="I24" i="19"/>
  <c r="I25" i="19"/>
  <c r="E170" i="19"/>
  <c r="D171" i="19" s="1"/>
  <c r="F108" i="19"/>
  <c r="H107" i="19"/>
  <c r="G108" i="19" s="1"/>
  <c r="H87" i="19"/>
  <c r="I88" i="19"/>
  <c r="I87" i="19"/>
  <c r="E129" i="19"/>
  <c r="G128" i="19"/>
  <c r="F130" i="19" s="1"/>
  <c r="G66" i="19"/>
  <c r="I65" i="19"/>
  <c r="H66" i="19" s="1"/>
  <c r="E191" i="19"/>
  <c r="D193" i="19" s="1"/>
  <c r="I211" i="19"/>
  <c r="C212" i="19"/>
  <c r="C193" i="19"/>
  <c r="G232" i="19"/>
  <c r="D151" i="19"/>
  <c r="F149" i="19"/>
  <c r="E150" i="19" s="1"/>
  <c r="G67" i="19"/>
  <c r="C192" i="19"/>
  <c r="F252" i="19"/>
  <c r="H251" i="19"/>
  <c r="AE5" i="13"/>
  <c r="H67" i="19" l="1"/>
  <c r="D172" i="19"/>
  <c r="D212" i="19"/>
  <c r="C214" i="19" s="1"/>
  <c r="I66" i="19"/>
  <c r="I67" i="19"/>
  <c r="F129" i="19"/>
  <c r="H128" i="19"/>
  <c r="G130" i="19" s="1"/>
  <c r="G253" i="19"/>
  <c r="I251" i="19"/>
  <c r="H252" i="19" s="1"/>
  <c r="E151" i="19"/>
  <c r="G149" i="19"/>
  <c r="I210" i="19"/>
  <c r="D192" i="19"/>
  <c r="F191" i="19"/>
  <c r="G109" i="19"/>
  <c r="I107" i="19"/>
  <c r="H108" i="19" s="1"/>
  <c r="F170" i="19"/>
  <c r="E172" i="19" s="1"/>
  <c r="H232" i="19"/>
  <c r="I232" i="19"/>
  <c r="C233" i="19"/>
  <c r="I231" i="19" s="1"/>
  <c r="AG9" i="13"/>
  <c r="AA7" i="13"/>
  <c r="AA10" i="13"/>
  <c r="AA11" i="13" s="1"/>
  <c r="E171" i="19" l="1"/>
  <c r="E193" i="19"/>
  <c r="G191" i="19"/>
  <c r="F192" i="19" s="1"/>
  <c r="F150" i="19"/>
  <c r="H149" i="19"/>
  <c r="G150" i="19" s="1"/>
  <c r="H109" i="19"/>
  <c r="I108" i="19"/>
  <c r="I109" i="19"/>
  <c r="D233" i="19"/>
  <c r="C235" i="19" s="1"/>
  <c r="C234" i="19"/>
  <c r="G129" i="19"/>
  <c r="I128" i="19"/>
  <c r="H130" i="19" s="1"/>
  <c r="C213" i="19"/>
  <c r="G170" i="19"/>
  <c r="F171" i="19" s="1"/>
  <c r="E192" i="19"/>
  <c r="F151" i="19"/>
  <c r="H253" i="19"/>
  <c r="I253" i="19"/>
  <c r="C254" i="19"/>
  <c r="I252" i="19"/>
  <c r="E212" i="19"/>
  <c r="AB10" i="13"/>
  <c r="AD10" i="13" s="1"/>
  <c r="AN17" i="13" s="1"/>
  <c r="Y52" i="13"/>
  <c r="Z52" i="13" s="1"/>
  <c r="Y48" i="13"/>
  <c r="Z48" i="13" s="1"/>
  <c r="Y44" i="13"/>
  <c r="Z44" i="13" s="1"/>
  <c r="Y40" i="13"/>
  <c r="Z40" i="13" s="1"/>
  <c r="Y36" i="13"/>
  <c r="Z36" i="13" s="1"/>
  <c r="Y32" i="13"/>
  <c r="Z32" i="13" s="1"/>
  <c r="Y28" i="13"/>
  <c r="Z28" i="13" s="1"/>
  <c r="Y24" i="13"/>
  <c r="Z24" i="13" s="1"/>
  <c r="Y20" i="13"/>
  <c r="Z20" i="13" s="1"/>
  <c r="Y16" i="13"/>
  <c r="Z16" i="13" s="1"/>
  <c r="Y51" i="13"/>
  <c r="Z51" i="13" s="1"/>
  <c r="Y47" i="13"/>
  <c r="Z47" i="13" s="1"/>
  <c r="Y39" i="13"/>
  <c r="Z39" i="13" s="1"/>
  <c r="Y31" i="13"/>
  <c r="Z31" i="13" s="1"/>
  <c r="Y23" i="13"/>
  <c r="Z23" i="13" s="1"/>
  <c r="Y19" i="13"/>
  <c r="Z19" i="13" s="1"/>
  <c r="Y54" i="13"/>
  <c r="Z54" i="13" s="1"/>
  <c r="Y50" i="13"/>
  <c r="Z50" i="13" s="1"/>
  <c r="Y46" i="13"/>
  <c r="Z46" i="13" s="1"/>
  <c r="Y42" i="13"/>
  <c r="Z42" i="13" s="1"/>
  <c r="Y38" i="13"/>
  <c r="Z38" i="13" s="1"/>
  <c r="Y34" i="13"/>
  <c r="Z34" i="13" s="1"/>
  <c r="Y30" i="13"/>
  <c r="Z30" i="13" s="1"/>
  <c r="Y26" i="13"/>
  <c r="Z26" i="13" s="1"/>
  <c r="Y22" i="13"/>
  <c r="Z22" i="13" s="1"/>
  <c r="Y18" i="13"/>
  <c r="Z18" i="13" s="1"/>
  <c r="Y55" i="13"/>
  <c r="Z55" i="13" s="1"/>
  <c r="Y43" i="13"/>
  <c r="Z43" i="13" s="1"/>
  <c r="Y35" i="13"/>
  <c r="Z35" i="13" s="1"/>
  <c r="Y27" i="13"/>
  <c r="Z27" i="13" s="1"/>
  <c r="Y53" i="13"/>
  <c r="Z53" i="13" s="1"/>
  <c r="Y49" i="13"/>
  <c r="Z49" i="13" s="1"/>
  <c r="Y45" i="13"/>
  <c r="Z45" i="13" s="1"/>
  <c r="Y41" i="13"/>
  <c r="Z41" i="13" s="1"/>
  <c r="Y37" i="13"/>
  <c r="Z37" i="13" s="1"/>
  <c r="Y33" i="13"/>
  <c r="Z33" i="13" s="1"/>
  <c r="Y29" i="13"/>
  <c r="Z29" i="13" s="1"/>
  <c r="Y25" i="13"/>
  <c r="Z25" i="13" s="1"/>
  <c r="Y21" i="13"/>
  <c r="Z21" i="13" s="1"/>
  <c r="Y17" i="13"/>
  <c r="Z17" i="13" s="1"/>
  <c r="AC10" i="13"/>
  <c r="AE10" i="13" s="1"/>
  <c r="AN18" i="13" s="1"/>
  <c r="AB9" i="13"/>
  <c r="AD9" i="13" s="1"/>
  <c r="AN15" i="13" s="1"/>
  <c r="AC9" i="13"/>
  <c r="AE9" i="13" s="1"/>
  <c r="AN16" i="13" s="1"/>
  <c r="AH9" i="13"/>
  <c r="AH10" i="13" s="1"/>
  <c r="AG10" i="13"/>
  <c r="AC11" i="13"/>
  <c r="AE11" i="13" s="1"/>
  <c r="AN20" i="13" s="1"/>
  <c r="AB11" i="13"/>
  <c r="AD11" i="13" s="1"/>
  <c r="AN19" i="13" s="1"/>
  <c r="G3" i="18"/>
  <c r="D214" i="19" l="1"/>
  <c r="F212" i="19"/>
  <c r="E214" i="19" s="1"/>
  <c r="D254" i="19"/>
  <c r="D213" i="19"/>
  <c r="H129" i="19"/>
  <c r="I129" i="19"/>
  <c r="I130" i="19"/>
  <c r="E233" i="19"/>
  <c r="D234" i="19" s="1"/>
  <c r="G151" i="19"/>
  <c r="F172" i="19"/>
  <c r="H170" i="19"/>
  <c r="G172" i="19" s="1"/>
  <c r="F193" i="19"/>
  <c r="H191" i="19"/>
  <c r="G193" i="19" s="1"/>
  <c r="I149" i="19"/>
  <c r="H150" i="19" s="1"/>
  <c r="AE6" i="13"/>
  <c r="AB7" i="13"/>
  <c r="E254" i="19" l="1"/>
  <c r="D256" i="19" s="1"/>
  <c r="G171" i="19"/>
  <c r="I170" i="19"/>
  <c r="D235" i="19"/>
  <c r="F233" i="19"/>
  <c r="E234" i="19" s="1"/>
  <c r="E213" i="19"/>
  <c r="C255" i="19"/>
  <c r="G192" i="19"/>
  <c r="I191" i="19"/>
  <c r="H192" i="19" s="1"/>
  <c r="C256" i="19"/>
  <c r="G212" i="19"/>
  <c r="F214" i="19" s="1"/>
  <c r="H151" i="19"/>
  <c r="I150" i="19"/>
  <c r="I151" i="19"/>
  <c r="Y9" i="13"/>
  <c r="AE3" i="13"/>
  <c r="AF3" i="13" s="1"/>
  <c r="H193" i="19" l="1"/>
  <c r="I193" i="19"/>
  <c r="I192" i="19"/>
  <c r="H172" i="19"/>
  <c r="I172" i="19"/>
  <c r="I171" i="19"/>
  <c r="F213" i="19"/>
  <c r="H212" i="19"/>
  <c r="G214" i="19"/>
  <c r="E235" i="19"/>
  <c r="G233" i="19"/>
  <c r="F235" i="19"/>
  <c r="H171" i="19"/>
  <c r="D255" i="19"/>
  <c r="F254" i="19"/>
  <c r="E256" i="19"/>
  <c r="E255" i="19"/>
  <c r="W10" i="13"/>
  <c r="Z1" i="13"/>
  <c r="C13" i="4"/>
  <c r="AW13" i="4"/>
  <c r="AM13" i="4"/>
  <c r="AK13" i="4"/>
  <c r="G213" i="19" l="1"/>
  <c r="I212" i="19"/>
  <c r="H214" i="19" s="1"/>
  <c r="G254" i="19"/>
  <c r="F256" i="19" s="1"/>
  <c r="F234" i="19"/>
  <c r="H233" i="19"/>
  <c r="G234" i="19" s="1"/>
  <c r="P11" i="12"/>
  <c r="Q11" i="12"/>
  <c r="F255" i="19" l="1"/>
  <c r="H254" i="19"/>
  <c r="G256" i="19" s="1"/>
  <c r="G235" i="19"/>
  <c r="I233" i="19"/>
  <c r="H235" i="19" s="1"/>
  <c r="H213" i="19"/>
  <c r="I214" i="19"/>
  <c r="I213" i="19"/>
  <c r="H234" i="19" l="1"/>
  <c r="G255" i="19"/>
  <c r="I254" i="19"/>
  <c r="H255" i="19" s="1"/>
  <c r="I234" i="19"/>
  <c r="I235" i="19"/>
  <c r="N4" i="11"/>
  <c r="B2" i="15"/>
  <c r="S4" i="13"/>
  <c r="H256" i="19" l="1"/>
  <c r="I255" i="19"/>
  <c r="I256" i="19"/>
  <c r="AB13" i="4"/>
  <c r="BI1" i="4" l="1"/>
  <c r="BJ1" i="4"/>
  <c r="M28" i="15"/>
  <c r="BK1" i="4"/>
  <c r="C5" i="8" l="1"/>
  <c r="C5" i="9"/>
  <c r="H14" i="12" l="1"/>
  <c r="C14" i="12"/>
  <c r="P13" i="12" l="1"/>
  <c r="C5" i="12" l="1"/>
  <c r="K19" i="16"/>
  <c r="K20" i="16"/>
  <c r="AN23" i="7" l="1"/>
  <c r="AA8" i="7" l="1"/>
  <c r="AP23" i="7" l="1"/>
  <c r="M17" i="9" l="1"/>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6" i="9"/>
  <c r="Q18" i="9" l="1"/>
  <c r="O17" i="9"/>
  <c r="AH5" i="4" l="1"/>
  <c r="AH1" i="4"/>
  <c r="BJ14" i="4"/>
  <c r="Y20" i="7"/>
  <c r="W20" i="7" l="1"/>
  <c r="H5" i="9"/>
  <c r="O15" i="9"/>
  <c r="O16" i="9"/>
  <c r="O18" i="9"/>
  <c r="R18" i="9" s="1"/>
  <c r="O19" i="9"/>
  <c r="R19" i="9" s="1"/>
  <c r="O20" i="9"/>
  <c r="O21" i="9"/>
  <c r="R21" i="9" s="1"/>
  <c r="O22" i="9"/>
  <c r="R22" i="9" s="1"/>
  <c r="O23" i="9"/>
  <c r="R23" i="9" s="1"/>
  <c r="O24" i="9"/>
  <c r="R24" i="9" s="1"/>
  <c r="O25" i="9"/>
  <c r="R25" i="9" s="1"/>
  <c r="O26" i="9"/>
  <c r="R26" i="9" s="1"/>
  <c r="O27" i="9"/>
  <c r="R27" i="9" s="1"/>
  <c r="O28" i="9"/>
  <c r="R28" i="9" s="1"/>
  <c r="O29" i="9"/>
  <c r="R29" i="9" s="1"/>
  <c r="O30" i="9"/>
  <c r="R30" i="9" s="1"/>
  <c r="O31" i="9"/>
  <c r="R31" i="9" s="1"/>
  <c r="O32" i="9"/>
  <c r="R32" i="9" s="1"/>
  <c r="O33" i="9"/>
  <c r="R33" i="9" s="1"/>
  <c r="O34" i="9"/>
  <c r="R34" i="9" s="1"/>
  <c r="O35" i="9"/>
  <c r="R35" i="9" s="1"/>
  <c r="O36" i="9"/>
  <c r="R36" i="9" s="1"/>
  <c r="O37" i="9"/>
  <c r="R37" i="9" s="1"/>
  <c r="O38" i="9"/>
  <c r="R38" i="9" s="1"/>
  <c r="O39" i="9"/>
  <c r="R39" i="9" s="1"/>
  <c r="O40" i="9"/>
  <c r="R40" i="9" s="1"/>
  <c r="O41" i="9"/>
  <c r="R41" i="9" s="1"/>
  <c r="O42" i="9"/>
  <c r="R42" i="9" s="1"/>
  <c r="O43" i="9"/>
  <c r="R43" i="9" s="1"/>
  <c r="O44" i="9"/>
  <c r="R44" i="9" s="1"/>
  <c r="O45" i="9"/>
  <c r="R45" i="9" s="1"/>
  <c r="O46" i="9"/>
  <c r="R46" i="9" s="1"/>
  <c r="O47" i="9"/>
  <c r="R47" i="9" s="1"/>
  <c r="O48" i="9"/>
  <c r="R48" i="9" s="1"/>
  <c r="O49" i="9"/>
  <c r="R49" i="9" s="1"/>
  <c r="O50" i="9"/>
  <c r="R50" i="9" s="1"/>
  <c r="O51" i="9"/>
  <c r="R51" i="9" s="1"/>
  <c r="O52" i="9"/>
  <c r="R52" i="9" s="1"/>
  <c r="O53" i="9"/>
  <c r="R53" i="9" s="1"/>
  <c r="O54" i="9"/>
  <c r="R54" i="9" s="1"/>
  <c r="O55" i="9"/>
  <c r="R55" i="9" s="1"/>
  <c r="O56" i="9"/>
  <c r="R56" i="9" s="1"/>
  <c r="O57" i="9"/>
  <c r="R57" i="9" s="1"/>
  <c r="O58" i="9"/>
  <c r="R58" i="9" s="1"/>
  <c r="O59" i="9"/>
  <c r="R59" i="9" s="1"/>
  <c r="O60" i="9"/>
  <c r="R60" i="9" s="1"/>
  <c r="O61" i="9"/>
  <c r="R61" i="9" s="1"/>
  <c r="O62" i="9"/>
  <c r="R62" i="9" s="1"/>
  <c r="O63" i="9"/>
  <c r="R63" i="9" s="1"/>
  <c r="O64" i="9"/>
  <c r="R64" i="9" s="1"/>
  <c r="O65" i="9"/>
  <c r="R65" i="9" s="1"/>
  <c r="O66" i="9"/>
  <c r="R66" i="9" s="1"/>
  <c r="O67" i="9"/>
  <c r="R67" i="9" s="1"/>
  <c r="O68" i="9"/>
  <c r="R68" i="9" s="1"/>
  <c r="O69" i="9"/>
  <c r="R69" i="9" s="1"/>
  <c r="O70" i="9"/>
  <c r="R70" i="9" s="1"/>
  <c r="O71" i="9"/>
  <c r="R71" i="9" s="1"/>
  <c r="O72" i="9"/>
  <c r="R72" i="9" s="1"/>
  <c r="O73" i="9"/>
  <c r="R73" i="9" s="1"/>
  <c r="O74" i="9"/>
  <c r="R74" i="9" s="1"/>
  <c r="O75" i="9"/>
  <c r="R75" i="9" s="1"/>
  <c r="O76" i="9"/>
  <c r="R76" i="9" s="1"/>
  <c r="O77" i="9"/>
  <c r="R77" i="9" s="1"/>
  <c r="O78" i="9"/>
  <c r="R78" i="9" s="1"/>
  <c r="O79" i="9"/>
  <c r="R79" i="9" s="1"/>
  <c r="O80" i="9"/>
  <c r="R80" i="9" s="1"/>
  <c r="O81" i="9"/>
  <c r="R81" i="9" s="1"/>
  <c r="O82" i="9"/>
  <c r="R82" i="9" s="1"/>
  <c r="O83" i="9"/>
  <c r="R83" i="9" s="1"/>
  <c r="O84" i="9"/>
  <c r="R84" i="9" s="1"/>
  <c r="O85" i="9"/>
  <c r="R85" i="9" s="1"/>
  <c r="O86" i="9"/>
  <c r="R86" i="9" s="1"/>
  <c r="O87" i="9"/>
  <c r="R87" i="9" s="1"/>
  <c r="O88" i="9"/>
  <c r="R88" i="9" s="1"/>
  <c r="O89" i="9"/>
  <c r="R89" i="9" s="1"/>
  <c r="O90" i="9"/>
  <c r="R90" i="9" s="1"/>
  <c r="O91" i="9"/>
  <c r="R91" i="9" s="1"/>
  <c r="O92" i="9"/>
  <c r="R92" i="9" s="1"/>
  <c r="O93" i="9"/>
  <c r="R93" i="9" s="1"/>
  <c r="O94" i="9"/>
  <c r="R94" i="9" s="1"/>
  <c r="O95" i="9"/>
  <c r="R95" i="9" s="1"/>
  <c r="O96" i="9"/>
  <c r="R96" i="9" s="1"/>
  <c r="O97" i="9"/>
  <c r="R97" i="9" s="1"/>
  <c r="O98" i="9"/>
  <c r="R98" i="9" s="1"/>
  <c r="O99" i="9"/>
  <c r="R99" i="9" s="1"/>
  <c r="O100" i="9"/>
  <c r="R100" i="9" s="1"/>
  <c r="O101" i="9"/>
  <c r="R101" i="9" s="1"/>
  <c r="O102" i="9"/>
  <c r="R102" i="9" s="1"/>
  <c r="O103" i="9"/>
  <c r="R103" i="9" s="1"/>
  <c r="O104" i="9"/>
  <c r="R104" i="9" s="1"/>
  <c r="O105" i="9"/>
  <c r="R105" i="9" s="1"/>
  <c r="O106" i="9"/>
  <c r="R106" i="9" s="1"/>
  <c r="O107" i="9"/>
  <c r="R107" i="9" s="1"/>
  <c r="O108" i="9"/>
  <c r="R108" i="9" s="1"/>
  <c r="O109" i="9"/>
  <c r="R109" i="9" s="1"/>
  <c r="O110" i="9"/>
  <c r="R110" i="9" s="1"/>
  <c r="O111" i="9"/>
  <c r="R111" i="9" s="1"/>
  <c r="O112" i="9"/>
  <c r="R112" i="9" s="1"/>
  <c r="O113" i="9"/>
  <c r="R113" i="9" s="1"/>
  <c r="O114" i="9"/>
  <c r="R114" i="9" s="1"/>
  <c r="O115" i="9"/>
  <c r="R115" i="9" s="1"/>
  <c r="O116" i="9"/>
  <c r="R116" i="9" s="1"/>
  <c r="O117" i="9"/>
  <c r="R117" i="9" s="1"/>
  <c r="O118" i="9"/>
  <c r="R118" i="9" s="1"/>
  <c r="O119" i="9"/>
  <c r="R119" i="9" s="1"/>
  <c r="O120" i="9"/>
  <c r="R120" i="9" s="1"/>
  <c r="O121" i="9"/>
  <c r="R121" i="9" s="1"/>
  <c r="O122" i="9"/>
  <c r="R122" i="9" s="1"/>
  <c r="O123" i="9"/>
  <c r="R123" i="9" s="1"/>
  <c r="O124" i="9"/>
  <c r="R124" i="9" s="1"/>
  <c r="O125" i="9"/>
  <c r="R125" i="9" s="1"/>
  <c r="O126" i="9"/>
  <c r="R126" i="9" s="1"/>
  <c r="O127" i="9"/>
  <c r="R127" i="9" s="1"/>
  <c r="O128" i="9"/>
  <c r="R128" i="9" s="1"/>
  <c r="O129" i="9"/>
  <c r="R129" i="9" s="1"/>
  <c r="O130" i="9"/>
  <c r="R130" i="9" s="1"/>
  <c r="O131" i="9"/>
  <c r="R131" i="9" s="1"/>
  <c r="O132" i="9"/>
  <c r="R132" i="9" s="1"/>
  <c r="O133" i="9"/>
  <c r="R133" i="9" s="1"/>
  <c r="O134" i="9"/>
  <c r="R134" i="9" s="1"/>
  <c r="O135" i="9"/>
  <c r="R135" i="9" s="1"/>
  <c r="O136" i="9"/>
  <c r="R136" i="9" s="1"/>
  <c r="O137" i="9"/>
  <c r="R137" i="9" s="1"/>
  <c r="O138" i="9"/>
  <c r="R138" i="9" s="1"/>
  <c r="O139" i="9"/>
  <c r="R139" i="9" s="1"/>
  <c r="O140" i="9"/>
  <c r="R140" i="9" s="1"/>
  <c r="O141" i="9"/>
  <c r="R141" i="9" s="1"/>
  <c r="O142" i="9"/>
  <c r="R142" i="9" s="1"/>
  <c r="O143" i="9"/>
  <c r="R143" i="9" s="1"/>
  <c r="O144" i="9"/>
  <c r="R144" i="9" s="1"/>
  <c r="O145" i="9"/>
  <c r="R145" i="9" s="1"/>
  <c r="O146" i="9"/>
  <c r="R146" i="9" s="1"/>
  <c r="O147" i="9"/>
  <c r="R147" i="9" s="1"/>
  <c r="O148" i="9"/>
  <c r="R148" i="9" s="1"/>
  <c r="O149" i="9"/>
  <c r="R149" i="9" s="1"/>
  <c r="O150" i="9"/>
  <c r="R150" i="9" s="1"/>
  <c r="O151" i="9"/>
  <c r="R151" i="9" s="1"/>
  <c r="O152" i="9"/>
  <c r="R152" i="9" s="1"/>
  <c r="O153" i="9"/>
  <c r="R153" i="9" s="1"/>
  <c r="O154" i="9"/>
  <c r="R154" i="9" s="1"/>
  <c r="O155" i="9"/>
  <c r="R155" i="9" s="1"/>
  <c r="O156" i="9"/>
  <c r="R156" i="9" s="1"/>
  <c r="O157" i="9"/>
  <c r="R157" i="9" s="1"/>
  <c r="O158" i="9"/>
  <c r="R158" i="9" s="1"/>
  <c r="O159" i="9"/>
  <c r="R159" i="9" s="1"/>
  <c r="O160" i="9"/>
  <c r="R160" i="9" s="1"/>
  <c r="O161" i="9"/>
  <c r="R161" i="9" s="1"/>
  <c r="O162" i="9"/>
  <c r="R162" i="9" s="1"/>
  <c r="O163" i="9"/>
  <c r="R163" i="9" s="1"/>
  <c r="O164" i="9"/>
  <c r="R164" i="9" s="1"/>
  <c r="O165" i="9"/>
  <c r="R165" i="9" s="1"/>
  <c r="O166" i="9"/>
  <c r="R166" i="9" s="1"/>
  <c r="O167" i="9"/>
  <c r="R167" i="9" s="1"/>
  <c r="O168" i="9"/>
  <c r="R168" i="9" s="1"/>
  <c r="O169" i="9"/>
  <c r="R169" i="9" s="1"/>
  <c r="O170" i="9"/>
  <c r="R170" i="9" s="1"/>
  <c r="O171" i="9"/>
  <c r="R171" i="9" s="1"/>
  <c r="O172" i="9"/>
  <c r="R172" i="9" s="1"/>
  <c r="O173" i="9"/>
  <c r="R173" i="9" s="1"/>
  <c r="O174" i="9"/>
  <c r="R174" i="9" s="1"/>
  <c r="Q16" i="9"/>
  <c r="Q17"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130" i="9"/>
  <c r="Q131" i="9"/>
  <c r="Q132" i="9"/>
  <c r="Q133" i="9"/>
  <c r="Q134" i="9"/>
  <c r="Q135" i="9"/>
  <c r="Q136" i="9"/>
  <c r="Q137" i="9"/>
  <c r="Q138" i="9"/>
  <c r="Q139" i="9"/>
  <c r="Q140" i="9"/>
  <c r="Q141" i="9"/>
  <c r="Q142" i="9"/>
  <c r="Q143" i="9"/>
  <c r="Q144" i="9"/>
  <c r="Q145" i="9"/>
  <c r="Q146" i="9"/>
  <c r="Q147" i="9"/>
  <c r="Q148" i="9"/>
  <c r="Q149" i="9"/>
  <c r="Q150" i="9"/>
  <c r="Q151" i="9"/>
  <c r="Q152" i="9"/>
  <c r="Q153" i="9"/>
  <c r="Q154" i="9"/>
  <c r="Q155" i="9"/>
  <c r="Q156" i="9"/>
  <c r="Q157" i="9"/>
  <c r="Q158" i="9"/>
  <c r="Q159" i="9"/>
  <c r="Q160" i="9"/>
  <c r="Q161" i="9"/>
  <c r="Q162" i="9"/>
  <c r="Q163" i="9"/>
  <c r="Q164" i="9"/>
  <c r="Q165" i="9"/>
  <c r="Q166" i="9"/>
  <c r="Q167" i="9"/>
  <c r="Q168" i="9"/>
  <c r="Q169" i="9"/>
  <c r="Q170" i="9"/>
  <c r="Q171" i="9"/>
  <c r="Q172" i="9"/>
  <c r="Q173" i="9"/>
  <c r="Q174" i="9"/>
  <c r="Q15" i="9"/>
  <c r="P16" i="9"/>
  <c r="P17" i="9" s="1"/>
  <c r="P18" i="9" s="1"/>
  <c r="P19" i="9" s="1"/>
  <c r="P20" i="9" s="1"/>
  <c r="P21" i="9" s="1"/>
  <c r="P22" i="9" s="1"/>
  <c r="P23" i="9" s="1"/>
  <c r="P24" i="9" s="1"/>
  <c r="P25" i="9" s="1"/>
  <c r="P26" i="9" s="1"/>
  <c r="P27" i="9" s="1"/>
  <c r="P28" i="9" s="1"/>
  <c r="P29" i="9" s="1"/>
  <c r="P30" i="9" s="1"/>
  <c r="P31" i="9" s="1"/>
  <c r="P32" i="9" s="1"/>
  <c r="P33" i="9" s="1"/>
  <c r="P34" i="9" s="1"/>
  <c r="P35" i="9" s="1"/>
  <c r="P36" i="9" s="1"/>
  <c r="P37" i="9" s="1"/>
  <c r="P38" i="9" s="1"/>
  <c r="P39" i="9" s="1"/>
  <c r="P40" i="9" s="1"/>
  <c r="P41" i="9" s="1"/>
  <c r="P42" i="9" s="1"/>
  <c r="P43" i="9" s="1"/>
  <c r="P44" i="9" s="1"/>
  <c r="P45" i="9" s="1"/>
  <c r="P46" i="9" s="1"/>
  <c r="P47" i="9" s="1"/>
  <c r="P48" i="9" s="1"/>
  <c r="P49" i="9" s="1"/>
  <c r="P50" i="9" s="1"/>
  <c r="P51" i="9" s="1"/>
  <c r="P52" i="9" s="1"/>
  <c r="P53" i="9" s="1"/>
  <c r="P54" i="9" s="1"/>
  <c r="P55" i="9" s="1"/>
  <c r="P56" i="9" s="1"/>
  <c r="P57" i="9" s="1"/>
  <c r="P58" i="9" s="1"/>
  <c r="P59" i="9" s="1"/>
  <c r="P60" i="9" s="1"/>
  <c r="P61" i="9" s="1"/>
  <c r="P62" i="9" s="1"/>
  <c r="P63" i="9" s="1"/>
  <c r="P64" i="9" s="1"/>
  <c r="P65" i="9" s="1"/>
  <c r="P66" i="9" s="1"/>
  <c r="P67" i="9" s="1"/>
  <c r="P68" i="9" s="1"/>
  <c r="P69" i="9" s="1"/>
  <c r="P70" i="9" s="1"/>
  <c r="P71" i="9" s="1"/>
  <c r="P72" i="9" s="1"/>
  <c r="P73" i="9" s="1"/>
  <c r="P74" i="9" s="1"/>
  <c r="P75" i="9" s="1"/>
  <c r="P76" i="9" s="1"/>
  <c r="P77" i="9" s="1"/>
  <c r="P78" i="9" s="1"/>
  <c r="P79" i="9" s="1"/>
  <c r="P80" i="9" s="1"/>
  <c r="P81" i="9" s="1"/>
  <c r="P82" i="9" s="1"/>
  <c r="P83" i="9" s="1"/>
  <c r="P84" i="9" s="1"/>
  <c r="P85" i="9" s="1"/>
  <c r="P86" i="9" s="1"/>
  <c r="P87" i="9" s="1"/>
  <c r="P88" i="9" s="1"/>
  <c r="P89" i="9" s="1"/>
  <c r="P90" i="9" s="1"/>
  <c r="P91" i="9" s="1"/>
  <c r="P92" i="9" s="1"/>
  <c r="P93" i="9" s="1"/>
  <c r="P94" i="9" s="1"/>
  <c r="P95" i="9" s="1"/>
  <c r="P96" i="9" s="1"/>
  <c r="P97" i="9" s="1"/>
  <c r="P98" i="9" s="1"/>
  <c r="P99" i="9" s="1"/>
  <c r="P100" i="9" s="1"/>
  <c r="P101" i="9" s="1"/>
  <c r="P102" i="9" s="1"/>
  <c r="P103" i="9" s="1"/>
  <c r="P104" i="9" s="1"/>
  <c r="P105" i="9" s="1"/>
  <c r="P106" i="9" s="1"/>
  <c r="P107" i="9" s="1"/>
  <c r="P108" i="9" s="1"/>
  <c r="P109" i="9" s="1"/>
  <c r="P110" i="9" s="1"/>
  <c r="P111" i="9" s="1"/>
  <c r="P112" i="9" s="1"/>
  <c r="P113" i="9" s="1"/>
  <c r="P114" i="9" s="1"/>
  <c r="P115" i="9" s="1"/>
  <c r="P116" i="9" s="1"/>
  <c r="P117" i="9" s="1"/>
  <c r="P118" i="9" s="1"/>
  <c r="P119" i="9" s="1"/>
  <c r="P120" i="9" s="1"/>
  <c r="P121" i="9" s="1"/>
  <c r="P122" i="9" s="1"/>
  <c r="P123" i="9" s="1"/>
  <c r="P124" i="9" s="1"/>
  <c r="P125" i="9" s="1"/>
  <c r="P126" i="9" s="1"/>
  <c r="P127" i="9" s="1"/>
  <c r="P128" i="9" s="1"/>
  <c r="P129" i="9" s="1"/>
  <c r="P130" i="9" s="1"/>
  <c r="P131" i="9" s="1"/>
  <c r="P132" i="9" s="1"/>
  <c r="P133" i="9" s="1"/>
  <c r="P134" i="9" s="1"/>
  <c r="P135" i="9" s="1"/>
  <c r="P136" i="9" s="1"/>
  <c r="P137" i="9" s="1"/>
  <c r="P138" i="9" s="1"/>
  <c r="P139" i="9" s="1"/>
  <c r="P140" i="9" s="1"/>
  <c r="P141" i="9" s="1"/>
  <c r="P142" i="9" s="1"/>
  <c r="P143" i="9" s="1"/>
  <c r="P144" i="9" s="1"/>
  <c r="P145" i="9" s="1"/>
  <c r="P146" i="9" s="1"/>
  <c r="P147" i="9" s="1"/>
  <c r="P148" i="9" s="1"/>
  <c r="P149" i="9" s="1"/>
  <c r="P150" i="9" s="1"/>
  <c r="P151" i="9" s="1"/>
  <c r="P152" i="9" s="1"/>
  <c r="P153" i="9" s="1"/>
  <c r="P154" i="9" s="1"/>
  <c r="P155" i="9" s="1"/>
  <c r="P156" i="9" s="1"/>
  <c r="P157" i="9" s="1"/>
  <c r="P158" i="9" s="1"/>
  <c r="P159" i="9" s="1"/>
  <c r="P160" i="9" s="1"/>
  <c r="P161" i="9" s="1"/>
  <c r="P162" i="9" s="1"/>
  <c r="P163" i="9" s="1"/>
  <c r="P164" i="9" s="1"/>
  <c r="P165" i="9" s="1"/>
  <c r="P166" i="9" s="1"/>
  <c r="P167" i="9" s="1"/>
  <c r="P168" i="9" s="1"/>
  <c r="P169" i="9" s="1"/>
  <c r="P170" i="9" s="1"/>
  <c r="P171" i="9" s="1"/>
  <c r="P172" i="9" s="1"/>
  <c r="P173" i="9" s="1"/>
  <c r="P174" i="9" s="1"/>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B49" i="15"/>
  <c r="R20" i="9" l="1"/>
  <c r="R16" i="9"/>
  <c r="R15" i="9"/>
  <c r="R17" i="9"/>
  <c r="S15" i="9" l="1"/>
  <c r="T15" i="9" s="1"/>
  <c r="I6" i="9" s="1"/>
  <c r="G6" i="9" l="1"/>
  <c r="H6" i="9" s="1"/>
  <c r="W4" i="12" l="1"/>
  <c r="W5" i="12" s="1"/>
  <c r="AK991" i="12"/>
  <c r="AK990" i="12"/>
  <c r="AK989" i="12"/>
  <c r="AK988" i="12"/>
  <c r="AK987" i="12"/>
  <c r="AK986" i="12"/>
  <c r="AK985" i="12"/>
  <c r="AK984" i="12"/>
  <c r="AK983" i="12"/>
  <c r="AK982" i="12"/>
  <c r="AK981" i="12"/>
  <c r="AK980" i="12"/>
  <c r="AK979" i="12"/>
  <c r="AK978" i="12"/>
  <c r="AK977" i="12"/>
  <c r="AK976" i="12"/>
  <c r="AK975" i="12"/>
  <c r="AK974" i="12"/>
  <c r="AK973" i="12"/>
  <c r="AK972" i="12"/>
  <c r="AK971" i="12"/>
  <c r="AK970" i="12"/>
  <c r="AK969" i="12"/>
  <c r="AK968" i="12"/>
  <c r="AK967" i="12"/>
  <c r="AK966" i="12"/>
  <c r="AK965" i="12"/>
  <c r="AK964" i="12"/>
  <c r="AK963" i="12"/>
  <c r="AK962" i="12"/>
  <c r="AK961" i="12"/>
  <c r="AK960" i="12"/>
  <c r="AK959" i="12"/>
  <c r="AK958" i="12"/>
  <c r="AK957" i="12"/>
  <c r="AK956" i="12"/>
  <c r="AK955" i="12"/>
  <c r="AK954" i="12"/>
  <c r="AK953" i="12"/>
  <c r="AK952" i="12"/>
  <c r="AK951" i="12"/>
  <c r="AK950" i="12"/>
  <c r="AK949" i="12"/>
  <c r="AK948" i="12"/>
  <c r="AK947" i="12"/>
  <c r="AK946" i="12"/>
  <c r="AK945" i="12"/>
  <c r="AK944" i="12"/>
  <c r="AK943" i="12"/>
  <c r="AK942" i="12"/>
  <c r="AK941" i="12"/>
  <c r="AK940" i="12"/>
  <c r="AK939" i="12"/>
  <c r="AK938" i="12"/>
  <c r="AK937" i="12"/>
  <c r="AK936" i="12"/>
  <c r="AK935" i="12"/>
  <c r="AK934" i="12"/>
  <c r="AK933" i="12"/>
  <c r="AK932" i="12"/>
  <c r="AK931" i="12"/>
  <c r="AK930" i="12"/>
  <c r="AK929" i="12"/>
  <c r="AK928" i="12"/>
  <c r="AK927" i="12"/>
  <c r="AK926" i="12"/>
  <c r="AK925" i="12"/>
  <c r="AK924" i="12"/>
  <c r="AK923" i="12"/>
  <c r="AK922" i="12"/>
  <c r="AK921" i="12"/>
  <c r="AK920" i="12"/>
  <c r="AK919" i="12"/>
  <c r="AK918" i="12"/>
  <c r="AK917" i="12"/>
  <c r="AK916" i="12"/>
  <c r="AK915" i="12"/>
  <c r="AK914" i="12"/>
  <c r="AK913" i="12"/>
  <c r="AK912" i="12"/>
  <c r="AK911" i="12"/>
  <c r="AK910" i="12"/>
  <c r="AK909" i="12"/>
  <c r="AK908" i="12"/>
  <c r="AK907" i="12"/>
  <c r="AK906" i="12"/>
  <c r="AK905" i="12"/>
  <c r="AK904" i="12"/>
  <c r="AK903" i="12"/>
  <c r="AK902" i="12"/>
  <c r="AK901" i="12"/>
  <c r="AK900" i="12"/>
  <c r="AK899" i="12"/>
  <c r="AK898" i="12"/>
  <c r="AK897" i="12"/>
  <c r="AK896" i="12"/>
  <c r="AK895" i="12"/>
  <c r="AK894" i="12"/>
  <c r="AK893" i="12"/>
  <c r="AK892" i="12"/>
  <c r="AK891" i="12"/>
  <c r="AK890" i="12"/>
  <c r="AK889" i="12"/>
  <c r="AK888" i="12"/>
  <c r="AK887" i="12"/>
  <c r="AK886" i="12"/>
  <c r="AK885" i="12"/>
  <c r="AK884" i="12"/>
  <c r="AK883" i="12"/>
  <c r="AK882" i="12"/>
  <c r="AK881" i="12"/>
  <c r="AK880" i="12"/>
  <c r="AK879" i="12"/>
  <c r="AK878" i="12"/>
  <c r="AK877" i="12"/>
  <c r="AK876" i="12"/>
  <c r="AK875" i="12"/>
  <c r="AK874" i="12"/>
  <c r="AK873" i="12"/>
  <c r="AK872" i="12"/>
  <c r="AK871" i="12"/>
  <c r="AK870" i="12"/>
  <c r="AK869" i="12"/>
  <c r="AK868" i="12"/>
  <c r="AK867" i="12"/>
  <c r="AK866" i="12"/>
  <c r="AK865" i="12"/>
  <c r="AK864" i="12"/>
  <c r="AK863" i="12"/>
  <c r="AK862" i="12"/>
  <c r="AK861" i="12"/>
  <c r="AK860" i="12"/>
  <c r="AK859" i="12"/>
  <c r="AK858" i="12"/>
  <c r="AK857" i="12"/>
  <c r="AK856" i="12"/>
  <c r="AK855" i="12"/>
  <c r="AK854" i="12"/>
  <c r="AK853" i="12"/>
  <c r="AK852" i="12"/>
  <c r="AK851" i="12"/>
  <c r="AK850" i="12"/>
  <c r="AK849" i="12"/>
  <c r="AK848" i="12"/>
  <c r="AK847" i="12"/>
  <c r="AK846" i="12"/>
  <c r="AK845" i="12"/>
  <c r="AK844" i="12"/>
  <c r="AK843" i="12"/>
  <c r="AK842" i="12"/>
  <c r="AK841" i="12"/>
  <c r="AK840" i="12"/>
  <c r="AK839" i="12"/>
  <c r="AK838" i="12"/>
  <c r="AK837" i="12"/>
  <c r="AK836" i="12"/>
  <c r="AK835" i="12"/>
  <c r="AK834" i="12"/>
  <c r="AK833" i="12"/>
  <c r="AK832" i="12"/>
  <c r="AK831" i="12"/>
  <c r="AK830" i="12"/>
  <c r="AK829" i="12"/>
  <c r="AK828" i="12"/>
  <c r="AK827" i="12"/>
  <c r="AK826" i="12"/>
  <c r="AK825" i="12"/>
  <c r="AK824" i="12"/>
  <c r="AK823" i="12"/>
  <c r="AK822" i="12"/>
  <c r="AK821" i="12"/>
  <c r="AK820" i="12"/>
  <c r="AK819" i="12"/>
  <c r="AK818" i="12"/>
  <c r="AK817" i="12"/>
  <c r="AK816" i="12"/>
  <c r="AK815" i="12"/>
  <c r="AK814" i="12"/>
  <c r="AK813" i="12"/>
  <c r="AK812" i="12"/>
  <c r="AK811" i="12"/>
  <c r="AK810" i="12"/>
  <c r="AK809" i="12"/>
  <c r="AK808" i="12"/>
  <c r="AK807" i="12"/>
  <c r="AK806" i="12"/>
  <c r="AK805" i="12"/>
  <c r="AK804" i="12"/>
  <c r="AK803" i="12"/>
  <c r="AK802" i="12"/>
  <c r="AK801" i="12"/>
  <c r="AK800" i="12"/>
  <c r="AK799" i="12"/>
  <c r="AK798" i="12"/>
  <c r="AK797" i="12"/>
  <c r="AK796" i="12"/>
  <c r="AK795" i="12"/>
  <c r="AK794" i="12"/>
  <c r="AK793" i="12"/>
  <c r="AK792" i="12"/>
  <c r="AK791" i="12"/>
  <c r="AK790" i="12"/>
  <c r="AK789" i="12"/>
  <c r="AK788" i="12"/>
  <c r="AK787" i="12"/>
  <c r="AK786" i="12"/>
  <c r="AK785" i="12"/>
  <c r="AK784" i="12"/>
  <c r="AK783" i="12"/>
  <c r="AK782" i="12"/>
  <c r="AK781" i="12"/>
  <c r="AK780" i="12"/>
  <c r="AK779" i="12"/>
  <c r="AK778" i="12"/>
  <c r="AK777" i="12"/>
  <c r="AK776" i="12"/>
  <c r="AK775" i="12"/>
  <c r="AK774" i="12"/>
  <c r="AK773" i="12"/>
  <c r="AK772" i="12"/>
  <c r="AK771" i="12"/>
  <c r="AK770" i="12"/>
  <c r="AK769" i="12"/>
  <c r="AK768" i="12"/>
  <c r="AK767" i="12"/>
  <c r="AK766" i="12"/>
  <c r="AK765" i="12"/>
  <c r="AK764" i="12"/>
  <c r="AK763" i="12"/>
  <c r="AK762" i="12"/>
  <c r="AK761" i="12"/>
  <c r="AK760" i="12"/>
  <c r="AK759" i="12"/>
  <c r="AK758" i="12"/>
  <c r="AK757" i="12"/>
  <c r="AK756" i="12"/>
  <c r="AK755" i="12"/>
  <c r="AK754" i="12"/>
  <c r="AK753" i="12"/>
  <c r="AK752" i="12"/>
  <c r="AK751" i="12"/>
  <c r="AK750" i="12"/>
  <c r="AK749" i="12"/>
  <c r="AK748" i="12"/>
  <c r="AK747" i="12"/>
  <c r="AK746" i="12"/>
  <c r="AK745" i="12"/>
  <c r="AK744" i="12"/>
  <c r="AK743" i="12"/>
  <c r="AK742" i="12"/>
  <c r="AK741" i="12"/>
  <c r="AK740" i="12"/>
  <c r="AK739" i="12"/>
  <c r="AK738" i="12"/>
  <c r="AK737" i="12"/>
  <c r="AK736" i="12"/>
  <c r="AK735" i="12"/>
  <c r="AK734" i="12"/>
  <c r="AK733" i="12"/>
  <c r="AK732" i="12"/>
  <c r="AK731" i="12"/>
  <c r="AK730" i="12"/>
  <c r="AK729" i="12"/>
  <c r="AK728" i="12"/>
  <c r="AK727" i="12"/>
  <c r="AK726" i="12"/>
  <c r="AK725" i="12"/>
  <c r="AK724" i="12"/>
  <c r="AK723" i="12"/>
  <c r="AK722" i="12"/>
  <c r="AK721" i="12"/>
  <c r="AK720" i="12"/>
  <c r="AK719" i="12"/>
  <c r="O14" i="12"/>
  <c r="N14" i="12"/>
  <c r="M14" i="12"/>
  <c r="L14" i="12"/>
  <c r="K14" i="12"/>
  <c r="J14" i="12"/>
  <c r="I14" i="12"/>
  <c r="G14" i="12"/>
  <c r="F14" i="12"/>
  <c r="E14" i="12"/>
  <c r="D14" i="12"/>
  <c r="P14" i="12" l="1"/>
  <c r="Q14" i="12"/>
  <c r="AF14" i="4"/>
  <c r="AJ10" i="12"/>
  <c r="AK10" i="12"/>
  <c r="AJ11" i="12"/>
  <c r="AK11" i="12"/>
  <c r="AJ12" i="12"/>
  <c r="AK12" i="12"/>
  <c r="AJ13" i="12"/>
  <c r="AK13" i="12"/>
  <c r="AJ14" i="12"/>
  <c r="AK14" i="12"/>
  <c r="AJ15" i="12"/>
  <c r="AK15" i="12"/>
  <c r="AJ16" i="12"/>
  <c r="AK16" i="12"/>
  <c r="AJ2" i="12"/>
  <c r="I21" i="7" l="1"/>
  <c r="E8" i="8" s="1"/>
  <c r="J8" i="8" l="1"/>
  <c r="L15" i="9"/>
  <c r="L16"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74" i="9"/>
  <c r="L17" i="9"/>
  <c r="BS16" i="4" l="1"/>
  <c r="BS17" i="4" s="1"/>
  <c r="BS18" i="4" s="1"/>
  <c r="BS19" i="4" s="1"/>
  <c r="BS20" i="4" s="1"/>
  <c r="BS21" i="4" s="1"/>
  <c r="BS22" i="4" s="1"/>
  <c r="BS23" i="4" s="1"/>
  <c r="BS24" i="4" s="1"/>
  <c r="BS25" i="4" s="1"/>
  <c r="BS26" i="4" s="1"/>
  <c r="BS27" i="4" s="1"/>
  <c r="BS28" i="4" s="1"/>
  <c r="BS29" i="4" s="1"/>
  <c r="BS30" i="4" s="1"/>
  <c r="BS31" i="4" s="1"/>
  <c r="BS32" i="4" s="1"/>
  <c r="BS33" i="4" s="1"/>
  <c r="BS34" i="4" s="1"/>
  <c r="BS35" i="4" s="1"/>
  <c r="BS36" i="4" s="1"/>
  <c r="BS37" i="4" s="1"/>
  <c r="BS38" i="4" s="1"/>
  <c r="BS39" i="4" s="1"/>
  <c r="BS40" i="4" s="1"/>
  <c r="BS41" i="4" s="1"/>
  <c r="BS42" i="4" s="1"/>
  <c r="BS43" i="4" s="1"/>
  <c r="BS44" i="4" s="1"/>
  <c r="BS45" i="4" s="1"/>
  <c r="BS46" i="4" s="1"/>
  <c r="BS47" i="4" l="1"/>
  <c r="BS48" i="4" s="1"/>
  <c r="BS49" i="4" s="1"/>
  <c r="BS50" i="4" s="1"/>
  <c r="BS51" i="4" s="1"/>
  <c r="BS52" i="4" s="1"/>
  <c r="BS53" i="4" s="1"/>
  <c r="BS54" i="4" s="1"/>
  <c r="BS55" i="4" s="1"/>
  <c r="BS56" i="4" s="1"/>
  <c r="BS57" i="4" s="1"/>
  <c r="BS58" i="4" s="1"/>
  <c r="BS59" i="4" s="1"/>
  <c r="BS60" i="4" s="1"/>
  <c r="BS61" i="4" s="1"/>
  <c r="BS62" i="4" s="1"/>
  <c r="BS63" i="4" s="1"/>
  <c r="BS64" i="4" s="1"/>
  <c r="C16" i="4"/>
  <c r="AK16" i="4" l="1"/>
  <c r="C17" i="4"/>
  <c r="Z13" i="4"/>
  <c r="X13" i="4"/>
  <c r="S13" i="4"/>
  <c r="Q13" i="4"/>
  <c r="P13" i="4"/>
  <c r="M13" i="4"/>
  <c r="L13" i="4"/>
  <c r="AK17" i="4" l="1"/>
  <c r="C18" i="4"/>
  <c r="AP13" i="4"/>
  <c r="AZ13" i="4" s="1"/>
  <c r="R13" i="4"/>
  <c r="C19" i="4" l="1"/>
  <c r="AX24" i="16"/>
  <c r="AX25" i="16"/>
  <c r="AX26" i="16"/>
  <c r="AX27" i="16"/>
  <c r="AX28" i="16"/>
  <c r="AX29" i="16"/>
  <c r="AX30" i="16"/>
  <c r="AX31" i="16"/>
  <c r="AX32" i="16"/>
  <c r="AX33" i="16"/>
  <c r="AX34" i="16"/>
  <c r="AX35" i="16"/>
  <c r="AX36" i="16"/>
  <c r="AX37" i="16"/>
  <c r="AX38" i="16"/>
  <c r="AX39" i="16"/>
  <c r="AX40" i="16"/>
  <c r="AX41" i="16"/>
  <c r="AX42" i="16"/>
  <c r="AX43" i="16"/>
  <c r="AX44" i="16"/>
  <c r="AW24" i="16"/>
  <c r="AW25" i="16"/>
  <c r="AW26" i="16"/>
  <c r="AW27" i="16"/>
  <c r="AW28" i="16"/>
  <c r="AW29" i="16"/>
  <c r="AW30" i="16"/>
  <c r="AW31" i="16"/>
  <c r="AW32" i="16"/>
  <c r="AW33" i="16"/>
  <c r="AW34" i="16"/>
  <c r="AW35" i="16"/>
  <c r="AW36" i="16"/>
  <c r="AW37" i="16"/>
  <c r="AW38" i="16"/>
  <c r="AW39" i="16"/>
  <c r="AW40" i="16"/>
  <c r="AW41" i="16"/>
  <c r="AW42" i="16"/>
  <c r="AW43" i="16"/>
  <c r="AW44" i="16"/>
  <c r="AK19" i="4" l="1"/>
  <c r="C20" i="4"/>
  <c r="V30" i="15"/>
  <c r="V31" i="15"/>
  <c r="C21" i="4" l="1"/>
  <c r="K32" i="15"/>
  <c r="AN6" i="12" s="1"/>
  <c r="AE16" i="16"/>
  <c r="AE17" i="16"/>
  <c r="AE18" i="16"/>
  <c r="AE19" i="16"/>
  <c r="AE20" i="16"/>
  <c r="AE21" i="16"/>
  <c r="AE22" i="16"/>
  <c r="AE23" i="16"/>
  <c r="AE24" i="16"/>
  <c r="AE25" i="16"/>
  <c r="AE26" i="16"/>
  <c r="AE27" i="16"/>
  <c r="AE28" i="16"/>
  <c r="AE29" i="16"/>
  <c r="AE30" i="16"/>
  <c r="AE31" i="16"/>
  <c r="AE32" i="16"/>
  <c r="AE33" i="16"/>
  <c r="AE34" i="16"/>
  <c r="AE35" i="16"/>
  <c r="AE36" i="16"/>
  <c r="AE37" i="16"/>
  <c r="AE38" i="16"/>
  <c r="AE39" i="16"/>
  <c r="AE40" i="16"/>
  <c r="AE41" i="16"/>
  <c r="AE42" i="16"/>
  <c r="AE43" i="16"/>
  <c r="AE44" i="16"/>
  <c r="AE15" i="16"/>
  <c r="AK21" i="4" l="1"/>
  <c r="C22" i="4"/>
  <c r="AG56" i="13"/>
  <c r="C23" i="4" l="1"/>
  <c r="Q1" i="15"/>
  <c r="C24" i="4" l="1"/>
  <c r="C25" i="4" s="1"/>
  <c r="AK23" i="4"/>
  <c r="AK25" i="4" l="1"/>
  <c r="C26" i="4"/>
  <c r="AC1" i="5"/>
  <c r="C27" i="4" l="1"/>
  <c r="AN5" i="9"/>
  <c r="C28" i="4" l="1"/>
  <c r="AN5" i="7"/>
  <c r="C29" i="4" l="1"/>
  <c r="Y6" i="7"/>
  <c r="Y5" i="7"/>
  <c r="AK29" i="4" l="1"/>
  <c r="C30" i="4"/>
  <c r="AM11" i="4"/>
  <c r="C31" i="4" l="1"/>
  <c r="AN11" i="4"/>
  <c r="AP15" i="4"/>
  <c r="AN64" i="4" l="1"/>
  <c r="AN62" i="4"/>
  <c r="AN60" i="4"/>
  <c r="AN56" i="4"/>
  <c r="AN54" i="4"/>
  <c r="AN63" i="4"/>
  <c r="AN57" i="4"/>
  <c r="AN53" i="4"/>
  <c r="AN49" i="4"/>
  <c r="AN47" i="4"/>
  <c r="AN43" i="4"/>
  <c r="AN41" i="4"/>
  <c r="AN39" i="4"/>
  <c r="AN37" i="4"/>
  <c r="AN35" i="4"/>
  <c r="F19" i="19" s="1"/>
  <c r="AN33" i="4"/>
  <c r="AN31" i="4"/>
  <c r="G16" i="19" s="1"/>
  <c r="AN48" i="4"/>
  <c r="AN42" i="4"/>
  <c r="AN38" i="4"/>
  <c r="AN29" i="4"/>
  <c r="AN27" i="4"/>
  <c r="AN25" i="4"/>
  <c r="AN21" i="4"/>
  <c r="AN19" i="4"/>
  <c r="AN17" i="4"/>
  <c r="AN23" i="4"/>
  <c r="AN16" i="4"/>
  <c r="AK31" i="4"/>
  <c r="AZ15" i="4"/>
  <c r="C32" i="4"/>
  <c r="AT21" i="4" l="1"/>
  <c r="AI21" i="4"/>
  <c r="AT29" i="4"/>
  <c r="AI29" i="4"/>
  <c r="AI31" i="4"/>
  <c r="AT31" i="4"/>
  <c r="AT39" i="4"/>
  <c r="AI39" i="4"/>
  <c r="AT47" i="4"/>
  <c r="AI47" i="4"/>
  <c r="AT63" i="4"/>
  <c r="AI63" i="4"/>
  <c r="AT23" i="4"/>
  <c r="AI23" i="4"/>
  <c r="AT38" i="4"/>
  <c r="AI38" i="4"/>
  <c r="AI33" i="4"/>
  <c r="AT33" i="4"/>
  <c r="AT41" i="4"/>
  <c r="AI41" i="4"/>
  <c r="AT49" i="4"/>
  <c r="AI49" i="4"/>
  <c r="AT57" i="4"/>
  <c r="AI57" i="4"/>
  <c r="AI60" i="4"/>
  <c r="AT60" i="4"/>
  <c r="AT17" i="4"/>
  <c r="AI17" i="4"/>
  <c r="AT25" i="4"/>
  <c r="AI25" i="4"/>
  <c r="AI48" i="4"/>
  <c r="AT48" i="4"/>
  <c r="AT35" i="4"/>
  <c r="AI35" i="4"/>
  <c r="AT43" i="4"/>
  <c r="AI43" i="4"/>
  <c r="AT54" i="4"/>
  <c r="AI54" i="4"/>
  <c r="AT62" i="4"/>
  <c r="AI62" i="4"/>
  <c r="AI16" i="4"/>
  <c r="AT16" i="4"/>
  <c r="AT19" i="4"/>
  <c r="AI19" i="4"/>
  <c r="AT27" i="4"/>
  <c r="AI27" i="4"/>
  <c r="AT42" i="4"/>
  <c r="AI42" i="4"/>
  <c r="AT37" i="4"/>
  <c r="AI37" i="4"/>
  <c r="AT53" i="4"/>
  <c r="AI53" i="4"/>
  <c r="AI56" i="4"/>
  <c r="AT56" i="4"/>
  <c r="AI64" i="4"/>
  <c r="AT64" i="4"/>
  <c r="C33" i="4"/>
  <c r="AM20" i="13"/>
  <c r="AM19" i="13"/>
  <c r="AM18" i="13"/>
  <c r="AM17" i="13"/>
  <c r="AM16" i="13"/>
  <c r="AM15" i="13"/>
  <c r="AG16" i="13"/>
  <c r="AG17" i="13"/>
  <c r="AG18" i="13"/>
  <c r="AG19" i="13"/>
  <c r="AG20" i="13"/>
  <c r="AG21" i="13"/>
  <c r="AG22" i="13"/>
  <c r="AG23" i="13"/>
  <c r="AG24" i="13"/>
  <c r="AG25" i="13"/>
  <c r="AG26" i="13"/>
  <c r="AG27" i="13"/>
  <c r="AG28" i="13"/>
  <c r="AG29" i="13"/>
  <c r="AG30" i="13"/>
  <c r="AG31" i="13"/>
  <c r="AG32" i="13"/>
  <c r="AG33" i="13"/>
  <c r="AG34" i="13"/>
  <c r="AG35" i="13"/>
  <c r="AG36" i="13"/>
  <c r="AG37" i="13"/>
  <c r="AG38" i="13"/>
  <c r="AG39" i="13"/>
  <c r="AG40" i="13"/>
  <c r="AG41" i="13"/>
  <c r="AG42" i="13"/>
  <c r="AG43" i="13"/>
  <c r="AG44" i="13"/>
  <c r="AG45" i="13"/>
  <c r="AG46" i="13"/>
  <c r="AG47" i="13"/>
  <c r="AG48" i="13"/>
  <c r="AG49" i="13"/>
  <c r="AG50" i="13"/>
  <c r="AG51" i="13"/>
  <c r="AG52" i="13"/>
  <c r="AG53" i="13"/>
  <c r="AG54" i="13"/>
  <c r="AG55" i="13"/>
  <c r="AG15" i="13"/>
  <c r="AK33" i="4" l="1"/>
  <c r="C34" i="4"/>
  <c r="C35" i="4" l="1"/>
  <c r="AO5" i="13"/>
  <c r="AO4" i="13"/>
  <c r="AO6" i="13"/>
  <c r="AI37" i="13"/>
  <c r="AJ37" i="13" s="1"/>
  <c r="AI32" i="13"/>
  <c r="AJ32" i="13" s="1"/>
  <c r="AI36" i="13"/>
  <c r="AJ36" i="13" s="1"/>
  <c r="AI40" i="13"/>
  <c r="AJ40" i="13" s="1"/>
  <c r="AI44" i="13"/>
  <c r="AJ44" i="13" s="1"/>
  <c r="AI48" i="13"/>
  <c r="AJ48" i="13" s="1"/>
  <c r="AI52" i="13"/>
  <c r="AJ52" i="13" s="1"/>
  <c r="AI15" i="13"/>
  <c r="AJ15" i="13" s="1"/>
  <c r="AI17" i="13"/>
  <c r="AJ17" i="13" s="1"/>
  <c r="AI19" i="13"/>
  <c r="AJ19" i="13" s="1"/>
  <c r="AI21" i="13"/>
  <c r="AJ21" i="13" s="1"/>
  <c r="AI23" i="13"/>
  <c r="AJ23" i="13" s="1"/>
  <c r="AI25" i="13"/>
  <c r="AJ25" i="13" s="1"/>
  <c r="AI27" i="13"/>
  <c r="AJ27" i="13" s="1"/>
  <c r="AI29" i="13"/>
  <c r="AJ29" i="13" s="1"/>
  <c r="AI31" i="13"/>
  <c r="AJ31" i="13" s="1"/>
  <c r="AI35" i="13"/>
  <c r="AJ35" i="13" s="1"/>
  <c r="AI39" i="13"/>
  <c r="AJ39" i="13" s="1"/>
  <c r="AI43" i="13"/>
  <c r="AJ43" i="13" s="1"/>
  <c r="AI47" i="13"/>
  <c r="AJ47" i="13" s="1"/>
  <c r="AI51" i="13"/>
  <c r="AJ51" i="13" s="1"/>
  <c r="AI34" i="13"/>
  <c r="AJ34" i="13" s="1"/>
  <c r="AI38" i="13"/>
  <c r="AJ38" i="13" s="1"/>
  <c r="AI42" i="13"/>
  <c r="AJ42" i="13" s="1"/>
  <c r="AI46" i="13"/>
  <c r="AJ46" i="13" s="1"/>
  <c r="AI50" i="13"/>
  <c r="AJ50" i="13" s="1"/>
  <c r="AI54" i="13"/>
  <c r="AJ54" i="13" s="1"/>
  <c r="AI16" i="13"/>
  <c r="AJ16" i="13" s="1"/>
  <c r="AI18" i="13"/>
  <c r="AJ18" i="13" s="1"/>
  <c r="AI20" i="13"/>
  <c r="AJ20" i="13" s="1"/>
  <c r="AI22" i="13"/>
  <c r="AJ22" i="13" s="1"/>
  <c r="AI24" i="13"/>
  <c r="AJ24" i="13" s="1"/>
  <c r="AI26" i="13"/>
  <c r="AJ26" i="13" s="1"/>
  <c r="AI28" i="13"/>
  <c r="AJ28" i="13" s="1"/>
  <c r="AI30" i="13"/>
  <c r="AJ30" i="13" s="1"/>
  <c r="AI33" i="13"/>
  <c r="AJ33" i="13" s="1"/>
  <c r="AI41" i="13"/>
  <c r="AJ41" i="13" s="1"/>
  <c r="AI45" i="13"/>
  <c r="AJ45" i="13" s="1"/>
  <c r="AI49" i="13"/>
  <c r="AJ49" i="13" s="1"/>
  <c r="AI53" i="13"/>
  <c r="AJ53" i="13" s="1"/>
  <c r="AI55" i="13"/>
  <c r="AJ55" i="13" s="1"/>
  <c r="O15" i="12"/>
  <c r="AE14" i="4"/>
  <c r="C36" i="4" l="1"/>
  <c r="AO7" i="13"/>
  <c r="Z2" i="13" s="1"/>
  <c r="C37" i="4" l="1"/>
  <c r="AA3" i="13"/>
  <c r="Z3" i="13" s="1"/>
  <c r="S15" i="12"/>
  <c r="L3" i="12" s="1"/>
  <c r="T15" i="12"/>
  <c r="R3" i="12" s="1"/>
  <c r="C38" i="4" l="1"/>
  <c r="K4" i="8"/>
  <c r="AA1" i="16"/>
  <c r="AN5" i="4"/>
  <c r="W2" i="15"/>
  <c r="C39" i="4" l="1"/>
  <c r="AP24" i="16"/>
  <c r="AP25" i="16"/>
  <c r="AP26" i="16"/>
  <c r="AP27" i="16"/>
  <c r="AP28" i="16"/>
  <c r="AP29" i="16"/>
  <c r="AP30" i="16"/>
  <c r="AP31" i="16"/>
  <c r="AP32" i="16"/>
  <c r="AP33" i="16"/>
  <c r="AP34" i="16"/>
  <c r="AP35" i="16"/>
  <c r="AP36" i="16"/>
  <c r="AP37" i="16"/>
  <c r="AP38" i="16"/>
  <c r="AP39" i="16"/>
  <c r="AP40" i="16"/>
  <c r="AP41" i="16"/>
  <c r="AP42" i="16"/>
  <c r="AP43" i="16"/>
  <c r="AP44" i="16"/>
  <c r="C40" i="4" l="1"/>
  <c r="AE2" i="7"/>
  <c r="C41" i="4" l="1"/>
  <c r="C42" i="4" l="1"/>
  <c r="AK15" i="4"/>
  <c r="AS85" i="20" l="1"/>
  <c r="AS70" i="20"/>
  <c r="AS83" i="20"/>
  <c r="AS68" i="20"/>
  <c r="AS78" i="20"/>
  <c r="AS72" i="20"/>
  <c r="AS77" i="20"/>
  <c r="AS88" i="20"/>
  <c r="AS79" i="20"/>
  <c r="AS74" i="20"/>
  <c r="AS73" i="20"/>
  <c r="AS84" i="20"/>
  <c r="AS75" i="20"/>
  <c r="AS86" i="20"/>
  <c r="AS69" i="20"/>
  <c r="AS80" i="20"/>
  <c r="AS87" i="20"/>
  <c r="AS71" i="20"/>
  <c r="AS82" i="20"/>
  <c r="AS66" i="20"/>
  <c r="AX66" i="20" s="1"/>
  <c r="AS81" i="20"/>
  <c r="AS65" i="20"/>
  <c r="AS76" i="20"/>
  <c r="AS67" i="20"/>
  <c r="C43" i="4"/>
  <c r="AM15" i="4"/>
  <c r="AX67" i="20" l="1"/>
  <c r="AT67" i="20"/>
  <c r="AU67" i="20"/>
  <c r="AX68" i="20"/>
  <c r="AT68" i="20"/>
  <c r="AU68" i="20"/>
  <c r="C44" i="4"/>
  <c r="L14" i="9"/>
  <c r="P16" i="8"/>
  <c r="P15" i="8"/>
  <c r="O14" i="8"/>
  <c r="BB68" i="20" l="1"/>
  <c r="BB67" i="20"/>
  <c r="AY67" i="20"/>
  <c r="AY68" i="20"/>
  <c r="C45" i="4"/>
  <c r="M15" i="9"/>
  <c r="N15" i="9" s="1"/>
  <c r="P17" i="8"/>
  <c r="C46" i="4" l="1"/>
  <c r="N16" i="9"/>
  <c r="P18" i="8"/>
  <c r="C47" i="4" l="1"/>
  <c r="N17" i="9"/>
  <c r="P19" i="8"/>
  <c r="C48" i="4" l="1"/>
  <c r="N18" i="9"/>
  <c r="P20" i="8"/>
  <c r="C49" i="4" l="1"/>
  <c r="N19" i="9"/>
  <c r="P21" i="8"/>
  <c r="AK49" i="4" l="1"/>
  <c r="C50" i="4"/>
  <c r="N20" i="9"/>
  <c r="P22" i="8"/>
  <c r="V33" i="15"/>
  <c r="W33" i="15" s="1"/>
  <c r="C51" i="4" l="1"/>
  <c r="N21" i="9"/>
  <c r="P23" i="8"/>
  <c r="C52" i="4" l="1"/>
  <c r="N22" i="9"/>
  <c r="P24" i="8"/>
  <c r="C53" i="4" l="1"/>
  <c r="N23" i="9"/>
  <c r="P25" i="8"/>
  <c r="N24" i="9" l="1"/>
  <c r="C54" i="4"/>
  <c r="P26" i="8"/>
  <c r="N25" i="9" l="1"/>
  <c r="P27" i="8"/>
  <c r="C55" i="4"/>
  <c r="M15" i="8"/>
  <c r="P28" i="8" l="1"/>
  <c r="N26" i="9"/>
  <c r="C56" i="4"/>
  <c r="AK11" i="4"/>
  <c r="U10" i="4" s="1"/>
  <c r="P29" i="8" l="1"/>
  <c r="N27" i="9"/>
  <c r="C57" i="4"/>
  <c r="AK57" i="4" l="1"/>
  <c r="P30" i="8"/>
  <c r="P31" i="8" s="1"/>
  <c r="N28" i="9"/>
  <c r="C58" i="4"/>
  <c r="BO23" i="4" l="1"/>
  <c r="BT23" i="4" s="1"/>
  <c r="BO39" i="4"/>
  <c r="BT39" i="4" s="1"/>
  <c r="BO32" i="4"/>
  <c r="BT32" i="4" s="1"/>
  <c r="BO22" i="4"/>
  <c r="BT22" i="4" s="1"/>
  <c r="BO37" i="4"/>
  <c r="BT37" i="4" s="1"/>
  <c r="BO26" i="4"/>
  <c r="BT26" i="4" s="1"/>
  <c r="BO41" i="4"/>
  <c r="BT41" i="4" s="1"/>
  <c r="BO46" i="4"/>
  <c r="BT46" i="4" s="1"/>
  <c r="BO27" i="4"/>
  <c r="BT27" i="4" s="1"/>
  <c r="BO20" i="4"/>
  <c r="BT20" i="4" s="1"/>
  <c r="BO36" i="4"/>
  <c r="BT36" i="4" s="1"/>
  <c r="BO25" i="4"/>
  <c r="BT25" i="4" s="1"/>
  <c r="BO42" i="4"/>
  <c r="BT42" i="4" s="1"/>
  <c r="BO30" i="4"/>
  <c r="BT30" i="4" s="1"/>
  <c r="BO43" i="4"/>
  <c r="BT43" i="4" s="1"/>
  <c r="BO31" i="4"/>
  <c r="BT31" i="4" s="1"/>
  <c r="BO24" i="4"/>
  <c r="BT24" i="4" s="1"/>
  <c r="BO40" i="4"/>
  <c r="BT40" i="4" s="1"/>
  <c r="BO29" i="4"/>
  <c r="BT29" i="4" s="1"/>
  <c r="BO18" i="4"/>
  <c r="BT18" i="4" s="1"/>
  <c r="BO34" i="4"/>
  <c r="BT34" i="4" s="1"/>
  <c r="BO44" i="4"/>
  <c r="BT44" i="4" s="1"/>
  <c r="BO19" i="4"/>
  <c r="BT19" i="4" s="1"/>
  <c r="BO35" i="4"/>
  <c r="BT35" i="4" s="1"/>
  <c r="BO28" i="4"/>
  <c r="BT28" i="4" s="1"/>
  <c r="BO17" i="4"/>
  <c r="BT17" i="4" s="1"/>
  <c r="BO33" i="4"/>
  <c r="BT33" i="4" s="1"/>
  <c r="BO21" i="4"/>
  <c r="BT21" i="4" s="1"/>
  <c r="BO38" i="4"/>
  <c r="BT38" i="4" s="1"/>
  <c r="BO45" i="4"/>
  <c r="BT45" i="4" s="1"/>
  <c r="BO57" i="4"/>
  <c r="BT57" i="4" s="1"/>
  <c r="AS57" i="20" s="1"/>
  <c r="AX57" i="20" s="1"/>
  <c r="N29" i="9"/>
  <c r="BO58" i="4"/>
  <c r="BT58" i="4" s="1"/>
  <c r="BO47" i="4"/>
  <c r="BT47" i="4" s="1"/>
  <c r="BO49" i="4"/>
  <c r="BT49" i="4" s="1"/>
  <c r="BO48" i="4"/>
  <c r="BT48" i="4" s="1"/>
  <c r="BO50" i="4"/>
  <c r="BT50" i="4" s="1"/>
  <c r="BO51" i="4"/>
  <c r="BT51" i="4" s="1"/>
  <c r="BO52" i="4"/>
  <c r="BT52" i="4" s="1"/>
  <c r="BO53" i="4"/>
  <c r="BT53" i="4" s="1"/>
  <c r="BO54" i="4"/>
  <c r="BT54" i="4" s="1"/>
  <c r="BO55" i="4"/>
  <c r="BT55" i="4" s="1"/>
  <c r="BO56" i="4"/>
  <c r="BT56" i="4" s="1"/>
  <c r="C59" i="4"/>
  <c r="P32" i="8"/>
  <c r="AK8" i="4"/>
  <c r="AC15" i="4" s="1"/>
  <c r="BZ33" i="4" l="1"/>
  <c r="BR33" i="4"/>
  <c r="BX33" i="4" s="1"/>
  <c r="BU33" i="4"/>
  <c r="BR19" i="4"/>
  <c r="BZ19" i="4" s="1"/>
  <c r="BU19" i="4"/>
  <c r="BR29" i="4"/>
  <c r="BX29" i="4" s="1"/>
  <c r="BU29" i="4"/>
  <c r="BZ29" i="4"/>
  <c r="BZ43" i="4"/>
  <c r="BR43" i="4"/>
  <c r="BX43" i="4" s="1"/>
  <c r="BU43" i="4"/>
  <c r="BU36" i="4"/>
  <c r="BZ36" i="4"/>
  <c r="BR36" i="4"/>
  <c r="BP36" i="4" s="1"/>
  <c r="BQ36" i="4" s="1"/>
  <c r="BZ41" i="4"/>
  <c r="BR41" i="4"/>
  <c r="BX41" i="4" s="1"/>
  <c r="BU41" i="4"/>
  <c r="BZ32" i="4"/>
  <c r="BR32" i="4"/>
  <c r="BX32" i="4" s="1"/>
  <c r="BU32" i="4"/>
  <c r="P33" i="8"/>
  <c r="P34" i="8" s="1"/>
  <c r="P35" i="8" s="1"/>
  <c r="P36" i="8" s="1"/>
  <c r="P37" i="8" s="1"/>
  <c r="P38" i="8" s="1"/>
  <c r="P39" i="8" s="1"/>
  <c r="P40" i="8" s="1"/>
  <c r="P41" i="8" s="1"/>
  <c r="P42" i="8" s="1"/>
  <c r="P43" i="8" s="1"/>
  <c r="P44" i="8" s="1"/>
  <c r="P45" i="8" s="1"/>
  <c r="P46" i="8" s="1"/>
  <c r="P47" i="8" s="1"/>
  <c r="P48" i="8" s="1"/>
  <c r="P49" i="8" s="1"/>
  <c r="P50" i="8" s="1"/>
  <c r="P51" i="8" s="1"/>
  <c r="P52" i="8" s="1"/>
  <c r="P53" i="8" s="1"/>
  <c r="P54" i="8" s="1"/>
  <c r="P55" i="8" s="1"/>
  <c r="P56" i="8" s="1"/>
  <c r="P57" i="8" s="1"/>
  <c r="P58" i="8" s="1"/>
  <c r="P59" i="8" s="1"/>
  <c r="P60" i="8" s="1"/>
  <c r="P61" i="8" s="1"/>
  <c r="P62" i="8" s="1"/>
  <c r="P63" i="8" s="1"/>
  <c r="P64" i="8" s="1"/>
  <c r="P65" i="8" s="1"/>
  <c r="P66" i="8" s="1"/>
  <c r="P67" i="8" s="1"/>
  <c r="P68" i="8" s="1"/>
  <c r="P69" i="8" s="1"/>
  <c r="P70" i="8" s="1"/>
  <c r="P71" i="8" s="1"/>
  <c r="P72" i="8" s="1"/>
  <c r="P73" i="8" s="1"/>
  <c r="P74" i="8" s="1"/>
  <c r="P75" i="8" s="1"/>
  <c r="P76" i="8" s="1"/>
  <c r="P77" i="8" s="1"/>
  <c r="P78" i="8" s="1"/>
  <c r="P79" i="8" s="1"/>
  <c r="P80" i="8" s="1"/>
  <c r="P81" i="8" s="1"/>
  <c r="P82" i="8" s="1"/>
  <c r="P83" i="8" s="1"/>
  <c r="P84" i="8" s="1"/>
  <c r="P85" i="8" s="1"/>
  <c r="P86" i="8" s="1"/>
  <c r="P87" i="8" s="1"/>
  <c r="P88" i="8" s="1"/>
  <c r="P89" i="8" s="1"/>
  <c r="P90" i="8" s="1"/>
  <c r="P91" i="8" s="1"/>
  <c r="P92" i="8" s="1"/>
  <c r="P93" i="8" s="1"/>
  <c r="P94" i="8" s="1"/>
  <c r="P95" i="8" s="1"/>
  <c r="P96" i="8" s="1"/>
  <c r="P97" i="8" s="1"/>
  <c r="P98" i="8" s="1"/>
  <c r="P99" i="8" s="1"/>
  <c r="P100" i="8" s="1"/>
  <c r="P101" i="8" s="1"/>
  <c r="P102" i="8" s="1"/>
  <c r="P103" i="8" s="1"/>
  <c r="P104" i="8" s="1"/>
  <c r="P105" i="8" s="1"/>
  <c r="P106" i="8" s="1"/>
  <c r="P107" i="8" s="1"/>
  <c r="P108" i="8" s="1"/>
  <c r="P109" i="8" s="1"/>
  <c r="P110" i="8" s="1"/>
  <c r="P111" i="8" s="1"/>
  <c r="P112" i="8" s="1"/>
  <c r="P113" i="8" s="1"/>
  <c r="P114" i="8" s="1"/>
  <c r="BZ45" i="4"/>
  <c r="BR45" i="4"/>
  <c r="BX45" i="4" s="1"/>
  <c r="BU45" i="4"/>
  <c r="BR17" i="4"/>
  <c r="BZ17" i="4" s="1"/>
  <c r="BU17" i="4"/>
  <c r="BR44" i="4"/>
  <c r="BX44" i="4" s="1"/>
  <c r="BU44" i="4"/>
  <c r="BZ44" i="4"/>
  <c r="BR40" i="4"/>
  <c r="BX40" i="4" s="1"/>
  <c r="BU40" i="4"/>
  <c r="BZ40" i="4"/>
  <c r="BZ30" i="4"/>
  <c r="BR30" i="4"/>
  <c r="BP30" i="4" s="1"/>
  <c r="BQ30" i="4" s="1"/>
  <c r="BU30" i="4"/>
  <c r="BR20" i="4"/>
  <c r="BP20" i="4" s="1"/>
  <c r="BQ20" i="4" s="1"/>
  <c r="BU20" i="4"/>
  <c r="BR26" i="4"/>
  <c r="BP26" i="4" s="1"/>
  <c r="BQ26" i="4" s="1"/>
  <c r="BU26" i="4"/>
  <c r="BR39" i="4"/>
  <c r="BP39" i="4" s="1"/>
  <c r="BQ39" i="4" s="1"/>
  <c r="BU39" i="4"/>
  <c r="BZ39" i="4"/>
  <c r="BR38" i="4"/>
  <c r="BX38" i="4" s="1"/>
  <c r="BU38" i="4"/>
  <c r="BZ38" i="4"/>
  <c r="BZ28" i="4"/>
  <c r="BR28" i="4"/>
  <c r="BP28" i="4" s="1"/>
  <c r="BQ28" i="4" s="1"/>
  <c r="BU28" i="4"/>
  <c r="BU34" i="4"/>
  <c r="BZ34" i="4"/>
  <c r="BR34" i="4"/>
  <c r="BX34" i="4" s="1"/>
  <c r="BR24" i="4"/>
  <c r="BZ24" i="4" s="1"/>
  <c r="BU24" i="4"/>
  <c r="BU42" i="4"/>
  <c r="BZ42" i="4"/>
  <c r="BR42" i="4"/>
  <c r="BP42" i="4" s="1"/>
  <c r="BQ42" i="4" s="1"/>
  <c r="BZ27" i="4"/>
  <c r="BR27" i="4"/>
  <c r="BX27" i="4" s="1"/>
  <c r="BU27" i="4"/>
  <c r="BZ37" i="4"/>
  <c r="BR37" i="4"/>
  <c r="BP37" i="4" s="1"/>
  <c r="BQ37" i="4" s="1"/>
  <c r="BU37" i="4"/>
  <c r="BU23" i="4"/>
  <c r="BR23" i="4"/>
  <c r="BP23" i="4" s="1"/>
  <c r="BQ23" i="4" s="1"/>
  <c r="BR21" i="4"/>
  <c r="BZ21" i="4" s="1"/>
  <c r="BU21" i="4"/>
  <c r="BU35" i="4"/>
  <c r="BZ35" i="4"/>
  <c r="BR35" i="4"/>
  <c r="BX35" i="4" s="1"/>
  <c r="BR18" i="4"/>
  <c r="BZ18" i="4" s="1"/>
  <c r="BU18" i="4"/>
  <c r="BZ31" i="4"/>
  <c r="BR31" i="4"/>
  <c r="BP31" i="4" s="1"/>
  <c r="BQ31" i="4" s="1"/>
  <c r="BU31" i="4"/>
  <c r="BR25" i="4"/>
  <c r="BP25" i="4" s="1"/>
  <c r="BQ25" i="4" s="1"/>
  <c r="BU25" i="4"/>
  <c r="BR46" i="4"/>
  <c r="BX46" i="4" s="1"/>
  <c r="BU46" i="4"/>
  <c r="BZ46" i="4"/>
  <c r="BR22" i="4"/>
  <c r="BP22" i="4" s="1"/>
  <c r="BQ22" i="4" s="1"/>
  <c r="BU22" i="4"/>
  <c r="BR57" i="4"/>
  <c r="BZ57" i="4" s="1"/>
  <c r="BU57" i="4"/>
  <c r="AS50" i="20"/>
  <c r="AX50" i="20" s="1"/>
  <c r="BR50" i="4"/>
  <c r="BZ50" i="4" s="1"/>
  <c r="BU50" i="4"/>
  <c r="AS40" i="20"/>
  <c r="AX40" i="20" s="1"/>
  <c r="AS19" i="20"/>
  <c r="AS18" i="20"/>
  <c r="N30" i="9"/>
  <c r="AS53" i="20"/>
  <c r="AX53" i="20" s="1"/>
  <c r="BR53" i="4"/>
  <c r="BX53" i="4" s="1"/>
  <c r="BU53" i="4"/>
  <c r="BZ53" i="4"/>
  <c r="AS46" i="20"/>
  <c r="AX46" i="20" s="1"/>
  <c r="AS26" i="20"/>
  <c r="AS45" i="20"/>
  <c r="AX45" i="20" s="1"/>
  <c r="AS29" i="20"/>
  <c r="AX29" i="20" s="1"/>
  <c r="AS48" i="20"/>
  <c r="AX48" i="20" s="1"/>
  <c r="BR48" i="4"/>
  <c r="BX48" i="4" s="1"/>
  <c r="BU48" i="4"/>
  <c r="BZ48" i="4"/>
  <c r="AS41" i="20"/>
  <c r="AX41" i="20" s="1"/>
  <c r="AS49" i="20"/>
  <c r="AX49" i="20" s="1"/>
  <c r="BU49" i="4"/>
  <c r="BR49" i="4"/>
  <c r="BZ49" i="4" s="1"/>
  <c r="AS37" i="20"/>
  <c r="AX37" i="20" s="1"/>
  <c r="AS30" i="20"/>
  <c r="AS56" i="20"/>
  <c r="AX56" i="20" s="1"/>
  <c r="BU56" i="4"/>
  <c r="BR56" i="4"/>
  <c r="BX56" i="4" s="1"/>
  <c r="BZ56" i="4"/>
  <c r="AS52" i="20"/>
  <c r="AX52" i="20" s="1"/>
  <c r="BU52" i="4"/>
  <c r="BR52" i="4"/>
  <c r="BX52" i="4" s="1"/>
  <c r="BZ52" i="4"/>
  <c r="AS28" i="20"/>
  <c r="AX28" i="20" s="1"/>
  <c r="AS35" i="20"/>
  <c r="AX35" i="20" s="1"/>
  <c r="AS42" i="20"/>
  <c r="AX42" i="20" s="1"/>
  <c r="AS21" i="20"/>
  <c r="AS44" i="20"/>
  <c r="AX44" i="20" s="1"/>
  <c r="AS20" i="20"/>
  <c r="AS47" i="20"/>
  <c r="AX47" i="20" s="1"/>
  <c r="BU47" i="4"/>
  <c r="BR47" i="4"/>
  <c r="BZ47" i="4" s="1"/>
  <c r="AS31" i="20"/>
  <c r="AX31" i="20" s="1"/>
  <c r="BP57" i="4"/>
  <c r="BQ57" i="4" s="1"/>
  <c r="AS55" i="20"/>
  <c r="AX55" i="20" s="1"/>
  <c r="BR55" i="4"/>
  <c r="BP55" i="4" s="1"/>
  <c r="BQ55" i="4" s="1"/>
  <c r="BU55" i="4"/>
  <c r="BZ55" i="4"/>
  <c r="AS51" i="20"/>
  <c r="BU51" i="4"/>
  <c r="BR51" i="4"/>
  <c r="BZ51" i="4" s="1"/>
  <c r="AS22" i="20"/>
  <c r="AS23" i="20"/>
  <c r="AS36" i="20"/>
  <c r="AS34" i="20"/>
  <c r="AX34" i="20" s="1"/>
  <c r="AS24" i="20"/>
  <c r="AS17" i="20"/>
  <c r="AS43" i="20"/>
  <c r="AS39" i="20"/>
  <c r="AX39" i="20" s="1"/>
  <c r="AS58" i="20"/>
  <c r="BU58" i="4"/>
  <c r="BR58" i="4"/>
  <c r="BP58" i="4" s="1"/>
  <c r="BQ58" i="4" s="1"/>
  <c r="BZ58" i="4"/>
  <c r="BX57" i="4"/>
  <c r="AS54" i="20"/>
  <c r="AX54" i="20" s="1"/>
  <c r="BU54" i="4"/>
  <c r="BR54" i="4"/>
  <c r="BZ54" i="4" s="1"/>
  <c r="AS25" i="20"/>
  <c r="AS33" i="20"/>
  <c r="AX33" i="20" s="1"/>
  <c r="AS27" i="20"/>
  <c r="AX27" i="20" s="1"/>
  <c r="BO59" i="4"/>
  <c r="BT59" i="4" s="1"/>
  <c r="AS32" i="20"/>
  <c r="AX32" i="20" s="1"/>
  <c r="AS38" i="20"/>
  <c r="AX38" i="20" s="1"/>
  <c r="AV13" i="4"/>
  <c r="AV15" i="4"/>
  <c r="C60" i="4"/>
  <c r="AC13" i="4"/>
  <c r="C5" i="4"/>
  <c r="AV56" i="4" l="1"/>
  <c r="AV16" i="4"/>
  <c r="AV21" i="4"/>
  <c r="AV33" i="4"/>
  <c r="AV25" i="4"/>
  <c r="AV36" i="4"/>
  <c r="AV27" i="4"/>
  <c r="AV42" i="4"/>
  <c r="AV22" i="4"/>
  <c r="AV34" i="4"/>
  <c r="AV26" i="4"/>
  <c r="AV37" i="4"/>
  <c r="AV18" i="4"/>
  <c r="AV30" i="4"/>
  <c r="AV41" i="4"/>
  <c r="AV28" i="4"/>
  <c r="AV17" i="4"/>
  <c r="AV29" i="4"/>
  <c r="AV40" i="4"/>
  <c r="AV20" i="4"/>
  <c r="AV32" i="4"/>
  <c r="AV24" i="4"/>
  <c r="AV19" i="4"/>
  <c r="AV39" i="4"/>
  <c r="AV31" i="4"/>
  <c r="AV43" i="4"/>
  <c r="AV23" i="4"/>
  <c r="AV38" i="4"/>
  <c r="AV35" i="4"/>
  <c r="AV44" i="4"/>
  <c r="AV45" i="4"/>
  <c r="AV47" i="4"/>
  <c r="AV46" i="4"/>
  <c r="AV49" i="4"/>
  <c r="AV48" i="4"/>
  <c r="AV50" i="4"/>
  <c r="AV51" i="4"/>
  <c r="AV52" i="4"/>
  <c r="AV53" i="4"/>
  <c r="AV54" i="4"/>
  <c r="AV57" i="4"/>
  <c r="AV60" i="4"/>
  <c r="AV58" i="4"/>
  <c r="AV59" i="4"/>
  <c r="BZ23" i="4"/>
  <c r="BP24" i="4"/>
  <c r="BQ24" i="4" s="1"/>
  <c r="BX21" i="4"/>
  <c r="BP21" i="4"/>
  <c r="BQ21" i="4" s="1"/>
  <c r="BP27" i="4"/>
  <c r="BQ27" i="4" s="1"/>
  <c r="BP38" i="4"/>
  <c r="BQ38" i="4" s="1"/>
  <c r="BX31" i="4"/>
  <c r="BX37" i="4"/>
  <c r="BX42" i="4"/>
  <c r="BX22" i="4"/>
  <c r="BP46" i="4"/>
  <c r="BQ46" i="4" s="1"/>
  <c r="BZ25" i="4"/>
  <c r="BP18" i="4"/>
  <c r="BQ18" i="4" s="1"/>
  <c r="BZ22" i="4"/>
  <c r="BX25" i="4"/>
  <c r="BX18" i="4"/>
  <c r="BP34" i="4"/>
  <c r="BQ34" i="4" s="1"/>
  <c r="BX28" i="4"/>
  <c r="BP35" i="4"/>
  <c r="BQ35" i="4" s="1"/>
  <c r="BP19" i="4"/>
  <c r="BQ19" i="4" s="1"/>
  <c r="N31" i="9"/>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N102" i="9" s="1"/>
  <c r="N103" i="9" s="1"/>
  <c r="N104" i="9" s="1"/>
  <c r="N105" i="9" s="1"/>
  <c r="N106" i="9" s="1"/>
  <c r="N107" i="9" s="1"/>
  <c r="N108" i="9" s="1"/>
  <c r="N109" i="9" s="1"/>
  <c r="N110" i="9" s="1"/>
  <c r="N111" i="9" s="1"/>
  <c r="N112" i="9" s="1"/>
  <c r="N113" i="9" s="1"/>
  <c r="BX24" i="4"/>
  <c r="BX39" i="4"/>
  <c r="BZ26" i="4"/>
  <c r="BZ20" i="4"/>
  <c r="BX30" i="4"/>
  <c r="BP40" i="4"/>
  <c r="BQ40" i="4" s="1"/>
  <c r="BP44" i="4"/>
  <c r="BQ44" i="4" s="1"/>
  <c r="BP17" i="4"/>
  <c r="BQ17" i="4" s="1"/>
  <c r="BP45" i="4"/>
  <c r="BQ45" i="4" s="1"/>
  <c r="BX23" i="4"/>
  <c r="BX26" i="4"/>
  <c r="BX20" i="4"/>
  <c r="BX17" i="4"/>
  <c r="BP32" i="4"/>
  <c r="BQ32" i="4" s="1"/>
  <c r="BP41" i="4"/>
  <c r="BQ41" i="4" s="1"/>
  <c r="BX36" i="4"/>
  <c r="BP43" i="4"/>
  <c r="BQ43" i="4" s="1"/>
  <c r="BP29" i="4"/>
  <c r="BQ29" i="4" s="1"/>
  <c r="BX19" i="4"/>
  <c r="BP33" i="4"/>
  <c r="BQ33" i="4" s="1"/>
  <c r="BP51" i="4"/>
  <c r="BQ51" i="4" s="1"/>
  <c r="BP53" i="4"/>
  <c r="BQ53" i="4" s="1"/>
  <c r="BP52" i="4"/>
  <c r="BQ52" i="4" s="1"/>
  <c r="BX58" i="4"/>
  <c r="BP48" i="4"/>
  <c r="BQ48" i="4" s="1"/>
  <c r="BP54" i="4"/>
  <c r="BQ54" i="4" s="1"/>
  <c r="BX54" i="4"/>
  <c r="BX55" i="4"/>
  <c r="BP47" i="4"/>
  <c r="BQ47" i="4" s="1"/>
  <c r="BP56" i="4"/>
  <c r="BQ56" i="4" s="1"/>
  <c r="BP49" i="4"/>
  <c r="BQ49" i="4" s="1"/>
  <c r="BX50" i="4"/>
  <c r="BO60" i="4"/>
  <c r="BT60" i="4" s="1"/>
  <c r="AS59" i="20"/>
  <c r="AX59" i="20" s="1"/>
  <c r="BU59" i="4"/>
  <c r="BR59" i="4"/>
  <c r="BX59" i="4" s="1"/>
  <c r="BZ59" i="4"/>
  <c r="BX51" i="4"/>
  <c r="BX47" i="4"/>
  <c r="BX49" i="4"/>
  <c r="N174" i="9"/>
  <c r="N114" i="9"/>
  <c r="BP50" i="4"/>
  <c r="BQ50" i="4" s="1"/>
  <c r="C61" i="4"/>
  <c r="AX8" i="16"/>
  <c r="AX7" i="16"/>
  <c r="AU60" i="4" l="1"/>
  <c r="AU56" i="4"/>
  <c r="N115" i="9"/>
  <c r="N116" i="9" s="1"/>
  <c r="N117" i="9" s="1"/>
  <c r="N118" i="9" s="1"/>
  <c r="N119" i="9" s="1"/>
  <c r="N120" i="9" s="1"/>
  <c r="N121" i="9" s="1"/>
  <c r="N122" i="9" s="1"/>
  <c r="N123" i="9" s="1"/>
  <c r="N124" i="9" s="1"/>
  <c r="N125" i="9" s="1"/>
  <c r="N126" i="9" s="1"/>
  <c r="N127" i="9" s="1"/>
  <c r="N128" i="9" s="1"/>
  <c r="N129" i="9" s="1"/>
  <c r="N130" i="9" s="1"/>
  <c r="N131" i="9" s="1"/>
  <c r="N132" i="9" s="1"/>
  <c r="N133" i="9" s="1"/>
  <c r="N134" i="9" s="1"/>
  <c r="N135" i="9" s="1"/>
  <c r="N136" i="9" s="1"/>
  <c r="N137" i="9" s="1"/>
  <c r="N138" i="9" s="1"/>
  <c r="N139" i="9" s="1"/>
  <c r="N140" i="9" s="1"/>
  <c r="N141" i="9" s="1"/>
  <c r="N142" i="9" s="1"/>
  <c r="N143" i="9" s="1"/>
  <c r="N144" i="9" s="1"/>
  <c r="N145" i="9" s="1"/>
  <c r="N146" i="9" s="1"/>
  <c r="N147" i="9" s="1"/>
  <c r="N148" i="9" s="1"/>
  <c r="N149" i="9" s="1"/>
  <c r="N150" i="9" s="1"/>
  <c r="N151" i="9" s="1"/>
  <c r="N152" i="9" s="1"/>
  <c r="N153" i="9" s="1"/>
  <c r="N154" i="9" s="1"/>
  <c r="N155" i="9" s="1"/>
  <c r="N156" i="9" s="1"/>
  <c r="N157" i="9" s="1"/>
  <c r="N158" i="9" s="1"/>
  <c r="N159" i="9" s="1"/>
  <c r="N160" i="9" s="1"/>
  <c r="N161" i="9" s="1"/>
  <c r="N162" i="9" s="1"/>
  <c r="N163" i="9" s="1"/>
  <c r="N164" i="9" s="1"/>
  <c r="N165" i="9" s="1"/>
  <c r="N166" i="9" s="1"/>
  <c r="N167" i="9" s="1"/>
  <c r="N168" i="9" s="1"/>
  <c r="N169" i="9" s="1"/>
  <c r="N170" i="9" s="1"/>
  <c r="N171" i="9" s="1"/>
  <c r="N172" i="9" s="1"/>
  <c r="N173" i="9" s="1"/>
  <c r="AU59" i="4" s="1"/>
  <c r="BO61" i="4"/>
  <c r="BT61" i="4" s="1"/>
  <c r="BP59" i="4"/>
  <c r="BQ59" i="4" s="1"/>
  <c r="AS60" i="20"/>
  <c r="AX60" i="20" s="1"/>
  <c r="BU60" i="4"/>
  <c r="BR60" i="4"/>
  <c r="BZ60" i="4" s="1"/>
  <c r="C62" i="4"/>
  <c r="AV5" i="16"/>
  <c r="AW6" i="16" s="1"/>
  <c r="AX6" i="16" s="1"/>
  <c r="AU57" i="4" l="1"/>
  <c r="AU52" i="4"/>
  <c r="AU48" i="4"/>
  <c r="AU22" i="4"/>
  <c r="AU23" i="4"/>
  <c r="AU21" i="4"/>
  <c r="AU41" i="4"/>
  <c r="AU30" i="4"/>
  <c r="AU17" i="4"/>
  <c r="AU35" i="4"/>
  <c r="AU34" i="4"/>
  <c r="AU54" i="4"/>
  <c r="AU51" i="4"/>
  <c r="AU47" i="4"/>
  <c r="AU28" i="4"/>
  <c r="AU32" i="4"/>
  <c r="AU25" i="4"/>
  <c r="AU44" i="4"/>
  <c r="AU42" i="4"/>
  <c r="AU31" i="4"/>
  <c r="AU39" i="4"/>
  <c r="AU62" i="4"/>
  <c r="AV62" i="4"/>
  <c r="AU53" i="4"/>
  <c r="AU49" i="4"/>
  <c r="AU46" i="4"/>
  <c r="AU16" i="4"/>
  <c r="AU36" i="4"/>
  <c r="AU29" i="4"/>
  <c r="AU38" i="4"/>
  <c r="AU43" i="4"/>
  <c r="AU24" i="4"/>
  <c r="AU40" i="4"/>
  <c r="AU61" i="4"/>
  <c r="AU55" i="4"/>
  <c r="AU50" i="4"/>
  <c r="AU18" i="4"/>
  <c r="AU20" i="4"/>
  <c r="AU33" i="4"/>
  <c r="AU37" i="4"/>
  <c r="AU26" i="4"/>
  <c r="AU45" i="4"/>
  <c r="AU27" i="4"/>
  <c r="AU19" i="4"/>
  <c r="AU58" i="4"/>
  <c r="AU13" i="4"/>
  <c r="AX13" i="4" s="1"/>
  <c r="AU15" i="4"/>
  <c r="BO62" i="4"/>
  <c r="BT62" i="4" s="1"/>
  <c r="BX60" i="4"/>
  <c r="BP60" i="4"/>
  <c r="BQ60" i="4" s="1"/>
  <c r="AS61" i="20"/>
  <c r="AX61" i="20" s="1"/>
  <c r="BU61" i="4"/>
  <c r="BR61" i="4"/>
  <c r="BZ61" i="4" s="1"/>
  <c r="BH13" i="4"/>
  <c r="BI13" i="4" s="1"/>
  <c r="AY13" i="4"/>
  <c r="BA13" i="4" s="1"/>
  <c r="C63" i="4"/>
  <c r="AJ6" i="16"/>
  <c r="AK6" i="16"/>
  <c r="AL6" i="16"/>
  <c r="AM6" i="16"/>
  <c r="AN6" i="16"/>
  <c r="AJ7" i="16"/>
  <c r="AK7" i="16"/>
  <c r="AL7" i="16"/>
  <c r="AM7" i="16"/>
  <c r="AN7" i="16"/>
  <c r="AJ8" i="16"/>
  <c r="AK8" i="16"/>
  <c r="AL8" i="16"/>
  <c r="AM8" i="16"/>
  <c r="AN8" i="16"/>
  <c r="AJ9" i="16"/>
  <c r="AK9" i="16"/>
  <c r="AL9" i="16"/>
  <c r="AM9" i="16"/>
  <c r="AN9" i="16"/>
  <c r="AI7" i="16"/>
  <c r="AI8" i="16"/>
  <c r="AI9" i="16"/>
  <c r="AI6" i="16"/>
  <c r="G4" i="16"/>
  <c r="C16" i="16"/>
  <c r="C17" i="16" s="1"/>
  <c r="C18" i="16" s="1"/>
  <c r="C19" i="16" s="1"/>
  <c r="C20" i="16" s="1"/>
  <c r="AB5" i="16"/>
  <c r="AB4" i="16"/>
  <c r="AU63" i="4" l="1"/>
  <c r="AV63" i="4"/>
  <c r="AS62" i="20"/>
  <c r="AX62" i="20" s="1"/>
  <c r="BR62" i="4"/>
  <c r="BZ62" i="4" s="1"/>
  <c r="BU62" i="4"/>
  <c r="BD13" i="4"/>
  <c r="BB13" i="4"/>
  <c r="BC13" i="4" s="1"/>
  <c r="BO63" i="4"/>
  <c r="BT63" i="4" s="1"/>
  <c r="BX61" i="4"/>
  <c r="BP61" i="4"/>
  <c r="BQ61" i="4" s="1"/>
  <c r="C64" i="4"/>
  <c r="N15" i="12"/>
  <c r="AV64" i="4" l="1"/>
  <c r="AU64" i="4"/>
  <c r="BO64" i="4"/>
  <c r="BT64" i="4" s="1"/>
  <c r="AS63" i="20"/>
  <c r="AX63" i="20" s="1"/>
  <c r="BU63" i="4"/>
  <c r="BR63" i="4"/>
  <c r="BX63" i="4" s="1"/>
  <c r="BZ63" i="4"/>
  <c r="BE13" i="4"/>
  <c r="BG13" i="4"/>
  <c r="BP62" i="4"/>
  <c r="BQ62" i="4" s="1"/>
  <c r="BX62" i="4"/>
  <c r="I15" i="12"/>
  <c r="BP63" i="4" l="1"/>
  <c r="BQ63" i="4" s="1"/>
  <c r="AS64" i="20"/>
  <c r="BU64" i="4"/>
  <c r="BR64" i="4"/>
  <c r="BX64" i="4" s="1"/>
  <c r="BZ64" i="4"/>
  <c r="L5" i="4"/>
  <c r="BP64" i="4" l="1"/>
  <c r="BQ64" i="4" s="1"/>
  <c r="I5" i="9"/>
  <c r="O6" i="4" l="1"/>
  <c r="O7" i="4"/>
  <c r="O8" i="4"/>
  <c r="O5" i="4"/>
  <c r="N6" i="4"/>
  <c r="N7" i="4"/>
  <c r="N8" i="4"/>
  <c r="N5" i="4"/>
  <c r="M6" i="4"/>
  <c r="M7" i="4"/>
  <c r="M8" i="4"/>
  <c r="M5" i="4"/>
  <c r="L6" i="4"/>
  <c r="L7" i="4"/>
  <c r="L8" i="4"/>
  <c r="K6" i="4"/>
  <c r="K7" i="4"/>
  <c r="K8" i="4"/>
  <c r="K5" i="4"/>
  <c r="L59" i="4" l="1"/>
  <c r="L51" i="4"/>
  <c r="L61" i="4"/>
  <c r="L60" i="4"/>
  <c r="L52" i="4"/>
  <c r="L55" i="4"/>
  <c r="L58" i="4"/>
  <c r="L57" i="4"/>
  <c r="L56" i="4"/>
  <c r="L50" i="4"/>
  <c r="L49" i="4"/>
  <c r="L48" i="4"/>
  <c r="L47" i="4"/>
  <c r="L54" i="4"/>
  <c r="L45" i="4"/>
  <c r="L53" i="4"/>
  <c r="L46"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O62" i="4"/>
  <c r="O55" i="4"/>
  <c r="O54" i="4"/>
  <c r="O53" i="4"/>
  <c r="O46" i="4"/>
  <c r="O64" i="4"/>
  <c r="O58" i="4"/>
  <c r="O57" i="4"/>
  <c r="O56" i="4"/>
  <c r="O59" i="4"/>
  <c r="O63" i="4"/>
  <c r="O61" i="4"/>
  <c r="O60" i="4"/>
  <c r="O52" i="4"/>
  <c r="O45" i="4"/>
  <c r="O44" i="4"/>
  <c r="O43" i="4"/>
  <c r="O42" i="4"/>
  <c r="O41" i="4"/>
  <c r="O40" i="4"/>
  <c r="O39" i="4"/>
  <c r="O51" i="4"/>
  <c r="O47" i="4"/>
  <c r="O38" i="4"/>
  <c r="O37" i="4"/>
  <c r="O36" i="4"/>
  <c r="O35" i="4"/>
  <c r="O34" i="4"/>
  <c r="O33" i="4"/>
  <c r="O48" i="4"/>
  <c r="O49" i="4"/>
  <c r="O50" i="4"/>
  <c r="O32" i="4"/>
  <c r="O30" i="4"/>
  <c r="O31" i="4"/>
  <c r="O29" i="4"/>
  <c r="O28" i="4"/>
  <c r="O27" i="4"/>
  <c r="O26" i="4"/>
  <c r="O25" i="4"/>
  <c r="O24" i="4"/>
  <c r="O23" i="4"/>
  <c r="O22" i="4"/>
  <c r="O21" i="4"/>
  <c r="O20" i="4"/>
  <c r="O19" i="4"/>
  <c r="O18" i="4"/>
  <c r="O17" i="4"/>
  <c r="O16" i="4"/>
  <c r="O15" i="4"/>
  <c r="N64" i="4"/>
  <c r="T64" i="4" s="1"/>
  <c r="U64" i="4" s="1"/>
  <c r="N63" i="4"/>
  <c r="T63" i="4" s="1"/>
  <c r="U63" i="4" s="1"/>
  <c r="N62" i="4"/>
  <c r="T62" i="4" s="1"/>
  <c r="U62" i="4" s="1"/>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M61" i="4"/>
  <c r="M60" i="4"/>
  <c r="M52" i="4"/>
  <c r="M55" i="4"/>
  <c r="M54" i="4"/>
  <c r="M53" i="4"/>
  <c r="M58" i="4"/>
  <c r="M57" i="4"/>
  <c r="M56" i="4"/>
  <c r="M59" i="4"/>
  <c r="M51" i="4"/>
  <c r="M50" i="4"/>
  <c r="M47" i="4"/>
  <c r="M48" i="4"/>
  <c r="M46" i="4"/>
  <c r="M44" i="4"/>
  <c r="M43" i="4"/>
  <c r="M42" i="4"/>
  <c r="M41" i="4"/>
  <c r="M40" i="4"/>
  <c r="M39" i="4"/>
  <c r="M38" i="4"/>
  <c r="M37" i="4"/>
  <c r="M36" i="4"/>
  <c r="M35" i="4"/>
  <c r="M34" i="4"/>
  <c r="M33" i="4"/>
  <c r="M32" i="4"/>
  <c r="M31" i="4"/>
  <c r="M49" i="4"/>
  <c r="M45" i="4"/>
  <c r="M30" i="4"/>
  <c r="M29" i="4"/>
  <c r="M28" i="4"/>
  <c r="M27" i="4"/>
  <c r="M26" i="4"/>
  <c r="M25" i="4"/>
  <c r="M24" i="4"/>
  <c r="M23" i="4"/>
  <c r="M22" i="4"/>
  <c r="M21" i="4"/>
  <c r="M20" i="4"/>
  <c r="M19" i="4"/>
  <c r="M18" i="4"/>
  <c r="M17" i="4"/>
  <c r="M16" i="4"/>
  <c r="M15" i="4"/>
  <c r="O13" i="4"/>
  <c r="N13" i="4"/>
  <c r="T13" i="4" s="1"/>
  <c r="U13" i="4" s="1"/>
  <c r="W13" i="4" s="1"/>
  <c r="AJ13" i="4" s="1"/>
  <c r="W62" i="4" l="1"/>
  <c r="AA62" i="4" s="1"/>
  <c r="W63" i="4"/>
  <c r="AA63" i="4" s="1"/>
  <c r="W64" i="4"/>
  <c r="AA64" i="4" s="1"/>
  <c r="AJ63" i="4"/>
  <c r="AJ62" i="4"/>
  <c r="AJ64" i="4"/>
  <c r="Y63" i="4"/>
  <c r="V63" i="4" s="1"/>
  <c r="Y62" i="4"/>
  <c r="V62" i="4" s="1"/>
  <c r="Y64" i="4"/>
  <c r="V64" i="4" s="1"/>
  <c r="T18" i="4"/>
  <c r="U18" i="4" s="1"/>
  <c r="T22" i="4"/>
  <c r="U22" i="4" s="1"/>
  <c r="T26" i="4"/>
  <c r="U26" i="4" s="1"/>
  <c r="T30" i="4"/>
  <c r="U30" i="4" s="1"/>
  <c r="T34" i="4"/>
  <c r="U34" i="4" s="1"/>
  <c r="T38" i="4"/>
  <c r="U38" i="4" s="1"/>
  <c r="T42" i="4"/>
  <c r="U42" i="4" s="1"/>
  <c r="T53" i="4"/>
  <c r="U53" i="4" s="1"/>
  <c r="T48" i="4"/>
  <c r="U48" i="4" s="1"/>
  <c r="T57" i="4"/>
  <c r="U57" i="4" s="1"/>
  <c r="T60" i="4"/>
  <c r="U60" i="4" s="1"/>
  <c r="T15" i="4"/>
  <c r="U15" i="4" s="1"/>
  <c r="T19" i="4"/>
  <c r="U19" i="4" s="1"/>
  <c r="T23" i="4"/>
  <c r="U23" i="4" s="1"/>
  <c r="T27" i="4"/>
  <c r="U27" i="4" s="1"/>
  <c r="T31" i="4"/>
  <c r="U31" i="4" s="1"/>
  <c r="T35" i="4"/>
  <c r="U35" i="4" s="1"/>
  <c r="T39" i="4"/>
  <c r="U39" i="4" s="1"/>
  <c r="T43" i="4"/>
  <c r="U43" i="4" s="1"/>
  <c r="T45" i="4"/>
  <c r="U45" i="4" s="1"/>
  <c r="T49" i="4"/>
  <c r="U49" i="4" s="1"/>
  <c r="T58" i="4"/>
  <c r="U58" i="4" s="1"/>
  <c r="T61" i="4"/>
  <c r="U61" i="4" s="1"/>
  <c r="T16" i="4"/>
  <c r="U16" i="4" s="1"/>
  <c r="T20" i="4"/>
  <c r="U20" i="4" s="1"/>
  <c r="T24" i="4"/>
  <c r="U24" i="4" s="1"/>
  <c r="T28" i="4"/>
  <c r="U28" i="4" s="1"/>
  <c r="T32" i="4"/>
  <c r="U32" i="4" s="1"/>
  <c r="T36" i="4"/>
  <c r="U36" i="4" s="1"/>
  <c r="T40" i="4"/>
  <c r="U40" i="4" s="1"/>
  <c r="T44" i="4"/>
  <c r="U44" i="4" s="1"/>
  <c r="T54" i="4"/>
  <c r="U54" i="4" s="1"/>
  <c r="T50" i="4"/>
  <c r="U50" i="4" s="1"/>
  <c r="T55" i="4"/>
  <c r="U55" i="4" s="1"/>
  <c r="T51" i="4"/>
  <c r="U51" i="4" s="1"/>
  <c r="T17" i="4"/>
  <c r="U17" i="4" s="1"/>
  <c r="T21" i="4"/>
  <c r="U21" i="4" s="1"/>
  <c r="T25" i="4"/>
  <c r="U25" i="4" s="1"/>
  <c r="T29" i="4"/>
  <c r="U29" i="4" s="1"/>
  <c r="T33" i="4"/>
  <c r="U33" i="4" s="1"/>
  <c r="T37" i="4"/>
  <c r="U37" i="4" s="1"/>
  <c r="T41" i="4"/>
  <c r="U41" i="4" s="1"/>
  <c r="T46" i="4"/>
  <c r="U46" i="4" s="1"/>
  <c r="T47" i="4"/>
  <c r="U47" i="4" s="1"/>
  <c r="T56" i="4"/>
  <c r="U56" i="4" s="1"/>
  <c r="T52" i="4"/>
  <c r="U52" i="4" s="1"/>
  <c r="T59" i="4"/>
  <c r="U59" i="4" s="1"/>
  <c r="BV35" i="4"/>
  <c r="BW35" i="4" s="1"/>
  <c r="BY35" i="4" s="1"/>
  <c r="BV27" i="4"/>
  <c r="BW27" i="4" s="1"/>
  <c r="BY27" i="4" s="1"/>
  <c r="BV38" i="4"/>
  <c r="BW38" i="4" s="1"/>
  <c r="BY38" i="4" s="1"/>
  <c r="BV30" i="4"/>
  <c r="BW30" i="4" s="1"/>
  <c r="BY30" i="4" s="1"/>
  <c r="BV42" i="4"/>
  <c r="BW42" i="4" s="1"/>
  <c r="BY42" i="4" s="1"/>
  <c r="BV33" i="4"/>
  <c r="BW33" i="4" s="1"/>
  <c r="BY33" i="4" s="1"/>
  <c r="BV36" i="4"/>
  <c r="BW36" i="4" s="1"/>
  <c r="BY36" i="4" s="1"/>
  <c r="BV28" i="4"/>
  <c r="BW28" i="4" s="1"/>
  <c r="BY28" i="4" s="1"/>
  <c r="BV29" i="4"/>
  <c r="BW29" i="4" s="1"/>
  <c r="BY29" i="4" s="1"/>
  <c r="BV31" i="4"/>
  <c r="BW31" i="4" s="1"/>
  <c r="BY31" i="4" s="1"/>
  <c r="BV37" i="4"/>
  <c r="BW37" i="4" s="1"/>
  <c r="BY37" i="4" s="1"/>
  <c r="BV43" i="4"/>
  <c r="BW43" i="4" s="1"/>
  <c r="BY43" i="4" s="1"/>
  <c r="BV39" i="4"/>
  <c r="BW39" i="4" s="1"/>
  <c r="BY39" i="4" s="1"/>
  <c r="BV41" i="4"/>
  <c r="BW41" i="4" s="1"/>
  <c r="BY41" i="4" s="1"/>
  <c r="BV40" i="4"/>
  <c r="BW40" i="4" s="1"/>
  <c r="BY40" i="4" s="1"/>
  <c r="BV34" i="4"/>
  <c r="BW34" i="4" s="1"/>
  <c r="BY34" i="4" s="1"/>
  <c r="BV32" i="4"/>
  <c r="BW32" i="4" s="1"/>
  <c r="BY32" i="4" s="1"/>
  <c r="BV44" i="4"/>
  <c r="BW44" i="4" s="1"/>
  <c r="BY44" i="4" s="1"/>
  <c r="BV45" i="4"/>
  <c r="BW45" i="4" s="1"/>
  <c r="BY45" i="4" s="1"/>
  <c r="BV46" i="4"/>
  <c r="BW46" i="4" s="1"/>
  <c r="BY46" i="4" s="1"/>
  <c r="Z21" i="7"/>
  <c r="AA13" i="4"/>
  <c r="Y13" i="4"/>
  <c r="W11" i="13"/>
  <c r="W29" i="4" l="1"/>
  <c r="W43" i="4"/>
  <c r="AA43" i="4" s="1"/>
  <c r="W27" i="4"/>
  <c r="W60" i="4"/>
  <c r="AJ60" i="4" s="1"/>
  <c r="W42" i="4"/>
  <c r="AA42" i="4" s="1"/>
  <c r="W41" i="4"/>
  <c r="W25" i="4"/>
  <c r="W39" i="4"/>
  <c r="AA39" i="4" s="1"/>
  <c r="W23" i="4"/>
  <c r="W57" i="4"/>
  <c r="W38" i="4"/>
  <c r="AA38" i="4" s="1"/>
  <c r="W56" i="4"/>
  <c r="AJ56" i="4" s="1"/>
  <c r="W37" i="4"/>
  <c r="W21" i="4"/>
  <c r="AJ21" i="4" s="1"/>
  <c r="W49" i="4"/>
  <c r="W35" i="4"/>
  <c r="AJ35" i="4" s="1"/>
  <c r="W19" i="4"/>
  <c r="W48" i="4"/>
  <c r="AJ48" i="4" s="1"/>
  <c r="W47" i="4"/>
  <c r="W33" i="4"/>
  <c r="AJ33" i="4" s="1"/>
  <c r="W17" i="4"/>
  <c r="W54" i="4"/>
  <c r="AJ54" i="4" s="1"/>
  <c r="W16" i="4"/>
  <c r="W31" i="4"/>
  <c r="AJ31" i="4" s="1"/>
  <c r="W15" i="4"/>
  <c r="W53" i="4"/>
  <c r="AJ37" i="4"/>
  <c r="AJ42" i="4"/>
  <c r="AJ49" i="4"/>
  <c r="AJ19" i="4"/>
  <c r="AJ47" i="4"/>
  <c r="AJ17" i="4"/>
  <c r="AJ16" i="4"/>
  <c r="AJ53" i="4"/>
  <c r="AJ29" i="4"/>
  <c r="AJ39" i="4"/>
  <c r="AJ27" i="4"/>
  <c r="AJ41" i="4"/>
  <c r="AJ43" i="4"/>
  <c r="AJ25" i="4"/>
  <c r="AJ23" i="4"/>
  <c r="AJ57" i="4"/>
  <c r="AA47" i="4"/>
  <c r="Y47" i="4"/>
  <c r="V47" i="4" s="1"/>
  <c r="X20" i="4"/>
  <c r="V20" i="4" s="1"/>
  <c r="AA17" i="4"/>
  <c r="Y17" i="4"/>
  <c r="V17" i="4" s="1"/>
  <c r="AA54" i="4"/>
  <c r="Y54" i="4"/>
  <c r="V54" i="4" s="1"/>
  <c r="X18" i="4"/>
  <c r="V18" i="4" s="1"/>
  <c r="AA16" i="4"/>
  <c r="Y16" i="4"/>
  <c r="V16" i="4" s="1"/>
  <c r="X30" i="4"/>
  <c r="V30" i="4" s="1"/>
  <c r="X15" i="4"/>
  <c r="AA15" i="4"/>
  <c r="Y15" i="4"/>
  <c r="V15" i="4" s="1"/>
  <c r="AA53" i="4"/>
  <c r="Y53" i="4"/>
  <c r="V53" i="4" s="1"/>
  <c r="X39" i="4"/>
  <c r="AA29" i="4"/>
  <c r="Y29" i="4"/>
  <c r="V29" i="4" s="1"/>
  <c r="AA27" i="4"/>
  <c r="Y27" i="4"/>
  <c r="V27" i="4" s="1"/>
  <c r="AA60" i="4"/>
  <c r="AA41" i="4"/>
  <c r="Y41" i="4"/>
  <c r="V41" i="4" s="1"/>
  <c r="Y43" i="4"/>
  <c r="V43" i="4" s="1"/>
  <c r="X26" i="4"/>
  <c r="V26" i="4" s="1"/>
  <c r="AA25" i="4"/>
  <c r="Y25" i="4"/>
  <c r="V25" i="4" s="1"/>
  <c r="X24" i="4"/>
  <c r="V24" i="4" s="1"/>
  <c r="AA23" i="4"/>
  <c r="Y23" i="4"/>
  <c r="V23" i="4" s="1"/>
  <c r="X61" i="4"/>
  <c r="V61" i="4" s="1"/>
  <c r="AA57" i="4"/>
  <c r="Y57" i="4"/>
  <c r="V57" i="4" s="1"/>
  <c r="AA37" i="4"/>
  <c r="Y42" i="4"/>
  <c r="V42" i="4" s="1"/>
  <c r="Y37" i="4"/>
  <c r="V37" i="4" s="1"/>
  <c r="X46" i="4"/>
  <c r="V46" i="4" s="1"/>
  <c r="X38" i="4"/>
  <c r="AA21" i="4"/>
  <c r="Y38" i="4"/>
  <c r="V38" i="4" s="1"/>
  <c r="Y21" i="4"/>
  <c r="V21" i="4" s="1"/>
  <c r="X51" i="4"/>
  <c r="V51" i="4" s="1"/>
  <c r="AA49" i="4"/>
  <c r="Y49" i="4"/>
  <c r="V49" i="4" s="1"/>
  <c r="Y35" i="4"/>
  <c r="V35" i="4" s="1"/>
  <c r="X22" i="4"/>
  <c r="V22" i="4" s="1"/>
  <c r="AA19" i="4"/>
  <c r="Y19" i="4"/>
  <c r="V19" i="4" s="1"/>
  <c r="AA48" i="4"/>
  <c r="Y48" i="4"/>
  <c r="V48" i="4" s="1"/>
  <c r="X17" i="20"/>
  <c r="Z17" i="20" s="1"/>
  <c r="X16" i="20"/>
  <c r="Z16" i="20" s="1"/>
  <c r="W17" i="20"/>
  <c r="Y17" i="20" s="1"/>
  <c r="W18" i="20"/>
  <c r="Y18" i="20" s="1"/>
  <c r="V13" i="4"/>
  <c r="K21" i="7"/>
  <c r="C12" i="13"/>
  <c r="AA35" i="4" l="1"/>
  <c r="Y56" i="4"/>
  <c r="V56" i="4" s="1"/>
  <c r="AA56" i="4"/>
  <c r="Y31" i="4"/>
  <c r="V31" i="4" s="1"/>
  <c r="Y60" i="4"/>
  <c r="V60" i="4" s="1"/>
  <c r="Y39" i="4"/>
  <c r="V39" i="4" s="1"/>
  <c r="X40" i="4"/>
  <c r="V40" i="4" s="1"/>
  <c r="X32" i="4"/>
  <c r="V32" i="4" s="1"/>
  <c r="W32" i="4" s="1"/>
  <c r="Y33" i="4"/>
  <c r="V33" i="4" s="1"/>
  <c r="X34" i="4"/>
  <c r="V34" i="4" s="1"/>
  <c r="W34" i="4" s="1"/>
  <c r="AA31" i="4"/>
  <c r="AA33" i="4"/>
  <c r="AJ38" i="4"/>
  <c r="W51" i="4"/>
  <c r="Z51" i="4" s="1"/>
  <c r="W26" i="4"/>
  <c r="Z26" i="4" s="1"/>
  <c r="W40" i="4"/>
  <c r="Y40" i="4" s="1"/>
  <c r="W24" i="4"/>
  <c r="AJ24" i="4" s="1"/>
  <c r="W18" i="4"/>
  <c r="W46" i="4"/>
  <c r="Z46" i="4" s="1"/>
  <c r="AL21" i="4" s="1"/>
  <c r="W61" i="4"/>
  <c r="Z61" i="4" s="1"/>
  <c r="W20" i="4"/>
  <c r="Y20" i="4" s="1"/>
  <c r="W22" i="4"/>
  <c r="AJ22" i="4" s="1"/>
  <c r="W30" i="4"/>
  <c r="Y61" i="4"/>
  <c r="AP26" i="4"/>
  <c r="AL26" i="4"/>
  <c r="AO26" i="4" s="1"/>
  <c r="AL25" i="4"/>
  <c r="Y51" i="4"/>
  <c r="X37" i="4"/>
  <c r="Z30" i="4"/>
  <c r="AJ26" i="4"/>
  <c r="AP61" i="4"/>
  <c r="AL61" i="4"/>
  <c r="AO61" i="4" s="1"/>
  <c r="AL57" i="4"/>
  <c r="Y26" i="4"/>
  <c r="X42" i="4"/>
  <c r="Z24" i="4"/>
  <c r="X44" i="4"/>
  <c r="V44" i="4" s="1"/>
  <c r="AJ18" i="4"/>
  <c r="AP51" i="4"/>
  <c r="AL49" i="4"/>
  <c r="AL51" i="4"/>
  <c r="AO51" i="4" s="1"/>
  <c r="AL46" i="4"/>
  <c r="AO46" i="4" s="1"/>
  <c r="AJ61" i="4"/>
  <c r="AJ51" i="4"/>
  <c r="AA46" i="4"/>
  <c r="AA61" i="4"/>
  <c r="AA51" i="4"/>
  <c r="X48" i="4"/>
  <c r="Y18" i="4"/>
  <c r="X55" i="4"/>
  <c r="V55" i="4" s="1"/>
  <c r="AA30" i="4"/>
  <c r="AA26" i="4"/>
  <c r="AJ15" i="4"/>
  <c r="X20" i="20"/>
  <c r="Z20" i="20" s="1"/>
  <c r="X19" i="20"/>
  <c r="Z19" i="20" s="1"/>
  <c r="W14" i="20"/>
  <c r="X14" i="20"/>
  <c r="Z14" i="20" s="1"/>
  <c r="BV26" i="4"/>
  <c r="BW26" i="4" s="1"/>
  <c r="BY26" i="4" s="1"/>
  <c r="BV20" i="4"/>
  <c r="BW20" i="4" s="1"/>
  <c r="BY20" i="4" s="1"/>
  <c r="W3" i="7"/>
  <c r="W5" i="7" s="1"/>
  <c r="O5" i="11"/>
  <c r="Y34" i="4" l="1"/>
  <c r="BV24" i="4"/>
  <c r="BW24" i="4" s="1"/>
  <c r="BY24" i="4" s="1"/>
  <c r="Y24" i="4"/>
  <c r="Z32" i="4"/>
  <c r="Y32" i="4"/>
  <c r="BV23" i="4"/>
  <c r="BW23" i="4" s="1"/>
  <c r="BY23" i="4" s="1"/>
  <c r="X28" i="4"/>
  <c r="V28" i="4" s="1"/>
  <c r="AL38" i="4"/>
  <c r="Y46" i="4"/>
  <c r="X27" i="4"/>
  <c r="AP46" i="4"/>
  <c r="AZ46" i="4" s="1"/>
  <c r="X50" i="4"/>
  <c r="V50" i="4" s="1"/>
  <c r="W50" i="4" s="1"/>
  <c r="Y50" i="4" s="1"/>
  <c r="Z40" i="4"/>
  <c r="Y22" i="4"/>
  <c r="Z22" i="4"/>
  <c r="AP22" i="4" s="1"/>
  <c r="AJ40" i="4"/>
  <c r="AJ46" i="4"/>
  <c r="AJ32" i="4"/>
  <c r="AJ30" i="4"/>
  <c r="Y30" i="4"/>
  <c r="AJ20" i="4"/>
  <c r="Z20" i="4"/>
  <c r="F12" i="19" s="1"/>
  <c r="E30" i="19"/>
  <c r="X54" i="4"/>
  <c r="Z18" i="4"/>
  <c r="AJ34" i="4"/>
  <c r="Z34" i="4"/>
  <c r="H12" i="19"/>
  <c r="W55" i="4"/>
  <c r="AJ55" i="4" s="1"/>
  <c r="W28" i="4"/>
  <c r="X35" i="4" s="1"/>
  <c r="W44" i="4"/>
  <c r="Y44" i="4" s="1"/>
  <c r="AA24" i="4"/>
  <c r="F15" i="19"/>
  <c r="H15" i="19"/>
  <c r="AP24" i="4"/>
  <c r="AL23" i="4"/>
  <c r="AL24" i="4"/>
  <c r="AO24" i="4" s="1"/>
  <c r="AP30" i="4"/>
  <c r="AL30" i="4"/>
  <c r="AO30" i="4" s="1"/>
  <c r="AL19" i="4"/>
  <c r="AZ51" i="4"/>
  <c r="AN51" i="4"/>
  <c r="AJ44" i="4"/>
  <c r="AZ61" i="4"/>
  <c r="AN61" i="4"/>
  <c r="AZ26" i="4"/>
  <c r="AN26" i="4"/>
  <c r="Y55" i="4"/>
  <c r="AB22" i="20"/>
  <c r="AB24" i="20"/>
  <c r="AB17" i="20"/>
  <c r="AB20" i="20"/>
  <c r="AB15" i="20"/>
  <c r="AB27" i="20"/>
  <c r="AB18" i="20"/>
  <c r="AB23" i="20"/>
  <c r="AB14" i="20"/>
  <c r="AB16" i="20"/>
  <c r="AB25" i="20"/>
  <c r="AB19" i="20"/>
  <c r="AB26" i="20"/>
  <c r="AB28" i="20"/>
  <c r="AB21" i="20"/>
  <c r="Y14" i="20"/>
  <c r="X12" i="20"/>
  <c r="R46" i="15" s="1"/>
  <c r="BV17" i="4"/>
  <c r="BW17" i="4" s="1"/>
  <c r="BY17" i="4" s="1"/>
  <c r="I10" i="4"/>
  <c r="AG4" i="5"/>
  <c r="AH4" i="5" s="1"/>
  <c r="W6" i="7"/>
  <c r="W7" i="7" s="1"/>
  <c r="M16" i="8"/>
  <c r="O6" i="11"/>
  <c r="W7" i="15"/>
  <c r="W8" i="15" s="1"/>
  <c r="AJ28" i="4" l="1"/>
  <c r="AL22" i="4"/>
  <c r="AO22" i="4" s="1"/>
  <c r="AA22" i="4"/>
  <c r="AN46" i="4"/>
  <c r="AI46" i="4" s="1"/>
  <c r="AJ50" i="4"/>
  <c r="AL40" i="4"/>
  <c r="AO40" i="4" s="1"/>
  <c r="AL29" i="4"/>
  <c r="AP40" i="4"/>
  <c r="AL39" i="4"/>
  <c r="AA40" i="4"/>
  <c r="Z50" i="4"/>
  <c r="AX23" i="20"/>
  <c r="AL31" i="4"/>
  <c r="AP32" i="4"/>
  <c r="AL32" i="4"/>
  <c r="AO32" i="4" s="1"/>
  <c r="AA32" i="4"/>
  <c r="Z28" i="4"/>
  <c r="D15" i="19" s="1"/>
  <c r="Z44" i="4"/>
  <c r="Y28" i="4"/>
  <c r="Z55" i="4"/>
  <c r="E12" i="19"/>
  <c r="AP18" i="4"/>
  <c r="AA18" i="4"/>
  <c r="AL16" i="4"/>
  <c r="AL18" i="4"/>
  <c r="AO18" i="4" s="1"/>
  <c r="AP20" i="4"/>
  <c r="AL20" i="4"/>
  <c r="AO20" i="4" s="1"/>
  <c r="AA20" i="4"/>
  <c r="AL17" i="4"/>
  <c r="X36" i="4"/>
  <c r="V36" i="4" s="1"/>
  <c r="AP34" i="4"/>
  <c r="AL33" i="4"/>
  <c r="AX24" i="20"/>
  <c r="AL34" i="4"/>
  <c r="AO34" i="4" s="1"/>
  <c r="AA34" i="4"/>
  <c r="X59" i="4"/>
  <c r="V59" i="4" s="1"/>
  <c r="X56" i="4"/>
  <c r="AP28" i="4"/>
  <c r="AL27" i="4"/>
  <c r="AL28" i="4"/>
  <c r="AO28" i="4" s="1"/>
  <c r="AP55" i="4"/>
  <c r="AL54" i="4"/>
  <c r="AL55" i="4"/>
  <c r="AO55" i="4" s="1"/>
  <c r="AT61" i="4"/>
  <c r="AI61" i="4"/>
  <c r="AP44" i="4"/>
  <c r="AL42" i="4"/>
  <c r="AL44" i="4"/>
  <c r="AO44" i="4" s="1"/>
  <c r="AL37" i="4"/>
  <c r="AA44" i="4"/>
  <c r="AT46" i="4"/>
  <c r="AZ22" i="4"/>
  <c r="AN22" i="4"/>
  <c r="AT26" i="4"/>
  <c r="AI26" i="4"/>
  <c r="AP50" i="4"/>
  <c r="AL48" i="4"/>
  <c r="AL50" i="4"/>
  <c r="AO50" i="4" s="1"/>
  <c r="AA50" i="4"/>
  <c r="AZ24" i="4"/>
  <c r="AN24" i="4"/>
  <c r="AI51" i="4"/>
  <c r="AT51" i="4"/>
  <c r="AZ30" i="4"/>
  <c r="AN30" i="4"/>
  <c r="F16" i="19" s="1"/>
  <c r="AA28" i="4"/>
  <c r="AA55" i="4"/>
  <c r="BV22" i="4"/>
  <c r="BW22" i="4" s="1"/>
  <c r="BY22" i="4" s="1"/>
  <c r="AI19" i="20"/>
  <c r="AK19" i="20" s="1"/>
  <c r="AK23" i="20"/>
  <c r="AJ23" i="20"/>
  <c r="AI23" i="20"/>
  <c r="AI20" i="20"/>
  <c r="AK20" i="20" s="1"/>
  <c r="AX17" i="20"/>
  <c r="AX26" i="20"/>
  <c r="AK21" i="20"/>
  <c r="AJ21" i="20"/>
  <c r="AI21" i="20"/>
  <c r="AJ25" i="20"/>
  <c r="AK25" i="20"/>
  <c r="AI25" i="20"/>
  <c r="AI18" i="20"/>
  <c r="AK18" i="20" s="1"/>
  <c r="AI17" i="20"/>
  <c r="AJ17" i="20" s="1"/>
  <c r="BV25" i="4"/>
  <c r="BW25" i="4" s="1"/>
  <c r="BY25" i="4" s="1"/>
  <c r="AA22" i="20"/>
  <c r="AA16" i="20"/>
  <c r="AA24" i="20"/>
  <c r="AA28" i="20"/>
  <c r="AA21" i="20"/>
  <c r="AA26" i="20"/>
  <c r="AA18" i="20"/>
  <c r="AA14" i="20"/>
  <c r="AA27" i="20"/>
  <c r="AA15" i="20"/>
  <c r="AA20" i="20"/>
  <c r="AA23" i="20"/>
  <c r="AA17" i="20"/>
  <c r="AA25" i="20"/>
  <c r="AA19" i="20"/>
  <c r="AJ28" i="20"/>
  <c r="AI28" i="20"/>
  <c r="AK28" i="20"/>
  <c r="AI16" i="20"/>
  <c r="AK16" i="20" s="1"/>
  <c r="AJ27" i="20"/>
  <c r="AK27" i="20"/>
  <c r="AI27" i="20"/>
  <c r="AI24" i="20"/>
  <c r="AK24" i="20"/>
  <c r="AJ24" i="20"/>
  <c r="AI26" i="20"/>
  <c r="AK26" i="20"/>
  <c r="AJ26" i="20"/>
  <c r="AI14" i="20"/>
  <c r="AK14" i="20" s="1"/>
  <c r="AI15" i="20"/>
  <c r="AJ15" i="20" s="1"/>
  <c r="AI22" i="20"/>
  <c r="AJ22" i="20"/>
  <c r="AK22" i="20"/>
  <c r="AH1" i="12"/>
  <c r="AH2" i="12" s="1"/>
  <c r="AH3" i="12" s="1"/>
  <c r="AH4" i="12" s="1"/>
  <c r="AH5" i="12" s="1"/>
  <c r="AH6" i="12" s="1"/>
  <c r="AH7" i="12" s="1"/>
  <c r="AH8" i="12" s="1"/>
  <c r="AH9" i="12" s="1"/>
  <c r="AH10" i="12" s="1"/>
  <c r="P4" i="12"/>
  <c r="P5" i="12" s="1"/>
  <c r="AE11" i="5"/>
  <c r="AH10" i="5"/>
  <c r="AI4" i="5"/>
  <c r="AH5" i="5"/>
  <c r="AG3" i="5"/>
  <c r="AI3" i="5" s="1"/>
  <c r="AI9" i="5"/>
  <c r="AZ32" i="4" l="1"/>
  <c r="AN32" i="4"/>
  <c r="AN40" i="4"/>
  <c r="AZ40" i="4"/>
  <c r="AN34" i="4"/>
  <c r="AZ34" i="4"/>
  <c r="AZ18" i="4"/>
  <c r="AN18" i="4"/>
  <c r="W36" i="4"/>
  <c r="W59" i="4"/>
  <c r="AZ20" i="4"/>
  <c r="AN20" i="4"/>
  <c r="F13" i="19" s="1"/>
  <c r="AI22" i="4"/>
  <c r="AT22" i="4"/>
  <c r="AI30" i="4"/>
  <c r="AT30" i="4"/>
  <c r="AT24" i="4"/>
  <c r="AI24" i="4"/>
  <c r="AZ44" i="4"/>
  <c r="AN44" i="4"/>
  <c r="AZ50" i="4"/>
  <c r="AN50" i="4"/>
  <c r="AZ55" i="4"/>
  <c r="AN55" i="4"/>
  <c r="AZ28" i="4"/>
  <c r="AN28" i="4"/>
  <c r="D16" i="19" s="1"/>
  <c r="AK12" i="20"/>
  <c r="AJ18" i="20"/>
  <c r="R8" i="12" s="1"/>
  <c r="AK15" i="20"/>
  <c r="AJ14" i="20"/>
  <c r="AL14" i="20" s="1"/>
  <c r="BS35" i="20"/>
  <c r="BT35" i="20" s="1"/>
  <c r="AL15" i="20"/>
  <c r="AE19" i="20"/>
  <c r="P53" i="15" s="1"/>
  <c r="AD19" i="20"/>
  <c r="O53" i="15" s="1"/>
  <c r="AC19" i="20"/>
  <c r="AE20" i="20"/>
  <c r="P54" i="15" s="1"/>
  <c r="AC20" i="20"/>
  <c r="AD20" i="20"/>
  <c r="AC18" i="20"/>
  <c r="AE18" i="20" s="1"/>
  <c r="N8" i="12" s="1"/>
  <c r="AC24" i="20"/>
  <c r="AD24" i="20"/>
  <c r="AE24" i="20"/>
  <c r="BS37" i="20"/>
  <c r="BT37" i="20" s="1"/>
  <c r="AL17" i="20"/>
  <c r="AJ19" i="20"/>
  <c r="Q53" i="15" s="1"/>
  <c r="BS42" i="20"/>
  <c r="BT42" i="20" s="1"/>
  <c r="AL22" i="20"/>
  <c r="BS44" i="20"/>
  <c r="BT44" i="20" s="1"/>
  <c r="AL24" i="20"/>
  <c r="AD25" i="20"/>
  <c r="AE25" i="20"/>
  <c r="AC25" i="20"/>
  <c r="AC15" i="20"/>
  <c r="AE15" i="20" s="1"/>
  <c r="AD26" i="20"/>
  <c r="AC26" i="20"/>
  <c r="AE26" i="20"/>
  <c r="AC16" i="20"/>
  <c r="AE16" i="20" s="1"/>
  <c r="P50" i="15" s="1"/>
  <c r="BS45" i="20"/>
  <c r="BT45" i="20" s="1"/>
  <c r="AL25" i="20"/>
  <c r="BS47" i="20"/>
  <c r="BT47" i="20" s="1"/>
  <c r="AL27" i="20"/>
  <c r="AC17" i="20"/>
  <c r="AD17" i="20" s="1"/>
  <c r="AE27" i="20"/>
  <c r="AC27" i="20"/>
  <c r="AD27" i="20"/>
  <c r="AD21" i="20"/>
  <c r="AC21" i="20"/>
  <c r="AE21" i="20"/>
  <c r="P55" i="15" s="1"/>
  <c r="AC22" i="20"/>
  <c r="AE22" i="20"/>
  <c r="AD22" i="20"/>
  <c r="O56" i="15" s="1"/>
  <c r="AX25" i="20"/>
  <c r="BS43" i="20"/>
  <c r="BT43" i="20" s="1"/>
  <c r="AL23" i="20"/>
  <c r="BS46" i="20"/>
  <c r="BT46" i="20" s="1"/>
  <c r="AL26" i="20"/>
  <c r="AJ16" i="20"/>
  <c r="R6" i="12" s="1"/>
  <c r="BS48" i="20"/>
  <c r="BT48" i="20" s="1"/>
  <c r="AL28" i="20"/>
  <c r="AE23" i="20"/>
  <c r="AD23" i="20"/>
  <c r="AC23" i="20"/>
  <c r="AC14" i="20"/>
  <c r="AE14" i="20" s="1"/>
  <c r="P48" i="15" s="1"/>
  <c r="AD28" i="20"/>
  <c r="AC28" i="20"/>
  <c r="AE28" i="20"/>
  <c r="AK17" i="20"/>
  <c r="R51" i="15" s="1"/>
  <c r="BS41" i="20"/>
  <c r="BT41" i="20" s="1"/>
  <c r="AL21" i="20"/>
  <c r="T11" i="12" s="1"/>
  <c r="AJ20" i="20"/>
  <c r="Q54" i="15" s="1"/>
  <c r="AX22" i="20"/>
  <c r="P6" i="12"/>
  <c r="R11" i="12"/>
  <c r="R9" i="12"/>
  <c r="Q56" i="15"/>
  <c r="R54" i="15"/>
  <c r="Q55" i="15"/>
  <c r="R55" i="15"/>
  <c r="S9" i="12"/>
  <c r="AI10" i="5"/>
  <c r="AI5" i="5"/>
  <c r="AH6" i="5" s="1"/>
  <c r="AH3" i="5"/>
  <c r="AH9" i="5"/>
  <c r="AI40" i="4" l="1"/>
  <c r="AT40" i="4"/>
  <c r="H16" i="19"/>
  <c r="AT32" i="4"/>
  <c r="AI32" i="4"/>
  <c r="BS38" i="20"/>
  <c r="BT38" i="20" s="1"/>
  <c r="Q52" i="15"/>
  <c r="Q50" i="15"/>
  <c r="BS34" i="20"/>
  <c r="BT34" i="20" s="1"/>
  <c r="AJ59" i="4"/>
  <c r="Y59" i="4"/>
  <c r="Z59" i="4"/>
  <c r="E13" i="19"/>
  <c r="AI18" i="4"/>
  <c r="AT18" i="4"/>
  <c r="AI20" i="4"/>
  <c r="AT20" i="4"/>
  <c r="AJ36" i="4"/>
  <c r="Z36" i="4"/>
  <c r="Y36" i="4"/>
  <c r="X45" i="4"/>
  <c r="V45" i="4" s="1"/>
  <c r="X43" i="4"/>
  <c r="X41" i="4"/>
  <c r="AT34" i="4"/>
  <c r="AI34" i="4"/>
  <c r="N6" i="12"/>
  <c r="L9" i="12"/>
  <c r="N10" i="12"/>
  <c r="N11" i="12"/>
  <c r="AI44" i="4"/>
  <c r="AT44" i="4"/>
  <c r="AI28" i="4"/>
  <c r="AT28" i="4"/>
  <c r="AT50" i="4"/>
  <c r="AI50" i="4"/>
  <c r="R10" i="12"/>
  <c r="AT55" i="4"/>
  <c r="AI55" i="4"/>
  <c r="N4" i="12"/>
  <c r="S7" i="12"/>
  <c r="AE17" i="20"/>
  <c r="AD16" i="20"/>
  <c r="CH46" i="20"/>
  <c r="CM46" i="20"/>
  <c r="CI46" i="20"/>
  <c r="CL46" i="20"/>
  <c r="CO46" i="20"/>
  <c r="CK46" i="20"/>
  <c r="CN46" i="20"/>
  <c r="CJ46" i="20"/>
  <c r="CG46" i="20"/>
  <c r="CF46" i="20"/>
  <c r="CE46" i="20"/>
  <c r="CD46" i="20"/>
  <c r="CC46" i="20"/>
  <c r="CB46" i="20"/>
  <c r="CA46" i="20"/>
  <c r="BZ46" i="20"/>
  <c r="BY46" i="20"/>
  <c r="BX46" i="20"/>
  <c r="BW46" i="20"/>
  <c r="BV46" i="20"/>
  <c r="CH48" i="20"/>
  <c r="CO48" i="20"/>
  <c r="CJ48" i="20"/>
  <c r="CM48" i="20"/>
  <c r="CI48" i="20"/>
  <c r="CL48" i="20"/>
  <c r="CG48" i="20"/>
  <c r="CN48" i="20"/>
  <c r="CK48" i="20"/>
  <c r="CF48" i="20"/>
  <c r="CE48" i="20"/>
  <c r="CD48" i="20"/>
  <c r="CC48" i="20"/>
  <c r="CB48" i="20"/>
  <c r="CA48" i="20"/>
  <c r="BZ48" i="20"/>
  <c r="BY48" i="20"/>
  <c r="BX48" i="20"/>
  <c r="BW48" i="20"/>
  <c r="BV48" i="20"/>
  <c r="BS27" i="20"/>
  <c r="BT27" i="20" s="1"/>
  <c r="AF22" i="20"/>
  <c r="CH47" i="20"/>
  <c r="CO47" i="20"/>
  <c r="CK47" i="20"/>
  <c r="CN47" i="20"/>
  <c r="CJ47" i="20"/>
  <c r="CM47" i="20"/>
  <c r="CI47" i="20"/>
  <c r="CL47" i="20"/>
  <c r="CG47" i="20"/>
  <c r="CF47" i="20"/>
  <c r="CE47" i="20"/>
  <c r="CD47" i="20"/>
  <c r="CC47" i="20"/>
  <c r="CB47" i="20"/>
  <c r="CA47" i="20"/>
  <c r="BZ47" i="20"/>
  <c r="BY47" i="20"/>
  <c r="BX47" i="20"/>
  <c r="BW47" i="20"/>
  <c r="BV47" i="20"/>
  <c r="CG38" i="20"/>
  <c r="CN38" i="20"/>
  <c r="CK38" i="20"/>
  <c r="CO38" i="20"/>
  <c r="CJ38" i="20"/>
  <c r="CM38" i="20"/>
  <c r="CI38" i="20"/>
  <c r="CF38" i="20"/>
  <c r="CL38" i="20"/>
  <c r="CH38" i="20"/>
  <c r="CE38" i="20"/>
  <c r="CD38" i="20"/>
  <c r="CC38" i="20"/>
  <c r="CB38" i="20"/>
  <c r="CA38" i="20"/>
  <c r="BZ38" i="20"/>
  <c r="BY38" i="20"/>
  <c r="BX38" i="20"/>
  <c r="BW38" i="20"/>
  <c r="BV38" i="20"/>
  <c r="CH44" i="20"/>
  <c r="CO44" i="20"/>
  <c r="CJ44" i="20"/>
  <c r="CM44" i="20"/>
  <c r="CI44" i="20"/>
  <c r="CG44" i="20"/>
  <c r="CL44" i="20"/>
  <c r="CN44" i="20"/>
  <c r="CK44" i="20"/>
  <c r="CF44" i="20"/>
  <c r="CE44" i="20"/>
  <c r="CD44" i="20"/>
  <c r="CC44" i="20"/>
  <c r="CB44" i="20"/>
  <c r="CA44" i="20"/>
  <c r="BZ44" i="20"/>
  <c r="BY44" i="20"/>
  <c r="BX44" i="20"/>
  <c r="BW44" i="20"/>
  <c r="BV44" i="20"/>
  <c r="CL42" i="20"/>
  <c r="CO42" i="20"/>
  <c r="CK42" i="20"/>
  <c r="CN42" i="20"/>
  <c r="CJ42" i="20"/>
  <c r="CG42" i="20"/>
  <c r="CM42" i="20"/>
  <c r="CI42" i="20"/>
  <c r="CH42" i="20"/>
  <c r="CF42" i="20"/>
  <c r="CE42" i="20"/>
  <c r="CD42" i="20"/>
  <c r="CC42" i="20"/>
  <c r="CB42" i="20"/>
  <c r="CA42" i="20"/>
  <c r="BZ42" i="20"/>
  <c r="BY42" i="20"/>
  <c r="BX42" i="20"/>
  <c r="BW42" i="20"/>
  <c r="BV42" i="20"/>
  <c r="CH37" i="20"/>
  <c r="CN37" i="20"/>
  <c r="CJ37" i="20"/>
  <c r="CM37" i="20"/>
  <c r="CI37" i="20"/>
  <c r="CL37" i="20"/>
  <c r="CO37" i="20"/>
  <c r="CK37" i="20"/>
  <c r="CG37" i="20"/>
  <c r="CF37" i="20"/>
  <c r="CE37" i="20"/>
  <c r="CD37" i="20"/>
  <c r="CC37" i="20"/>
  <c r="CB37" i="20"/>
  <c r="CA37" i="20"/>
  <c r="BZ37" i="20"/>
  <c r="BY37" i="20"/>
  <c r="BX37" i="20"/>
  <c r="BW37" i="20"/>
  <c r="BV37" i="20"/>
  <c r="AD18" i="20"/>
  <c r="BS40" i="20"/>
  <c r="BT40" i="20" s="1"/>
  <c r="CH41" i="20"/>
  <c r="CM41" i="20"/>
  <c r="CI41" i="20"/>
  <c r="CG41" i="20"/>
  <c r="CL41" i="20"/>
  <c r="CO41" i="20"/>
  <c r="CK41" i="20"/>
  <c r="CN41" i="20"/>
  <c r="CJ41" i="20"/>
  <c r="CF41" i="20"/>
  <c r="CE41" i="20"/>
  <c r="CD41" i="20"/>
  <c r="CC41" i="20"/>
  <c r="CB41" i="20"/>
  <c r="CA41" i="20"/>
  <c r="BZ41" i="20"/>
  <c r="BY41" i="20"/>
  <c r="BX41" i="20"/>
  <c r="BW41" i="20"/>
  <c r="BV41" i="20"/>
  <c r="BS33" i="20"/>
  <c r="BT33" i="20" s="1"/>
  <c r="AF28" i="20"/>
  <c r="BS28" i="20"/>
  <c r="BT28" i="20" s="1"/>
  <c r="AF23" i="20"/>
  <c r="BS36" i="20"/>
  <c r="BT36" i="20" s="1"/>
  <c r="CH43" i="20"/>
  <c r="CM43" i="20"/>
  <c r="CI43" i="20"/>
  <c r="CL43" i="20"/>
  <c r="CG43" i="20"/>
  <c r="CN43" i="20"/>
  <c r="CK43" i="20"/>
  <c r="CO43" i="20"/>
  <c r="CJ43" i="20"/>
  <c r="CF43" i="20"/>
  <c r="CE43" i="20"/>
  <c r="CD43" i="20"/>
  <c r="CC43" i="20"/>
  <c r="CB43" i="20"/>
  <c r="CA43" i="20"/>
  <c r="BZ43" i="20"/>
  <c r="BY43" i="20"/>
  <c r="BX43" i="20"/>
  <c r="BW43" i="20"/>
  <c r="BV43" i="20"/>
  <c r="AE12" i="20"/>
  <c r="BS26" i="20"/>
  <c r="BT26" i="20" s="1"/>
  <c r="AF21" i="20"/>
  <c r="BS21" i="20"/>
  <c r="BT21" i="20" s="1"/>
  <c r="BS31" i="20"/>
  <c r="BT31" i="20" s="1"/>
  <c r="AF26" i="20"/>
  <c r="BS39" i="20"/>
  <c r="BT39" i="20" s="1"/>
  <c r="AL19" i="20"/>
  <c r="C17" i="20"/>
  <c r="D17" i="20"/>
  <c r="AD14" i="20"/>
  <c r="O48" i="15" s="1"/>
  <c r="BS32" i="20"/>
  <c r="BT32" i="20" s="1"/>
  <c r="AF27" i="20"/>
  <c r="BS22" i="20"/>
  <c r="BT22" i="20" s="1"/>
  <c r="CH45" i="20"/>
  <c r="CN45" i="20"/>
  <c r="CK45" i="20"/>
  <c r="CO45" i="20"/>
  <c r="CJ45" i="20"/>
  <c r="CM45" i="20"/>
  <c r="CI45" i="20"/>
  <c r="CG45" i="20"/>
  <c r="CL45" i="20"/>
  <c r="CF45" i="20"/>
  <c r="CE45" i="20"/>
  <c r="CD45" i="20"/>
  <c r="CC45" i="20"/>
  <c r="CB45" i="20"/>
  <c r="CA45" i="20"/>
  <c r="BZ45" i="20"/>
  <c r="BY45" i="20"/>
  <c r="BX45" i="20"/>
  <c r="BW45" i="20"/>
  <c r="BV45" i="20"/>
  <c r="AD15" i="20"/>
  <c r="BS30" i="20"/>
  <c r="BT30" i="20" s="1"/>
  <c r="AF25" i="20"/>
  <c r="BV19" i="4"/>
  <c r="BW19" i="4" s="1"/>
  <c r="BY19" i="4" s="1"/>
  <c r="CG34" i="20"/>
  <c r="CO34" i="20"/>
  <c r="CK34" i="20"/>
  <c r="CN34" i="20"/>
  <c r="CJ34" i="20"/>
  <c r="CM34" i="20"/>
  <c r="CI34" i="20"/>
  <c r="CF34" i="20"/>
  <c r="CL34" i="20"/>
  <c r="CH34" i="20"/>
  <c r="CE34" i="20"/>
  <c r="CD34" i="20"/>
  <c r="CC34" i="20"/>
  <c r="CB34" i="20"/>
  <c r="CA34" i="20"/>
  <c r="BZ34" i="20"/>
  <c r="BY34" i="20"/>
  <c r="BX34" i="20"/>
  <c r="BW34" i="20"/>
  <c r="BV34" i="20"/>
  <c r="BS29" i="20"/>
  <c r="BT29" i="20" s="1"/>
  <c r="AF24" i="20"/>
  <c r="BS25" i="20"/>
  <c r="BT25" i="20" s="1"/>
  <c r="AF20" i="20"/>
  <c r="BS24" i="20"/>
  <c r="BT24" i="20" s="1"/>
  <c r="AF19" i="20"/>
  <c r="O9" i="12" s="1"/>
  <c r="CH35" i="20"/>
  <c r="CO35" i="20"/>
  <c r="CK35" i="20"/>
  <c r="CN35" i="20"/>
  <c r="CJ35" i="20"/>
  <c r="CG35" i="20"/>
  <c r="CM35" i="20"/>
  <c r="CI35" i="20"/>
  <c r="CL35" i="20"/>
  <c r="CF35" i="20"/>
  <c r="CE35" i="20"/>
  <c r="CD35" i="20"/>
  <c r="CC35" i="20"/>
  <c r="CB35" i="20"/>
  <c r="CA35" i="20"/>
  <c r="BZ35" i="20"/>
  <c r="BY35" i="20"/>
  <c r="BX35" i="20"/>
  <c r="BW35" i="20"/>
  <c r="BV35" i="20"/>
  <c r="R5" i="12"/>
  <c r="R4" i="12"/>
  <c r="R7" i="12"/>
  <c r="P56" i="15"/>
  <c r="R56" i="15"/>
  <c r="R53" i="15"/>
  <c r="S10" i="12"/>
  <c r="S11" i="12"/>
  <c r="L10" i="12"/>
  <c r="L6" i="12"/>
  <c r="O55" i="15"/>
  <c r="O11" i="12"/>
  <c r="L11" i="12"/>
  <c r="P52" i="15"/>
  <c r="O54" i="15"/>
  <c r="R52" i="15"/>
  <c r="S8" i="12"/>
  <c r="R48" i="15"/>
  <c r="S4" i="12"/>
  <c r="R49" i="15"/>
  <c r="S5" i="12"/>
  <c r="R50" i="15"/>
  <c r="S6" i="12"/>
  <c r="N9" i="12"/>
  <c r="O50" i="15"/>
  <c r="L7" i="12"/>
  <c r="O51" i="15"/>
  <c r="P49" i="15"/>
  <c r="N5" i="12"/>
  <c r="Q48" i="15"/>
  <c r="Q51" i="15"/>
  <c r="Q49" i="15"/>
  <c r="AI6" i="5"/>
  <c r="AH7" i="5" s="1"/>
  <c r="D21" i="19" l="1"/>
  <c r="AL36" i="4"/>
  <c r="AO36" i="4" s="1"/>
  <c r="AA36" i="4"/>
  <c r="AP36" i="4"/>
  <c r="AL35" i="4"/>
  <c r="AP59" i="4"/>
  <c r="AA59" i="4"/>
  <c r="AL59" i="4"/>
  <c r="AO59" i="4" s="1"/>
  <c r="AL56" i="4"/>
  <c r="W45" i="4"/>
  <c r="L4" i="12"/>
  <c r="P51" i="15"/>
  <c r="N7" i="12"/>
  <c r="BV24" i="20"/>
  <c r="CL24" i="20"/>
  <c r="CO24" i="20"/>
  <c r="CK24" i="20"/>
  <c r="CJ24" i="20"/>
  <c r="CN24" i="20"/>
  <c r="CM24" i="20"/>
  <c r="CI24" i="20"/>
  <c r="CH24" i="20"/>
  <c r="CG24" i="20"/>
  <c r="CF24" i="20"/>
  <c r="CE24" i="20"/>
  <c r="CD24" i="20"/>
  <c r="CC24" i="20"/>
  <c r="CB24" i="20"/>
  <c r="CA24" i="20"/>
  <c r="BZ24" i="20"/>
  <c r="BY24" i="20"/>
  <c r="BX24" i="20"/>
  <c r="BW24" i="20"/>
  <c r="CN29" i="20"/>
  <c r="CK29" i="20"/>
  <c r="CJ29" i="20"/>
  <c r="CO29" i="20"/>
  <c r="CM29" i="20"/>
  <c r="CI29" i="20"/>
  <c r="BV29" i="20"/>
  <c r="CL29" i="20"/>
  <c r="CH29" i="20"/>
  <c r="CG29" i="20"/>
  <c r="CF29" i="20"/>
  <c r="CE29" i="20"/>
  <c r="CD29" i="20"/>
  <c r="CC29" i="20"/>
  <c r="CB29" i="20"/>
  <c r="CA29" i="20"/>
  <c r="BZ29" i="20"/>
  <c r="BY29" i="20"/>
  <c r="BX29" i="20"/>
  <c r="BW29" i="20"/>
  <c r="CO30" i="20"/>
  <c r="CK30" i="20"/>
  <c r="CN30" i="20"/>
  <c r="CI30" i="20"/>
  <c r="CM30" i="20"/>
  <c r="CJ30" i="20"/>
  <c r="BV30" i="20"/>
  <c r="CL30" i="20"/>
  <c r="CH30" i="20"/>
  <c r="CG30" i="20"/>
  <c r="CF30" i="20"/>
  <c r="CE30" i="20"/>
  <c r="CD30" i="20"/>
  <c r="CC30" i="20"/>
  <c r="CB30" i="20"/>
  <c r="CA30" i="20"/>
  <c r="BZ30" i="20"/>
  <c r="BY30" i="20"/>
  <c r="BX30" i="20"/>
  <c r="BW30" i="20"/>
  <c r="BS19" i="20"/>
  <c r="BT19" i="20" s="1"/>
  <c r="AF14" i="20"/>
  <c r="B17" i="20"/>
  <c r="E17" i="20" s="1"/>
  <c r="CM31" i="20"/>
  <c r="CO31" i="20"/>
  <c r="CL31" i="20"/>
  <c r="BV31" i="20"/>
  <c r="CK31" i="20"/>
  <c r="CJ31" i="20"/>
  <c r="CI31" i="20"/>
  <c r="CN31" i="20"/>
  <c r="CH31" i="20"/>
  <c r="CG31" i="20"/>
  <c r="CF31" i="20"/>
  <c r="CE31" i="20"/>
  <c r="CD31" i="20"/>
  <c r="CC31" i="20"/>
  <c r="CB31" i="20"/>
  <c r="CA31" i="20"/>
  <c r="BZ31" i="20"/>
  <c r="BY31" i="20"/>
  <c r="BX31" i="20"/>
  <c r="BW31" i="20"/>
  <c r="BS23" i="20"/>
  <c r="BT23" i="20" s="1"/>
  <c r="O52" i="15"/>
  <c r="L8" i="12"/>
  <c r="CJ27" i="20"/>
  <c r="CM27" i="20"/>
  <c r="CO27" i="20"/>
  <c r="CL27" i="20"/>
  <c r="CI27" i="20"/>
  <c r="BV27" i="20"/>
  <c r="CK27" i="20"/>
  <c r="CN27" i="20"/>
  <c r="CH27" i="20"/>
  <c r="CG27" i="20"/>
  <c r="CF27" i="20"/>
  <c r="CE27" i="20"/>
  <c r="CD27" i="20"/>
  <c r="CC27" i="20"/>
  <c r="CB27" i="20"/>
  <c r="CA27" i="20"/>
  <c r="BZ27" i="20"/>
  <c r="BY27" i="20"/>
  <c r="BX27" i="20"/>
  <c r="BW27" i="20"/>
  <c r="BS20" i="20"/>
  <c r="BT20" i="20" s="1"/>
  <c r="AF15" i="20"/>
  <c r="L5" i="12"/>
  <c r="O49" i="15"/>
  <c r="CJ32" i="20"/>
  <c r="CO32" i="20"/>
  <c r="CK32" i="20"/>
  <c r="CN32" i="20"/>
  <c r="CM32" i="20"/>
  <c r="BV32" i="20"/>
  <c r="CL32" i="20"/>
  <c r="CI32" i="20"/>
  <c r="CH32" i="20"/>
  <c r="CG32" i="20"/>
  <c r="CF32" i="20"/>
  <c r="CE32" i="20"/>
  <c r="CD32" i="20"/>
  <c r="CC32" i="20"/>
  <c r="CB32" i="20"/>
  <c r="CA32" i="20"/>
  <c r="BZ32" i="20"/>
  <c r="BY32" i="20"/>
  <c r="BX32" i="20"/>
  <c r="BW32" i="20"/>
  <c r="CG36" i="20"/>
  <c r="CO36" i="20"/>
  <c r="CK36" i="20"/>
  <c r="CN36" i="20"/>
  <c r="CJ36" i="20"/>
  <c r="CM36" i="20"/>
  <c r="CI36" i="20"/>
  <c r="CF36" i="20"/>
  <c r="CL36" i="20"/>
  <c r="CH36" i="20"/>
  <c r="CE36" i="20"/>
  <c r="CD36" i="20"/>
  <c r="CC36" i="20"/>
  <c r="CB36" i="20"/>
  <c r="CA36" i="20"/>
  <c r="BZ36" i="20"/>
  <c r="BY36" i="20"/>
  <c r="BX36" i="20"/>
  <c r="BW36" i="20"/>
  <c r="BV36" i="20"/>
  <c r="CJ33" i="20"/>
  <c r="CM33" i="20"/>
  <c r="CN33" i="20"/>
  <c r="CL33" i="20"/>
  <c r="CO33" i="20"/>
  <c r="CK33" i="20"/>
  <c r="BV33" i="20"/>
  <c r="CI33" i="20"/>
  <c r="CH33" i="20"/>
  <c r="CG33" i="20"/>
  <c r="CF33" i="20"/>
  <c r="CE33" i="20"/>
  <c r="CD33" i="20"/>
  <c r="CC33" i="20"/>
  <c r="CB33" i="20"/>
  <c r="CA33" i="20"/>
  <c r="BZ33" i="20"/>
  <c r="BY33" i="20"/>
  <c r="BX33" i="20"/>
  <c r="BW33" i="20"/>
  <c r="BV25" i="20"/>
  <c r="CK25" i="20"/>
  <c r="CI25" i="20"/>
  <c r="CN25" i="20"/>
  <c r="CJ25" i="20"/>
  <c r="CM25" i="20"/>
  <c r="CO25" i="20"/>
  <c r="CL25" i="20"/>
  <c r="CH25" i="20"/>
  <c r="CG25" i="20"/>
  <c r="CF25" i="20"/>
  <c r="CE25" i="20"/>
  <c r="CD25" i="20"/>
  <c r="CC25" i="20"/>
  <c r="CB25" i="20"/>
  <c r="CA25" i="20"/>
  <c r="BZ25" i="20"/>
  <c r="BY25" i="20"/>
  <c r="BX25" i="20"/>
  <c r="BW25" i="20"/>
  <c r="AX19" i="20"/>
  <c r="CG39" i="20"/>
  <c r="CO39" i="20"/>
  <c r="CK39" i="20"/>
  <c r="CN39" i="20"/>
  <c r="CJ39" i="20"/>
  <c r="CM39" i="20"/>
  <c r="CI39" i="20"/>
  <c r="CL39" i="20"/>
  <c r="CH39" i="20"/>
  <c r="CF39" i="20"/>
  <c r="CE39" i="20"/>
  <c r="CD39" i="20"/>
  <c r="CC39" i="20"/>
  <c r="CB39" i="20"/>
  <c r="CA39" i="20"/>
  <c r="BZ39" i="20"/>
  <c r="BY39" i="20"/>
  <c r="BX39" i="20"/>
  <c r="BW39" i="20"/>
  <c r="BV39" i="20"/>
  <c r="CI21" i="20"/>
  <c r="CM21" i="20"/>
  <c r="CL21" i="20"/>
  <c r="CH21" i="20"/>
  <c r="CO21" i="20"/>
  <c r="CK21" i="20"/>
  <c r="CN21" i="20"/>
  <c r="CJ21" i="20"/>
  <c r="CG21" i="20"/>
  <c r="CF21" i="20"/>
  <c r="CE21" i="20"/>
  <c r="CD21" i="20"/>
  <c r="CC21" i="20"/>
  <c r="CB21" i="20"/>
  <c r="CA21" i="20"/>
  <c r="BZ21" i="20"/>
  <c r="BY21" i="20"/>
  <c r="BX21" i="20"/>
  <c r="BW21" i="20"/>
  <c r="BV21" i="20"/>
  <c r="CJ26" i="20"/>
  <c r="CM26" i="20"/>
  <c r="BV26" i="20"/>
  <c r="CL26" i="20"/>
  <c r="CO26" i="20"/>
  <c r="CK26" i="20"/>
  <c r="CI26" i="20"/>
  <c r="CN26" i="20"/>
  <c r="CH26" i="20"/>
  <c r="CG26" i="20"/>
  <c r="CF26" i="20"/>
  <c r="CE26" i="20"/>
  <c r="CD26" i="20"/>
  <c r="CC26" i="20"/>
  <c r="CB26" i="20"/>
  <c r="CA26" i="20"/>
  <c r="BZ26" i="20"/>
  <c r="BY26" i="20"/>
  <c r="BX26" i="20"/>
  <c r="BW26" i="20"/>
  <c r="CM22" i="20"/>
  <c r="CL22" i="20"/>
  <c r="CI22" i="20"/>
  <c r="CO22" i="20"/>
  <c r="CK22" i="20"/>
  <c r="CN22" i="20"/>
  <c r="CJ22" i="20"/>
  <c r="CH22" i="20"/>
  <c r="CG22" i="20"/>
  <c r="CF22" i="20"/>
  <c r="CE22" i="20"/>
  <c r="CD22" i="20"/>
  <c r="CC22" i="20"/>
  <c r="CB22" i="20"/>
  <c r="CA22" i="20"/>
  <c r="BZ22" i="20"/>
  <c r="BY22" i="20"/>
  <c r="BX22" i="20"/>
  <c r="BW22" i="20"/>
  <c r="BV22" i="20"/>
  <c r="CJ28" i="20"/>
  <c r="CN28" i="20"/>
  <c r="CK28" i="20"/>
  <c r="CI28" i="20"/>
  <c r="CO28" i="20"/>
  <c r="CM28" i="20"/>
  <c r="BV28" i="20"/>
  <c r="CL28" i="20"/>
  <c r="CH28" i="20"/>
  <c r="CG28" i="20"/>
  <c r="CF28" i="20"/>
  <c r="CE28" i="20"/>
  <c r="CD28" i="20"/>
  <c r="CC28" i="20"/>
  <c r="CB28" i="20"/>
  <c r="CA28" i="20"/>
  <c r="BZ28" i="20"/>
  <c r="BY28" i="20"/>
  <c r="BX28" i="20"/>
  <c r="BW28" i="20"/>
  <c r="CG40" i="20"/>
  <c r="CN40" i="20"/>
  <c r="CK40" i="20"/>
  <c r="CO40" i="20"/>
  <c r="CJ40" i="20"/>
  <c r="CF40" i="20"/>
  <c r="CM40" i="20"/>
  <c r="CI40" i="20"/>
  <c r="CL40" i="20"/>
  <c r="CH40" i="20"/>
  <c r="CE40" i="20"/>
  <c r="CD40" i="20"/>
  <c r="CC40" i="20"/>
  <c r="CB40" i="20"/>
  <c r="CA40" i="20"/>
  <c r="BZ40" i="20"/>
  <c r="BY40" i="20"/>
  <c r="BX40" i="20"/>
  <c r="BW40" i="20"/>
  <c r="BV40" i="20"/>
  <c r="AI7" i="5"/>
  <c r="AH8" i="5" s="1"/>
  <c r="AJ45" i="4" l="1"/>
  <c r="Z45" i="4"/>
  <c r="Y45" i="4"/>
  <c r="X52" i="4"/>
  <c r="V52" i="4" s="1"/>
  <c r="X47" i="4"/>
  <c r="AZ59" i="4"/>
  <c r="AN59" i="4"/>
  <c r="AL18" i="20"/>
  <c r="AF16" i="20"/>
  <c r="AZ36" i="4"/>
  <c r="AN36" i="4"/>
  <c r="BV21" i="4"/>
  <c r="BW21" i="4" s="1"/>
  <c r="BY21" i="4" s="1"/>
  <c r="CO19" i="20"/>
  <c r="CK19" i="20"/>
  <c r="CN19" i="20"/>
  <c r="CJ19" i="20"/>
  <c r="CM19" i="20"/>
  <c r="CI19" i="20"/>
  <c r="CH19" i="20"/>
  <c r="CL19" i="20"/>
  <c r="CG19" i="20"/>
  <c r="CF19" i="20"/>
  <c r="CE19" i="20"/>
  <c r="CD19" i="20"/>
  <c r="CC19" i="20"/>
  <c r="CB19" i="20"/>
  <c r="CA19" i="20"/>
  <c r="BZ19" i="20"/>
  <c r="BY19" i="20"/>
  <c r="BX19" i="20"/>
  <c r="BW19" i="20"/>
  <c r="BV19" i="20"/>
  <c r="AF17" i="20"/>
  <c r="AL16" i="20"/>
  <c r="CI20" i="20"/>
  <c r="CL20" i="20"/>
  <c r="CN20" i="20"/>
  <c r="CK20" i="20"/>
  <c r="CO20" i="20"/>
  <c r="CJ20" i="20"/>
  <c r="CH20" i="20"/>
  <c r="CM20" i="20"/>
  <c r="CG20" i="20"/>
  <c r="CF20" i="20"/>
  <c r="CE20" i="20"/>
  <c r="CD20" i="20"/>
  <c r="CC20" i="20"/>
  <c r="CB20" i="20"/>
  <c r="CA20" i="20"/>
  <c r="BZ20" i="20"/>
  <c r="BY20" i="20"/>
  <c r="BX20" i="20"/>
  <c r="BW20" i="20"/>
  <c r="BV20" i="20"/>
  <c r="CI23" i="20"/>
  <c r="CN23" i="20"/>
  <c r="CJ23" i="20"/>
  <c r="CM23" i="20"/>
  <c r="CH23" i="20"/>
  <c r="CL23" i="20"/>
  <c r="CO23" i="20"/>
  <c r="CK23" i="20"/>
  <c r="CG23" i="20"/>
  <c r="CF23" i="20"/>
  <c r="CE23" i="20"/>
  <c r="CD23" i="20"/>
  <c r="CC23" i="20"/>
  <c r="CB23" i="20"/>
  <c r="CA23" i="20"/>
  <c r="BZ23" i="20"/>
  <c r="BY23" i="20"/>
  <c r="BX23" i="20"/>
  <c r="BW23" i="20"/>
  <c r="BV23" i="20"/>
  <c r="AI8" i="5"/>
  <c r="W13" i="15"/>
  <c r="AI36" i="4" l="1"/>
  <c r="AT36" i="4"/>
  <c r="AT59" i="4"/>
  <c r="AI59" i="4"/>
  <c r="W52" i="4"/>
  <c r="E21" i="19"/>
  <c r="AP45" i="4"/>
  <c r="AL41" i="4"/>
  <c r="AA45" i="4"/>
  <c r="AL45" i="4"/>
  <c r="AO45" i="4" s="1"/>
  <c r="AL43" i="4"/>
  <c r="BX18" i="20"/>
  <c r="CB18" i="20"/>
  <c r="CF18" i="20"/>
  <c r="CI18" i="20"/>
  <c r="CK18" i="20"/>
  <c r="BY18" i="20"/>
  <c r="CC18" i="20"/>
  <c r="CG18" i="20"/>
  <c r="CM18" i="20"/>
  <c r="CO18" i="20"/>
  <c r="BV18" i="20"/>
  <c r="BV17" i="20" s="1"/>
  <c r="BZ18" i="20"/>
  <c r="CD18" i="20"/>
  <c r="CL18" i="20"/>
  <c r="CJ18" i="20"/>
  <c r="AX21" i="20"/>
  <c r="BW18" i="20"/>
  <c r="CA18" i="20"/>
  <c r="CE18" i="20"/>
  <c r="CH18" i="20"/>
  <c r="CN18" i="20"/>
  <c r="W14" i="15"/>
  <c r="X13" i="15"/>
  <c r="W12" i="15"/>
  <c r="AZ45" i="4" l="1"/>
  <c r="AN45" i="4"/>
  <c r="AJ52" i="4"/>
  <c r="Y52" i="4"/>
  <c r="Z52" i="4"/>
  <c r="X53" i="4"/>
  <c r="X58" i="4"/>
  <c r="V58" i="4" s="1"/>
  <c r="AL20" i="20"/>
  <c r="AF18" i="20"/>
  <c r="BW17" i="20"/>
  <c r="BX17" i="20" s="1"/>
  <c r="BY17" i="20" s="1"/>
  <c r="BZ17" i="20" s="1"/>
  <c r="CA17" i="20" s="1"/>
  <c r="CB17" i="20" s="1"/>
  <c r="CC17" i="20" s="1"/>
  <c r="CD17" i="20" s="1"/>
  <c r="CE17" i="20" s="1"/>
  <c r="CF17" i="20" s="1"/>
  <c r="CG17" i="20" s="1"/>
  <c r="CH17" i="20" s="1"/>
  <c r="CI17" i="20" s="1"/>
  <c r="CJ17" i="20" s="1"/>
  <c r="CK17" i="20" s="1"/>
  <c r="CL17" i="20" s="1"/>
  <c r="CM17" i="20" s="1"/>
  <c r="CN17" i="20" s="1"/>
  <c r="W15" i="15"/>
  <c r="X14" i="15"/>
  <c r="AI45" i="4" l="1"/>
  <c r="AT45" i="4"/>
  <c r="D14" i="20"/>
  <c r="C14" i="20"/>
  <c r="W58" i="4"/>
  <c r="AP52" i="4"/>
  <c r="AL52" i="4"/>
  <c r="AO52" i="4" s="1"/>
  <c r="AL47" i="4"/>
  <c r="AA52" i="4"/>
  <c r="W16" i="15"/>
  <c r="X15" i="15"/>
  <c r="B14" i="20" l="1"/>
  <c r="E14" i="20" s="1"/>
  <c r="AZ52" i="4"/>
  <c r="AN52" i="4"/>
  <c r="AJ58" i="4"/>
  <c r="Z58" i="4"/>
  <c r="Y58" i="4"/>
  <c r="BV18" i="4"/>
  <c r="BW18" i="4" s="1"/>
  <c r="BY18" i="4" s="1"/>
  <c r="X60" i="4"/>
  <c r="X16" i="15"/>
  <c r="W17" i="15"/>
  <c r="AB17" i="15" s="1"/>
  <c r="D30" i="19" l="1"/>
  <c r="AP58" i="4"/>
  <c r="AA58" i="4"/>
  <c r="AL58" i="4"/>
  <c r="AO58" i="4" s="1"/>
  <c r="AL53" i="4"/>
  <c r="AI52" i="4"/>
  <c r="AT52" i="4"/>
  <c r="W18" i="15"/>
  <c r="AB18" i="15" s="1"/>
  <c r="X17" i="15"/>
  <c r="AZ58" i="4" l="1"/>
  <c r="AN58" i="4"/>
  <c r="W19" i="15"/>
  <c r="AB19" i="15" s="1"/>
  <c r="X18" i="15"/>
  <c r="AI58" i="4" l="1"/>
  <c r="AT58" i="4"/>
  <c r="BJ47" i="4"/>
  <c r="BM47" i="4" s="1"/>
  <c r="BJ49" i="4"/>
  <c r="BM49" i="4" s="1"/>
  <c r="BJ59" i="4"/>
  <c r="BM59" i="4" s="1"/>
  <c r="BJ62" i="4"/>
  <c r="BM62" i="4" s="1"/>
  <c r="BJ27" i="4"/>
  <c r="BJ60" i="4"/>
  <c r="BM60" i="4" s="1"/>
  <c r="BJ17" i="4"/>
  <c r="BJ41" i="4"/>
  <c r="BM41" i="4" s="1"/>
  <c r="BJ51" i="4"/>
  <c r="BM51" i="4" s="1"/>
  <c r="BJ63" i="4"/>
  <c r="BM63" i="4" s="1"/>
  <c r="BJ42" i="4"/>
  <c r="BM42" i="4" s="1"/>
  <c r="BJ57" i="4"/>
  <c r="BM57" i="4" s="1"/>
  <c r="BJ46" i="4"/>
  <c r="BM46" i="4" s="1"/>
  <c r="BJ52" i="4"/>
  <c r="BM52" i="4" s="1"/>
  <c r="BJ58" i="4"/>
  <c r="BM58" i="4" s="1"/>
  <c r="BJ33" i="4"/>
  <c r="BJ19" i="4"/>
  <c r="BJ24" i="4"/>
  <c r="BJ38" i="4"/>
  <c r="BM38" i="4" s="1"/>
  <c r="BJ44" i="4"/>
  <c r="BM44" i="4" s="1"/>
  <c r="BJ35" i="4"/>
  <c r="BJ30" i="4"/>
  <c r="BJ61" i="4"/>
  <c r="BM61" i="4" s="1"/>
  <c r="BJ40" i="4"/>
  <c r="BM40" i="4" s="1"/>
  <c r="BJ18" i="4"/>
  <c r="BJ28" i="4"/>
  <c r="BJ25" i="4"/>
  <c r="BJ16" i="4"/>
  <c r="BJ43" i="4"/>
  <c r="BM43" i="4" s="1"/>
  <c r="BJ29" i="4"/>
  <c r="BJ31" i="4"/>
  <c r="BJ45" i="4"/>
  <c r="BM45" i="4" s="1"/>
  <c r="BJ56" i="4"/>
  <c r="BM56" i="4" s="1"/>
  <c r="BJ64" i="4"/>
  <c r="BM64" i="4" s="1"/>
  <c r="BJ48" i="4"/>
  <c r="BM48" i="4" s="1"/>
  <c r="BJ20" i="4"/>
  <c r="BJ53" i="4"/>
  <c r="BM53" i="4" s="1"/>
  <c r="BJ54" i="4"/>
  <c r="BM54" i="4" s="1"/>
  <c r="BJ23" i="4"/>
  <c r="BJ39" i="4"/>
  <c r="BM39" i="4" s="1"/>
  <c r="BJ21" i="4"/>
  <c r="BJ34" i="4"/>
  <c r="BJ36" i="4"/>
  <c r="BM36" i="4" s="1"/>
  <c r="BJ55" i="4"/>
  <c r="BM55" i="4" s="1"/>
  <c r="BJ50" i="4"/>
  <c r="BM50" i="4" s="1"/>
  <c r="BJ37" i="4"/>
  <c r="BM37" i="4" s="1"/>
  <c r="BJ32" i="4"/>
  <c r="BJ26" i="4"/>
  <c r="BJ22" i="4"/>
  <c r="W20" i="15"/>
  <c r="X19" i="15"/>
  <c r="X20" i="15" l="1"/>
  <c r="W21" i="15"/>
  <c r="G1" i="4"/>
  <c r="W22" i="15" l="1"/>
  <c r="X21" i="15"/>
  <c r="W23" i="15" l="1"/>
  <c r="X22" i="15"/>
  <c r="L15" i="8"/>
  <c r="X23" i="15" l="1"/>
  <c r="W24" i="15"/>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W25" i="15" l="1"/>
  <c r="AB25" i="15" s="1"/>
  <c r="X24" i="15"/>
  <c r="O47" i="15"/>
  <c r="Q47" i="15"/>
  <c r="X25" i="15" l="1"/>
  <c r="AK3" i="12" l="1"/>
  <c r="AK4" i="12"/>
  <c r="AK5" i="12"/>
  <c r="AK6" i="12"/>
  <c r="AK7" i="12"/>
  <c r="AK8" i="12"/>
  <c r="AK9" i="12"/>
  <c r="AK2" i="12"/>
  <c r="AJ3" i="12"/>
  <c r="AJ4" i="12"/>
  <c r="AJ5" i="12"/>
  <c r="AJ6" i="12"/>
  <c r="AJ7" i="12"/>
  <c r="AJ8" i="12"/>
  <c r="AJ9" i="12"/>
  <c r="C16" i="9" l="1"/>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L16" i="8"/>
  <c r="H16" i="8"/>
  <c r="C16" i="8"/>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C51" i="8" s="1"/>
  <c r="C52" i="8" s="1"/>
  <c r="C53" i="8" s="1"/>
  <c r="C54" i="8" s="1"/>
  <c r="C55" i="8" s="1"/>
  <c r="C56" i="8" s="1"/>
  <c r="C57" i="8" s="1"/>
  <c r="C58" i="8" s="1"/>
  <c r="C59" i="8" s="1"/>
  <c r="C60" i="8" s="1"/>
  <c r="C61" i="8" s="1"/>
  <c r="C62" i="8" s="1"/>
  <c r="C63" i="8" s="1"/>
  <c r="C64" i="8" s="1"/>
  <c r="C65" i="8" s="1"/>
  <c r="C66" i="8" s="1"/>
  <c r="C67" i="8" s="1"/>
  <c r="C68" i="8" s="1"/>
  <c r="C69" i="8" s="1"/>
  <c r="C70" i="8" s="1"/>
  <c r="C71" i="8" s="1"/>
  <c r="C72" i="8" s="1"/>
  <c r="C73" i="8" s="1"/>
  <c r="C74" i="8" s="1"/>
  <c r="C75" i="8" s="1"/>
  <c r="C76" i="8" s="1"/>
  <c r="C77" i="8" s="1"/>
  <c r="C78" i="8" s="1"/>
  <c r="C79" i="8" s="1"/>
  <c r="C80" i="8" s="1"/>
  <c r="C81" i="8" s="1"/>
  <c r="C82" i="8" s="1"/>
  <c r="C83" i="8" s="1"/>
  <c r="C84" i="8" s="1"/>
  <c r="C85" i="8" s="1"/>
  <c r="C86" i="8" s="1"/>
  <c r="C87" i="8" s="1"/>
  <c r="C88" i="8" s="1"/>
  <c r="C89" i="8" s="1"/>
  <c r="C90" i="8" s="1"/>
  <c r="C91" i="8" s="1"/>
  <c r="C92" i="8" s="1"/>
  <c r="C93" i="8" s="1"/>
  <c r="C94" i="8" s="1"/>
  <c r="C95" i="8" s="1"/>
  <c r="C96" i="8" s="1"/>
  <c r="C97" i="8" s="1"/>
  <c r="C98" i="8" s="1"/>
  <c r="C99" i="8" s="1"/>
  <c r="C100" i="8" s="1"/>
  <c r="C101" i="8" s="1"/>
  <c r="C102" i="8" s="1"/>
  <c r="C103" i="8" s="1"/>
  <c r="C104" i="8" s="1"/>
  <c r="C105" i="8" s="1"/>
  <c r="C106" i="8" s="1"/>
  <c r="C107" i="8" s="1"/>
  <c r="C108" i="8" s="1"/>
  <c r="C109" i="8" s="1"/>
  <c r="C110" i="8" s="1"/>
  <c r="C111" i="8" s="1"/>
  <c r="C112" i="8" s="1"/>
  <c r="C113" i="8" s="1"/>
  <c r="C114" i="8" s="1"/>
  <c r="H15" i="8"/>
  <c r="E21" i="7" s="1"/>
  <c r="AV14" i="4" s="1"/>
  <c r="C24" i="7"/>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16" i="5"/>
  <c r="W9" i="15"/>
  <c r="D13" i="13"/>
  <c r="AV55" i="4" l="1"/>
  <c r="AV61" i="4"/>
  <c r="C17" i="5"/>
  <c r="C17" i="9"/>
  <c r="S16" i="9"/>
  <c r="T16" i="9" s="1"/>
  <c r="B21" i="7"/>
  <c r="J7" i="8"/>
  <c r="X1" i="12"/>
  <c r="M17" i="8"/>
  <c r="M18" i="8"/>
  <c r="J6" i="8"/>
  <c r="E1" i="4"/>
  <c r="W4" i="7"/>
  <c r="C18" i="5" l="1"/>
  <c r="F8" i="8"/>
  <c r="W22" i="7"/>
  <c r="N7" i="8"/>
  <c r="I7" i="9"/>
  <c r="G7" i="9"/>
  <c r="H7" i="9" s="1"/>
  <c r="C18" i="9"/>
  <c r="S17" i="9"/>
  <c r="T17" i="9" s="1"/>
  <c r="AH1" i="15"/>
  <c r="AC1" i="15"/>
  <c r="F1" i="4"/>
  <c r="D21" i="7"/>
  <c r="X20" i="7" l="1"/>
  <c r="CP18" i="20"/>
  <c r="CO17" i="20" s="1"/>
  <c r="C19" i="5"/>
  <c r="I5" i="8"/>
  <c r="J5" i="8" s="1"/>
  <c r="N8" i="8"/>
  <c r="H5" i="8" s="1"/>
  <c r="G8" i="9"/>
  <c r="H8" i="9" s="1"/>
  <c r="I8" i="9"/>
  <c r="C19" i="9"/>
  <c r="S18" i="9"/>
  <c r="T18" i="9" s="1"/>
  <c r="D4" i="4"/>
  <c r="D7" i="4"/>
  <c r="AB38" i="15"/>
  <c r="AB37" i="15"/>
  <c r="AB41" i="15"/>
  <c r="AC41" i="15"/>
  <c r="AC37" i="15"/>
  <c r="AB40" i="15"/>
  <c r="AC44" i="15"/>
  <c r="AB42" i="15"/>
  <c r="AC42" i="15"/>
  <c r="AC43" i="15"/>
  <c r="AC40" i="15"/>
  <c r="AB39" i="15"/>
  <c r="AB43" i="15"/>
  <c r="AC39" i="15"/>
  <c r="AB44" i="15"/>
  <c r="D5" i="4"/>
  <c r="D6" i="4"/>
  <c r="D8" i="4"/>
  <c r="D9" i="4"/>
  <c r="C20" i="5" l="1"/>
  <c r="Q13" i="12"/>
  <c r="I9" i="9"/>
  <c r="G9" i="9"/>
  <c r="H9" i="9" s="1"/>
  <c r="C20" i="9"/>
  <c r="S19" i="9"/>
  <c r="T19" i="9" s="1"/>
  <c r="AB36" i="15"/>
  <c r="O57" i="15" s="1"/>
  <c r="X7" i="7"/>
  <c r="D48" i="7" s="1"/>
  <c r="W4" i="15"/>
  <c r="C21" i="5" l="1"/>
  <c r="I10" i="9"/>
  <c r="G10" i="9"/>
  <c r="H10" i="9" s="1"/>
  <c r="D22" i="7"/>
  <c r="D23" i="7"/>
  <c r="C21" i="9"/>
  <c r="S20" i="9"/>
  <c r="T20" i="9" s="1"/>
  <c r="AC38" i="15"/>
  <c r="AC36" i="15" s="1"/>
  <c r="Q57" i="15" s="1"/>
  <c r="AW15" i="4"/>
  <c r="AW16" i="4" s="1"/>
  <c r="AW17" i="4" s="1"/>
  <c r="AW18" i="4" s="1"/>
  <c r="A21" i="7"/>
  <c r="F21" i="7" s="1"/>
  <c r="W24" i="7"/>
  <c r="AW19" i="4" l="1"/>
  <c r="AW20" i="4" s="1"/>
  <c r="AR18" i="4"/>
  <c r="AD15" i="4"/>
  <c r="AC16" i="4"/>
  <c r="I22" i="7"/>
  <c r="Z22" i="7"/>
  <c r="I23" i="7"/>
  <c r="C22" i="5"/>
  <c r="K23" i="7"/>
  <c r="Z23" i="7"/>
  <c r="AS22" i="7"/>
  <c r="A22" i="7" s="1"/>
  <c r="D24" i="7"/>
  <c r="AN24" i="7"/>
  <c r="AT22" i="7"/>
  <c r="B22" i="7" s="1"/>
  <c r="AH22" i="7" s="1"/>
  <c r="AI22" i="7"/>
  <c r="C22" i="9"/>
  <c r="S21" i="9"/>
  <c r="T21" i="9" s="1"/>
  <c r="BK14" i="4"/>
  <c r="AY4" i="4"/>
  <c r="AX14" i="4"/>
  <c r="AS23" i="7"/>
  <c r="A23" i="7" s="1"/>
  <c r="AT23" i="7"/>
  <c r="B23" i="7" s="1"/>
  <c r="Y22" i="7"/>
  <c r="Y23" i="7"/>
  <c r="W25" i="7"/>
  <c r="AW21" i="4" l="1"/>
  <c r="AW22" i="4" s="1"/>
  <c r="AR20" i="4"/>
  <c r="AD16" i="4"/>
  <c r="AC17" i="4"/>
  <c r="I24" i="7"/>
  <c r="C23" i="5"/>
  <c r="K24" i="7"/>
  <c r="Z24" i="7"/>
  <c r="F22" i="7"/>
  <c r="I6" i="8"/>
  <c r="H6" i="8" s="1"/>
  <c r="D25" i="7"/>
  <c r="AN25" i="7"/>
  <c r="AP24" i="7"/>
  <c r="C23" i="9"/>
  <c r="S22" i="9"/>
  <c r="T22" i="9" s="1"/>
  <c r="AX15" i="4"/>
  <c r="AX16" i="4" s="1"/>
  <c r="AT24" i="7"/>
  <c r="B24" i="7" s="1"/>
  <c r="AS24" i="7"/>
  <c r="W26" i="7"/>
  <c r="AH23" i="7"/>
  <c r="AI23" i="7"/>
  <c r="AW23" i="4" l="1"/>
  <c r="AW24" i="4" s="1"/>
  <c r="AR22" i="4"/>
  <c r="BH16" i="4"/>
  <c r="BI16" i="4" s="1"/>
  <c r="AX17" i="4"/>
  <c r="AD17" i="4"/>
  <c r="AC18" i="4"/>
  <c r="I25" i="7"/>
  <c r="C24" i="5"/>
  <c r="K25" i="7"/>
  <c r="Z25" i="7"/>
  <c r="D26" i="7"/>
  <c r="AN26" i="7"/>
  <c r="AP25" i="7"/>
  <c r="C24" i="9"/>
  <c r="S23" i="9"/>
  <c r="T23" i="9" s="1"/>
  <c r="BH15" i="4"/>
  <c r="BI15" i="4" s="1"/>
  <c r="AY15" i="4"/>
  <c r="AY16" i="4" s="1"/>
  <c r="BA16" i="4" s="1"/>
  <c r="AS25" i="7"/>
  <c r="A25" i="7" s="1"/>
  <c r="AT25" i="7"/>
  <c r="B25" i="7" s="1"/>
  <c r="W27" i="7"/>
  <c r="AH24" i="7"/>
  <c r="AI24" i="7"/>
  <c r="Y24" i="7"/>
  <c r="AX18" i="4" l="1"/>
  <c r="AY17" i="4"/>
  <c r="BA17" i="4" s="1"/>
  <c r="BH17" i="4"/>
  <c r="BI17" i="4" s="1"/>
  <c r="AW25" i="4"/>
  <c r="AW26" i="4" s="1"/>
  <c r="AR24" i="4"/>
  <c r="AD18" i="4"/>
  <c r="AC19" i="4"/>
  <c r="I26" i="7"/>
  <c r="C25" i="5"/>
  <c r="K26" i="7"/>
  <c r="Z26" i="7"/>
  <c r="D27" i="7"/>
  <c r="AN27" i="7"/>
  <c r="AP26" i="7"/>
  <c r="C25" i="9"/>
  <c r="S24" i="9"/>
  <c r="T24" i="9" s="1"/>
  <c r="AT26" i="7"/>
  <c r="B26" i="7" s="1"/>
  <c r="AS26" i="7"/>
  <c r="A26" i="7" s="1"/>
  <c r="W28" i="7"/>
  <c r="AH25" i="7"/>
  <c r="AI25" i="7"/>
  <c r="Y25" i="7"/>
  <c r="AW27" i="4" l="1"/>
  <c r="AW28" i="4" s="1"/>
  <c r="AR26" i="4"/>
  <c r="AX19" i="4"/>
  <c r="BH19" i="4" s="1"/>
  <c r="AY18" i="4"/>
  <c r="BA18" i="4" s="1"/>
  <c r="BH18" i="4"/>
  <c r="BI18" i="4" s="1"/>
  <c r="AD19" i="4"/>
  <c r="AC20" i="4"/>
  <c r="I27" i="7"/>
  <c r="C26" i="5"/>
  <c r="K27" i="7"/>
  <c r="Z27" i="7"/>
  <c r="D28" i="7"/>
  <c r="AN28" i="7"/>
  <c r="AP27" i="7"/>
  <c r="C26" i="9"/>
  <c r="S25" i="9"/>
  <c r="T25" i="9" s="1"/>
  <c r="AS27" i="7"/>
  <c r="A27" i="7" s="1"/>
  <c r="AT27" i="7"/>
  <c r="B27" i="7" s="1"/>
  <c r="W29" i="7"/>
  <c r="AH26" i="7"/>
  <c r="AI26" i="7"/>
  <c r="Y26" i="7"/>
  <c r="BD18" i="4" l="1"/>
  <c r="BI19" i="4"/>
  <c r="AX20" i="4"/>
  <c r="BK16" i="4" s="1"/>
  <c r="AY19" i="4"/>
  <c r="BA19" i="4" s="1"/>
  <c r="AW29" i="4"/>
  <c r="AW30" i="4" s="1"/>
  <c r="AR28" i="4"/>
  <c r="AD20" i="4"/>
  <c r="AC21" i="4"/>
  <c r="I28" i="7"/>
  <c r="C27" i="5"/>
  <c r="K28" i="7"/>
  <c r="Z28" i="7"/>
  <c r="D29" i="7"/>
  <c r="AN29" i="7"/>
  <c r="AP28" i="7"/>
  <c r="C27" i="9"/>
  <c r="S26" i="9"/>
  <c r="T26" i="9" s="1"/>
  <c r="F27" i="7"/>
  <c r="AS28" i="7"/>
  <c r="A28" i="7" s="1"/>
  <c r="AT28" i="7"/>
  <c r="B28" i="7" s="1"/>
  <c r="W30" i="7"/>
  <c r="AH27" i="7"/>
  <c r="AI27" i="7"/>
  <c r="Y27" i="7"/>
  <c r="BH20" i="4" l="1"/>
  <c r="BI20" i="4" s="1"/>
  <c r="AW31" i="4"/>
  <c r="AW32" i="4" s="1"/>
  <c r="AR30" i="4"/>
  <c r="BD19" i="4"/>
  <c r="BE18" i="4"/>
  <c r="AY20" i="4"/>
  <c r="BA20" i="4" s="1"/>
  <c r="AX21" i="4"/>
  <c r="BH21" i="4" s="1"/>
  <c r="AD21" i="4"/>
  <c r="AC22" i="4"/>
  <c r="I29" i="7"/>
  <c r="C28" i="5"/>
  <c r="K29" i="7"/>
  <c r="Z29" i="7"/>
  <c r="AP29" i="7"/>
  <c r="D30" i="7"/>
  <c r="AN30" i="7"/>
  <c r="C28" i="9"/>
  <c r="S27" i="9"/>
  <c r="T27" i="9" s="1"/>
  <c r="AT29" i="7"/>
  <c r="B29" i="7" s="1"/>
  <c r="AS29" i="7"/>
  <c r="A29" i="7" s="1"/>
  <c r="F28" i="7"/>
  <c r="W31" i="7"/>
  <c r="AH28" i="7"/>
  <c r="AI28" i="7"/>
  <c r="Y28" i="7"/>
  <c r="BD20" i="4" l="1"/>
  <c r="BB20" i="4"/>
  <c r="BC20" i="4" s="1"/>
  <c r="BE19" i="4"/>
  <c r="AY21" i="4"/>
  <c r="BA21" i="4" s="1"/>
  <c r="BI21" i="4"/>
  <c r="AX22" i="4"/>
  <c r="BK17" i="4" s="1"/>
  <c r="AW33" i="4"/>
  <c r="AW34" i="4" s="1"/>
  <c r="AR32" i="4"/>
  <c r="AD22" i="4"/>
  <c r="AC23" i="4"/>
  <c r="I30" i="7"/>
  <c r="C29" i="5"/>
  <c r="K30" i="7"/>
  <c r="Z30" i="7"/>
  <c r="AP30" i="7"/>
  <c r="D31" i="7"/>
  <c r="AN31" i="7"/>
  <c r="C29" i="9"/>
  <c r="S28" i="9"/>
  <c r="T28" i="9" s="1"/>
  <c r="AT30" i="7"/>
  <c r="B30" i="7" s="1"/>
  <c r="AS30" i="7"/>
  <c r="A30" i="7" s="1"/>
  <c r="W32" i="7"/>
  <c r="AH29" i="7"/>
  <c r="AI29" i="7"/>
  <c r="Y29" i="7"/>
  <c r="BH22" i="4" l="1"/>
  <c r="BI22" i="4" s="1"/>
  <c r="AW35" i="4"/>
  <c r="AW36" i="4" s="1"/>
  <c r="AR34" i="4"/>
  <c r="AY22" i="4"/>
  <c r="BA22" i="4" s="1"/>
  <c r="AX23" i="4"/>
  <c r="BD21" i="4"/>
  <c r="BB21" i="4"/>
  <c r="BC21" i="4" s="1"/>
  <c r="BE20" i="4"/>
  <c r="BG20" i="4"/>
  <c r="AD23" i="4"/>
  <c r="AC24" i="4"/>
  <c r="I31" i="7"/>
  <c r="C30" i="5"/>
  <c r="K31" i="7"/>
  <c r="Z31" i="7"/>
  <c r="D32" i="7"/>
  <c r="AN32" i="7"/>
  <c r="AP31" i="7"/>
  <c r="C30" i="9"/>
  <c r="S29" i="9"/>
  <c r="T29" i="9" s="1"/>
  <c r="AS31" i="7"/>
  <c r="A31" i="7" s="1"/>
  <c r="AT31" i="7"/>
  <c r="B31" i="7" s="1"/>
  <c r="W33" i="7"/>
  <c r="AH30" i="7"/>
  <c r="AI30" i="7"/>
  <c r="Y30" i="7"/>
  <c r="BB22" i="4" l="1"/>
  <c r="BC22" i="4" s="1"/>
  <c r="BD22" i="4"/>
  <c r="BG21" i="4"/>
  <c r="BE21" i="4"/>
  <c r="AY23" i="4"/>
  <c r="BA23" i="4" s="1"/>
  <c r="AX24" i="4"/>
  <c r="BK18" i="4" s="1"/>
  <c r="BH23" i="4"/>
  <c r="BI23" i="4" s="1"/>
  <c r="AW37" i="4"/>
  <c r="AW38" i="4" s="1"/>
  <c r="AW39" i="4" s="1"/>
  <c r="AW40" i="4" s="1"/>
  <c r="AR36" i="4"/>
  <c r="AD24" i="4"/>
  <c r="AC25" i="4"/>
  <c r="I32" i="7"/>
  <c r="C31" i="5"/>
  <c r="K32" i="7"/>
  <c r="Z32" i="7"/>
  <c r="AP32" i="7"/>
  <c r="D33" i="7"/>
  <c r="AN33" i="7"/>
  <c r="C31" i="9"/>
  <c r="S30" i="9"/>
  <c r="T30" i="9" s="1"/>
  <c r="AS32" i="7"/>
  <c r="A32" i="7" s="1"/>
  <c r="AT32" i="7"/>
  <c r="B32" i="7" s="1"/>
  <c r="W34" i="7"/>
  <c r="AH31" i="7"/>
  <c r="AI31" i="7"/>
  <c r="Y31" i="7"/>
  <c r="AY24" i="4" l="1"/>
  <c r="BA24" i="4" s="1"/>
  <c r="AX25" i="4"/>
  <c r="BH24" i="4"/>
  <c r="BI24" i="4" s="1"/>
  <c r="AW41" i="4"/>
  <c r="AW42" i="4" s="1"/>
  <c r="AW43" i="4" s="1"/>
  <c r="AW44" i="4" s="1"/>
  <c r="AR40" i="4"/>
  <c r="BB23" i="4"/>
  <c r="BC23" i="4" s="1"/>
  <c r="BD23" i="4"/>
  <c r="BE22" i="4"/>
  <c r="BG22" i="4"/>
  <c r="AD25" i="4"/>
  <c r="AC26" i="4"/>
  <c r="I33" i="7"/>
  <c r="C32" i="5"/>
  <c r="K33" i="7"/>
  <c r="Z33" i="7"/>
  <c r="AP33" i="7"/>
  <c r="D34" i="7"/>
  <c r="AN34" i="7"/>
  <c r="AA9" i="7" s="1"/>
  <c r="S3" i="7" s="1"/>
  <c r="C32" i="9"/>
  <c r="S31" i="9"/>
  <c r="T31" i="9" s="1"/>
  <c r="AS33" i="7"/>
  <c r="A33" i="7" s="1"/>
  <c r="AT33" i="7"/>
  <c r="B33" i="7" s="1"/>
  <c r="W35" i="7"/>
  <c r="D35" i="7" s="1"/>
  <c r="AH32" i="7"/>
  <c r="AI32" i="7"/>
  <c r="Y32" i="7"/>
  <c r="AY25" i="4" l="1"/>
  <c r="BA25" i="4" s="1"/>
  <c r="AX26" i="4"/>
  <c r="BK19" i="4" s="1"/>
  <c r="BH25" i="4"/>
  <c r="BI25" i="4" s="1"/>
  <c r="AW45" i="4"/>
  <c r="AR44" i="4"/>
  <c r="BD24" i="4"/>
  <c r="BB24" i="4"/>
  <c r="BC24" i="4" s="1"/>
  <c r="BG23" i="4"/>
  <c r="BE23" i="4"/>
  <c r="AD26" i="4"/>
  <c r="AC27" i="4"/>
  <c r="I34" i="7"/>
  <c r="I35" i="7"/>
  <c r="C33" i="5"/>
  <c r="K35" i="7"/>
  <c r="K34" i="7"/>
  <c r="Z34" i="7"/>
  <c r="Z35" i="7"/>
  <c r="AP34" i="7"/>
  <c r="AA10" i="7" s="1"/>
  <c r="S4" i="7" s="1"/>
  <c r="C33" i="9"/>
  <c r="S32" i="9"/>
  <c r="T32" i="9" s="1"/>
  <c r="AT34" i="7"/>
  <c r="B34" i="7" s="1"/>
  <c r="AS34" i="7"/>
  <c r="A34" i="7" s="1"/>
  <c r="W36" i="7"/>
  <c r="D36" i="7" s="1"/>
  <c r="AH33" i="7"/>
  <c r="AI33" i="7"/>
  <c r="Y33" i="7"/>
  <c r="BE24" i="4" l="1"/>
  <c r="BG24" i="4"/>
  <c r="AX27" i="4"/>
  <c r="AY26" i="4"/>
  <c r="BA26" i="4" s="1"/>
  <c r="BH26" i="4"/>
  <c r="BI26" i="4" s="1"/>
  <c r="AW46" i="4"/>
  <c r="AR45" i="4"/>
  <c r="BD25" i="4"/>
  <c r="BB25" i="4"/>
  <c r="BC25" i="4" s="1"/>
  <c r="AD27" i="4"/>
  <c r="AC28" i="4"/>
  <c r="I36" i="7"/>
  <c r="C34" i="5"/>
  <c r="K36" i="7"/>
  <c r="Z36" i="7"/>
  <c r="C34" i="9"/>
  <c r="S33" i="9"/>
  <c r="T33" i="9" s="1"/>
  <c r="AS35" i="7"/>
  <c r="A35" i="7" s="1"/>
  <c r="AT35" i="7"/>
  <c r="B35" i="7" s="1"/>
  <c r="W37" i="7"/>
  <c r="D37" i="7" s="1"/>
  <c r="AH34" i="7"/>
  <c r="AI34" i="7"/>
  <c r="Y34" i="7"/>
  <c r="AW47" i="4" l="1"/>
  <c r="AW48" i="4" s="1"/>
  <c r="AW49" i="4" s="1"/>
  <c r="AW50" i="4" s="1"/>
  <c r="AR46" i="4"/>
  <c r="AY27" i="4"/>
  <c r="BA27" i="4" s="1"/>
  <c r="AX28" i="4"/>
  <c r="BK20" i="4" s="1"/>
  <c r="BH27" i="4"/>
  <c r="BI27" i="4" s="1"/>
  <c r="BG25" i="4"/>
  <c r="BE25" i="4"/>
  <c r="BB26" i="4"/>
  <c r="BC26" i="4" s="1"/>
  <c r="BD26" i="4"/>
  <c r="AD28" i="4"/>
  <c r="AC29" i="4"/>
  <c r="I37" i="7"/>
  <c r="C35" i="5"/>
  <c r="K37" i="7"/>
  <c r="Z37" i="7"/>
  <c r="C35" i="9"/>
  <c r="S34" i="9"/>
  <c r="T34" i="9" s="1"/>
  <c r="AS36" i="7"/>
  <c r="A36" i="7" s="1"/>
  <c r="AT36" i="7"/>
  <c r="B36" i="7" s="1"/>
  <c r="W38" i="7"/>
  <c r="D38" i="7" s="1"/>
  <c r="AH35" i="7"/>
  <c r="AI35" i="7"/>
  <c r="Y35" i="7"/>
  <c r="BE26" i="4" l="1"/>
  <c r="BG26" i="4"/>
  <c r="BB27" i="4"/>
  <c r="BC27" i="4" s="1"/>
  <c r="BD27" i="4"/>
  <c r="AX29" i="4"/>
  <c r="AY28" i="4"/>
  <c r="BA28" i="4" s="1"/>
  <c r="BH28" i="4"/>
  <c r="BI28" i="4" s="1"/>
  <c r="AW51" i="4"/>
  <c r="AR50" i="4"/>
  <c r="AD29" i="4"/>
  <c r="AC30" i="4"/>
  <c r="I38" i="7"/>
  <c r="C36" i="5"/>
  <c r="K38" i="7"/>
  <c r="Z38" i="7"/>
  <c r="C36" i="9"/>
  <c r="S35" i="9"/>
  <c r="T35" i="9" s="1"/>
  <c r="AS37" i="7"/>
  <c r="A37" i="7" s="1"/>
  <c r="AT37" i="7"/>
  <c r="B37" i="7" s="1"/>
  <c r="F36" i="7"/>
  <c r="W39" i="7"/>
  <c r="D39" i="7" s="1"/>
  <c r="AH36" i="7"/>
  <c r="AI36" i="7"/>
  <c r="Y36" i="7"/>
  <c r="BD28" i="4" l="1"/>
  <c r="BB28" i="4"/>
  <c r="BC28" i="4" s="1"/>
  <c r="AY29" i="4"/>
  <c r="BA29" i="4" s="1"/>
  <c r="AX30" i="4"/>
  <c r="BK21" i="4" s="1"/>
  <c r="BH29" i="4"/>
  <c r="BI29" i="4" s="1"/>
  <c r="AW52" i="4"/>
  <c r="AR51" i="4"/>
  <c r="BG27" i="4"/>
  <c r="BE27" i="4"/>
  <c r="AD30" i="4"/>
  <c r="AC31" i="4"/>
  <c r="I39" i="7"/>
  <c r="C37" i="5"/>
  <c r="K39" i="7"/>
  <c r="Z39" i="7"/>
  <c r="C37" i="9"/>
  <c r="S36" i="9"/>
  <c r="T36" i="9" s="1"/>
  <c r="AT38" i="7"/>
  <c r="B38" i="7" s="1"/>
  <c r="AS38" i="7"/>
  <c r="W40" i="7"/>
  <c r="D40" i="7" s="1"/>
  <c r="AH37" i="7"/>
  <c r="AI37" i="7"/>
  <c r="Y37" i="7"/>
  <c r="AW53" i="4" l="1"/>
  <c r="AW54" i="4" s="1"/>
  <c r="AW55" i="4" s="1"/>
  <c r="AR52" i="4"/>
  <c r="BB29" i="4"/>
  <c r="BC29" i="4" s="1"/>
  <c r="BD29" i="4"/>
  <c r="AY30" i="4"/>
  <c r="BA30" i="4" s="1"/>
  <c r="AX31" i="4"/>
  <c r="BH30" i="4"/>
  <c r="BI30" i="4" s="1"/>
  <c r="BE28" i="4"/>
  <c r="BG28" i="4"/>
  <c r="AD31" i="4"/>
  <c r="AC32" i="4"/>
  <c r="I40" i="7"/>
  <c r="C38" i="5"/>
  <c r="K40" i="7"/>
  <c r="Z40" i="7"/>
  <c r="C38" i="9"/>
  <c r="S37" i="9"/>
  <c r="T37" i="9" s="1"/>
  <c r="AS39" i="7"/>
  <c r="A39" i="7" s="1"/>
  <c r="AT39" i="7"/>
  <c r="B39" i="7" s="1"/>
  <c r="W41" i="7"/>
  <c r="D41" i="7" s="1"/>
  <c r="AH38" i="7"/>
  <c r="AI38" i="7"/>
  <c r="Y38" i="7"/>
  <c r="AY31" i="4" l="1"/>
  <c r="BA31" i="4" s="1"/>
  <c r="AX32" i="4"/>
  <c r="BK22" i="4" s="1"/>
  <c r="BH31" i="4"/>
  <c r="BI31" i="4" s="1"/>
  <c r="BG29" i="4"/>
  <c r="BE29" i="4"/>
  <c r="BD30" i="4"/>
  <c r="BB30" i="4"/>
  <c r="BC30" i="4" s="1"/>
  <c r="AW56" i="4"/>
  <c r="AW57" i="4" s="1"/>
  <c r="AW58" i="4" s="1"/>
  <c r="AR55" i="4"/>
  <c r="AD32" i="4"/>
  <c r="AC33" i="4"/>
  <c r="I41" i="7"/>
  <c r="C39" i="5"/>
  <c r="K41" i="7"/>
  <c r="Z41" i="7"/>
  <c r="C39" i="9"/>
  <c r="S38" i="9"/>
  <c r="T38" i="9" s="1"/>
  <c r="AS40" i="7"/>
  <c r="A40" i="7" s="1"/>
  <c r="AT40" i="7"/>
  <c r="B40" i="7" s="1"/>
  <c r="W42" i="7"/>
  <c r="D42" i="7" s="1"/>
  <c r="AH39" i="7"/>
  <c r="AI39" i="7"/>
  <c r="Y39" i="7"/>
  <c r="BG30" i="4" l="1"/>
  <c r="BE30" i="4"/>
  <c r="AY32" i="4"/>
  <c r="BA32" i="4" s="1"/>
  <c r="AX33" i="4"/>
  <c r="BH32" i="4"/>
  <c r="BI32" i="4" s="1"/>
  <c r="AW59" i="4"/>
  <c r="AR58" i="4"/>
  <c r="BB31" i="4"/>
  <c r="BC31" i="4" s="1"/>
  <c r="BD31" i="4"/>
  <c r="AD33" i="4"/>
  <c r="AC34" i="4"/>
  <c r="I42" i="7"/>
  <c r="C40" i="5"/>
  <c r="K42" i="7"/>
  <c r="Z42" i="7"/>
  <c r="C40" i="9"/>
  <c r="S39" i="9"/>
  <c r="T39" i="9" s="1"/>
  <c r="AT41" i="7"/>
  <c r="B41" i="7" s="1"/>
  <c r="F40" i="7"/>
  <c r="AS41" i="7"/>
  <c r="A41" i="7" s="1"/>
  <c r="W43" i="7"/>
  <c r="D43" i="7" s="1"/>
  <c r="AH40" i="7"/>
  <c r="AI40" i="7"/>
  <c r="Y40" i="7"/>
  <c r="AX34" i="4" l="1"/>
  <c r="BK23" i="4" s="1"/>
  <c r="AY33" i="4"/>
  <c r="BA33" i="4" s="1"/>
  <c r="BH33" i="4"/>
  <c r="BI33" i="4" s="1"/>
  <c r="AW60" i="4"/>
  <c r="AW61" i="4" s="1"/>
  <c r="AR59" i="4"/>
  <c r="BB32" i="4"/>
  <c r="BC32" i="4" s="1"/>
  <c r="BD32" i="4"/>
  <c r="BE31" i="4"/>
  <c r="BG31" i="4"/>
  <c r="AD34" i="4"/>
  <c r="AC35" i="4"/>
  <c r="I43" i="7"/>
  <c r="C41" i="5"/>
  <c r="K43" i="7"/>
  <c r="Z43" i="7"/>
  <c r="C41" i="9"/>
  <c r="S40" i="9"/>
  <c r="T40" i="9" s="1"/>
  <c r="AS42" i="7"/>
  <c r="AT42" i="7"/>
  <c r="B42" i="7" s="1"/>
  <c r="W44" i="7"/>
  <c r="AH41" i="7"/>
  <c r="AI41" i="7"/>
  <c r="Y41" i="7"/>
  <c r="BG32" i="4" l="1"/>
  <c r="BE32" i="4"/>
  <c r="BB33" i="4"/>
  <c r="BC33" i="4" s="1"/>
  <c r="BD33" i="4"/>
  <c r="AY34" i="4"/>
  <c r="BA34" i="4" s="1"/>
  <c r="AX35" i="4"/>
  <c r="BH34" i="4"/>
  <c r="BI34" i="4" s="1"/>
  <c r="AW62" i="4"/>
  <c r="AW63" i="4" s="1"/>
  <c r="AW64" i="4" s="1"/>
  <c r="AR61" i="4"/>
  <c r="AD35" i="4"/>
  <c r="AC36" i="4"/>
  <c r="C42" i="5"/>
  <c r="D44" i="7"/>
  <c r="W45" i="7"/>
  <c r="W46" i="7" s="1"/>
  <c r="C42" i="9"/>
  <c r="S41" i="9"/>
  <c r="T41" i="9" s="1"/>
  <c r="AT43" i="7"/>
  <c r="B43" i="7" s="1"/>
  <c r="AS43" i="7"/>
  <c r="A43" i="7" s="1"/>
  <c r="AH42" i="7"/>
  <c r="Y42" i="7"/>
  <c r="AY35" i="4" l="1"/>
  <c r="BA35" i="4" s="1"/>
  <c r="AX36" i="4"/>
  <c r="BK24" i="4" s="1"/>
  <c r="BH35" i="4"/>
  <c r="BI35" i="4" s="1"/>
  <c r="BE33" i="4"/>
  <c r="BG33" i="4"/>
  <c r="BD34" i="4"/>
  <c r="BB34" i="4"/>
  <c r="BC34" i="4" s="1"/>
  <c r="AD36" i="4"/>
  <c r="AC37" i="4"/>
  <c r="I44" i="7"/>
  <c r="C43" i="5"/>
  <c r="K44" i="7"/>
  <c r="Z44" i="7"/>
  <c r="D45" i="7"/>
  <c r="W47" i="7"/>
  <c r="D47" i="7" s="1"/>
  <c r="D46" i="7"/>
  <c r="C43" i="9"/>
  <c r="S42" i="9"/>
  <c r="T42" i="9" s="1"/>
  <c r="F43" i="7"/>
  <c r="AS44" i="7"/>
  <c r="A44" i="7" s="1"/>
  <c r="AT44" i="7"/>
  <c r="B44" i="7" s="1"/>
  <c r="AH43" i="7"/>
  <c r="Y43" i="7"/>
  <c r="BG34" i="4" l="1"/>
  <c r="BE34" i="4"/>
  <c r="AY36" i="4"/>
  <c r="BA36" i="4" s="1"/>
  <c r="AX37" i="4"/>
  <c r="BH36" i="4"/>
  <c r="BI36" i="4" s="1"/>
  <c r="BB35" i="4"/>
  <c r="BC35" i="4" s="1"/>
  <c r="BD35" i="4"/>
  <c r="AD37" i="4"/>
  <c r="AC38" i="4"/>
  <c r="I46" i="7"/>
  <c r="I47" i="7"/>
  <c r="I45" i="7"/>
  <c r="C44" i="5"/>
  <c r="K46" i="7"/>
  <c r="K47" i="7"/>
  <c r="K45" i="7"/>
  <c r="Z45" i="7"/>
  <c r="Z46" i="7"/>
  <c r="Z47" i="7"/>
  <c r="AT46" i="7"/>
  <c r="B46" i="7" s="1"/>
  <c r="AH46" i="7" s="1"/>
  <c r="AS46" i="7"/>
  <c r="A46" i="7" s="1"/>
  <c r="Y47" i="7"/>
  <c r="AI46" i="7"/>
  <c r="Y46" i="7"/>
  <c r="C44" i="9"/>
  <c r="S43" i="9"/>
  <c r="T43" i="9" s="1"/>
  <c r="F44" i="7"/>
  <c r="AS45" i="7"/>
  <c r="A45" i="7" s="1"/>
  <c r="AT45" i="7"/>
  <c r="B45" i="7" s="1"/>
  <c r="AH44" i="7"/>
  <c r="Y44" i="7"/>
  <c r="BD36" i="4" l="1"/>
  <c r="BB36" i="4"/>
  <c r="BC36" i="4" s="1"/>
  <c r="BE35" i="4"/>
  <c r="BG35" i="4"/>
  <c r="AY37" i="4"/>
  <c r="BA37" i="4" s="1"/>
  <c r="AX38" i="4"/>
  <c r="BH37" i="4"/>
  <c r="BI37" i="4" s="1"/>
  <c r="AD38" i="4"/>
  <c r="AC39" i="4"/>
  <c r="C45" i="5"/>
  <c r="C45" i="9"/>
  <c r="S44" i="9"/>
  <c r="T44" i="9" s="1"/>
  <c r="AS47" i="7"/>
  <c r="A47" i="7" s="1"/>
  <c r="I48" i="7"/>
  <c r="AT47" i="7"/>
  <c r="B47" i="7" s="1"/>
  <c r="AH45" i="7"/>
  <c r="Y45" i="7"/>
  <c r="AY38" i="4" l="1"/>
  <c r="BA38" i="4" s="1"/>
  <c r="AX39" i="4"/>
  <c r="BH38" i="4"/>
  <c r="BI38" i="4" s="1"/>
  <c r="BD37" i="4"/>
  <c r="BB37" i="4"/>
  <c r="BC37" i="4" s="1"/>
  <c r="BG36" i="4"/>
  <c r="BE36" i="4"/>
  <c r="AD39" i="4"/>
  <c r="AC40" i="4"/>
  <c r="C46" i="5"/>
  <c r="C46" i="9"/>
  <c r="S45" i="9"/>
  <c r="T45" i="9" s="1"/>
  <c r="F47" i="7"/>
  <c r="AH47" i="7"/>
  <c r="AY39" i="4" l="1"/>
  <c r="BA39" i="4" s="1"/>
  <c r="AX40" i="4"/>
  <c r="BK25" i="4" s="1"/>
  <c r="BH39" i="4"/>
  <c r="BI39" i="4" s="1"/>
  <c r="BD38" i="4"/>
  <c r="BB38" i="4"/>
  <c r="BC38" i="4" s="1"/>
  <c r="BE37" i="4"/>
  <c r="BG37" i="4"/>
  <c r="AD40" i="4"/>
  <c r="AC41" i="4"/>
  <c r="C47" i="5"/>
  <c r="C47" i="9"/>
  <c r="S46" i="9"/>
  <c r="T46" i="9" s="1"/>
  <c r="AY40" i="4" l="1"/>
  <c r="BA40" i="4" s="1"/>
  <c r="AX41" i="4"/>
  <c r="BH40" i="4"/>
  <c r="BI40" i="4" s="1"/>
  <c r="BB39" i="4"/>
  <c r="BC39" i="4" s="1"/>
  <c r="BD39" i="4"/>
  <c r="BG38" i="4"/>
  <c r="BE38" i="4"/>
  <c r="AD41" i="4"/>
  <c r="AC42" i="4"/>
  <c r="C48" i="5"/>
  <c r="C48" i="9"/>
  <c r="S47" i="9"/>
  <c r="T47" i="9" s="1"/>
  <c r="AY41" i="4" l="1"/>
  <c r="BA41" i="4" s="1"/>
  <c r="AX42" i="4"/>
  <c r="BH41" i="4"/>
  <c r="BI41" i="4" s="1"/>
  <c r="BE39" i="4"/>
  <c r="BG39" i="4"/>
  <c r="BD40" i="4"/>
  <c r="BB40" i="4"/>
  <c r="BC40" i="4" s="1"/>
  <c r="AD42" i="4"/>
  <c r="AC43" i="4"/>
  <c r="C49" i="5"/>
  <c r="C49" i="9"/>
  <c r="S48" i="9"/>
  <c r="T48" i="9" s="1"/>
  <c r="BG40" i="4" l="1"/>
  <c r="BE40" i="4"/>
  <c r="AY42" i="4"/>
  <c r="BA42" i="4" s="1"/>
  <c r="AX43" i="4"/>
  <c r="BH42" i="4"/>
  <c r="BI42" i="4" s="1"/>
  <c r="BD41" i="4"/>
  <c r="BB41" i="4"/>
  <c r="BC41" i="4" s="1"/>
  <c r="AD43" i="4"/>
  <c r="AC44" i="4"/>
  <c r="C50" i="5"/>
  <c r="C50" i="9"/>
  <c r="S49" i="9"/>
  <c r="T49" i="9" s="1"/>
  <c r="BE41" i="4" l="1"/>
  <c r="BG41" i="4"/>
  <c r="BD42" i="4"/>
  <c r="BB42" i="4"/>
  <c r="BC42" i="4" s="1"/>
  <c r="AY43" i="4"/>
  <c r="BA43" i="4" s="1"/>
  <c r="AX44" i="4"/>
  <c r="BK26" i="4" s="1"/>
  <c r="BH43" i="4"/>
  <c r="BI43" i="4" s="1"/>
  <c r="AD44" i="4"/>
  <c r="AC45" i="4"/>
  <c r="C51" i="5"/>
  <c r="C51" i="9"/>
  <c r="S50" i="9"/>
  <c r="T50" i="9" s="1"/>
  <c r="AY44" i="4" l="1"/>
  <c r="BA44" i="4" s="1"/>
  <c r="AX45" i="4"/>
  <c r="BK27" i="4" s="1"/>
  <c r="BH44" i="4"/>
  <c r="BI44" i="4" s="1"/>
  <c r="BG42" i="4"/>
  <c r="BE42" i="4"/>
  <c r="BB43" i="4"/>
  <c r="BC43" i="4" s="1"/>
  <c r="BD43" i="4"/>
  <c r="AD45" i="4"/>
  <c r="AC46" i="4"/>
  <c r="C52" i="5"/>
  <c r="C52" i="9"/>
  <c r="S51" i="9"/>
  <c r="T51" i="9" s="1"/>
  <c r="AY45" i="4" l="1"/>
  <c r="BA45" i="4" s="1"/>
  <c r="AX46" i="4"/>
  <c r="BK28" i="4" s="1"/>
  <c r="BH45" i="4"/>
  <c r="BI45" i="4" s="1"/>
  <c r="BE43" i="4"/>
  <c r="BG43" i="4"/>
  <c r="BD44" i="4"/>
  <c r="BB44" i="4"/>
  <c r="BC44" i="4" s="1"/>
  <c r="AD46" i="4"/>
  <c r="AC47" i="4"/>
  <c r="C53" i="5"/>
  <c r="C53" i="9"/>
  <c r="S52" i="9"/>
  <c r="T52" i="9" s="1"/>
  <c r="BG44" i="4" l="1"/>
  <c r="BE44" i="4"/>
  <c r="AY46" i="4"/>
  <c r="BA46" i="4" s="1"/>
  <c r="AX47" i="4"/>
  <c r="BH46" i="4"/>
  <c r="BI46" i="4" s="1"/>
  <c r="BD45" i="4"/>
  <c r="BB45" i="4"/>
  <c r="BC45" i="4" s="1"/>
  <c r="AD47" i="4"/>
  <c r="AC48" i="4"/>
  <c r="C54" i="5"/>
  <c r="C54" i="9"/>
  <c r="S53" i="9"/>
  <c r="T53" i="9" s="1"/>
  <c r="BD46" i="4" l="1"/>
  <c r="BB46" i="4"/>
  <c r="BC46" i="4" s="1"/>
  <c r="BE45" i="4"/>
  <c r="BG45" i="4"/>
  <c r="AY47" i="4"/>
  <c r="BA47" i="4" s="1"/>
  <c r="AX48" i="4"/>
  <c r="BH47" i="4"/>
  <c r="BI47" i="4" s="1"/>
  <c r="AD48" i="4"/>
  <c r="AC49" i="4"/>
  <c r="C55" i="5"/>
  <c r="C55" i="9"/>
  <c r="S54" i="9"/>
  <c r="T54" i="9" s="1"/>
  <c r="AY48" i="4" l="1"/>
  <c r="BA48" i="4" s="1"/>
  <c r="AX49" i="4"/>
  <c r="BH48" i="4"/>
  <c r="BI48" i="4" s="1"/>
  <c r="BB47" i="4"/>
  <c r="BC47" i="4" s="1"/>
  <c r="BD47" i="4"/>
  <c r="BG46" i="4"/>
  <c r="BE46" i="4"/>
  <c r="AD49" i="4"/>
  <c r="AC50" i="4"/>
  <c r="C56" i="5"/>
  <c r="C56" i="9"/>
  <c r="S55" i="9"/>
  <c r="T55" i="9" s="1"/>
  <c r="AX50" i="4" l="1"/>
  <c r="BK29" i="4" s="1"/>
  <c r="AY49" i="4"/>
  <c r="BA49" i="4" s="1"/>
  <c r="BH49" i="4"/>
  <c r="BI49" i="4" s="1"/>
  <c r="BE47" i="4"/>
  <c r="BG47" i="4"/>
  <c r="BD48" i="4"/>
  <c r="BB48" i="4"/>
  <c r="BC48" i="4" s="1"/>
  <c r="AD50" i="4"/>
  <c r="AC51" i="4"/>
  <c r="C57" i="5"/>
  <c r="C57" i="9"/>
  <c r="S56" i="9"/>
  <c r="T56" i="9" s="1"/>
  <c r="BG48" i="4" l="1"/>
  <c r="BE48" i="4"/>
  <c r="BB49" i="4"/>
  <c r="BC49" i="4" s="1"/>
  <c r="BD49" i="4"/>
  <c r="AY50" i="4"/>
  <c r="BA50" i="4" s="1"/>
  <c r="AX51" i="4"/>
  <c r="BK30" i="4" s="1"/>
  <c r="BH50" i="4"/>
  <c r="BI50" i="4" s="1"/>
  <c r="AD51" i="4"/>
  <c r="AC52" i="4"/>
  <c r="C58" i="5"/>
  <c r="C58" i="9"/>
  <c r="S57" i="9"/>
  <c r="T57" i="9" s="1"/>
  <c r="AX52" i="4" l="1"/>
  <c r="BK31" i="4" s="1"/>
  <c r="AY51" i="4"/>
  <c r="BA51" i="4" s="1"/>
  <c r="BH51" i="4"/>
  <c r="BI51" i="4" s="1"/>
  <c r="BE49" i="4"/>
  <c r="BG49" i="4"/>
  <c r="BB50" i="4"/>
  <c r="BC50" i="4" s="1"/>
  <c r="BD50" i="4"/>
  <c r="AD52" i="4"/>
  <c r="AC53" i="4"/>
  <c r="C59" i="5"/>
  <c r="C59" i="9"/>
  <c r="S58" i="9"/>
  <c r="T58" i="9" s="1"/>
  <c r="BD51" i="4" l="1"/>
  <c r="BB51" i="4"/>
  <c r="BC51" i="4" s="1"/>
  <c r="BG50" i="4"/>
  <c r="BE50" i="4"/>
  <c r="AY52" i="4"/>
  <c r="BA52" i="4" s="1"/>
  <c r="AX53" i="4"/>
  <c r="BH52" i="4"/>
  <c r="BI52" i="4" s="1"/>
  <c r="AD53" i="4"/>
  <c r="AC54" i="4"/>
  <c r="C60" i="5"/>
  <c r="C60" i="9"/>
  <c r="S59" i="9"/>
  <c r="T59" i="9" s="1"/>
  <c r="AY53" i="4" l="1"/>
  <c r="BA53" i="4" s="1"/>
  <c r="AX54" i="4"/>
  <c r="BH53" i="4"/>
  <c r="BI53" i="4" s="1"/>
  <c r="BD52" i="4"/>
  <c r="BB52" i="4"/>
  <c r="BC52" i="4" s="1"/>
  <c r="BE51" i="4"/>
  <c r="BG51" i="4"/>
  <c r="AD54" i="4"/>
  <c r="AC55" i="4"/>
  <c r="C61" i="5"/>
  <c r="C61" i="9"/>
  <c r="S60" i="9"/>
  <c r="T60" i="9" s="1"/>
  <c r="AY54" i="4" l="1"/>
  <c r="BA54" i="4" s="1"/>
  <c r="AX55" i="4"/>
  <c r="BK32" i="4" s="1"/>
  <c r="BH54" i="4"/>
  <c r="BI54" i="4" s="1"/>
  <c r="BE52" i="4"/>
  <c r="BG52" i="4"/>
  <c r="BD53" i="4"/>
  <c r="BB53" i="4"/>
  <c r="BC53" i="4" s="1"/>
  <c r="AD55" i="4"/>
  <c r="AC56" i="4"/>
  <c r="C62" i="5"/>
  <c r="C62" i="9"/>
  <c r="S61" i="9"/>
  <c r="T61" i="9" s="1"/>
  <c r="BG53" i="4" l="1"/>
  <c r="BE53" i="4"/>
  <c r="AY55" i="4"/>
  <c r="BA55" i="4" s="1"/>
  <c r="AX56" i="4"/>
  <c r="BH55" i="4"/>
  <c r="BI55" i="4" s="1"/>
  <c r="BD54" i="4"/>
  <c r="BB54" i="4"/>
  <c r="BC54" i="4" s="1"/>
  <c r="AD56" i="4"/>
  <c r="AC57" i="4"/>
  <c r="C63" i="5"/>
  <c r="C63" i="9"/>
  <c r="S62" i="9"/>
  <c r="T62" i="9" s="1"/>
  <c r="BE54" i="4" l="1"/>
  <c r="BG54" i="4"/>
  <c r="BB55" i="4"/>
  <c r="BC55" i="4" s="1"/>
  <c r="BD55" i="4"/>
  <c r="AY56" i="4"/>
  <c r="BA56" i="4" s="1"/>
  <c r="AX57" i="4"/>
  <c r="BH56" i="4"/>
  <c r="BI56" i="4" s="1"/>
  <c r="AD57" i="4"/>
  <c r="AC58" i="4"/>
  <c r="C64" i="5"/>
  <c r="C64" i="9"/>
  <c r="S63" i="9"/>
  <c r="T63" i="9" s="1"/>
  <c r="BG55" i="4" l="1"/>
  <c r="BE55" i="4"/>
  <c r="AY57" i="4"/>
  <c r="BA57" i="4" s="1"/>
  <c r="AX58" i="4"/>
  <c r="BK33" i="4" s="1"/>
  <c r="BH57" i="4"/>
  <c r="BI57" i="4" s="1"/>
  <c r="BD56" i="4"/>
  <c r="BB56" i="4"/>
  <c r="BC56" i="4" s="1"/>
  <c r="AD58" i="4"/>
  <c r="AC59" i="4"/>
  <c r="C65" i="5"/>
  <c r="C65" i="9"/>
  <c r="S64" i="9"/>
  <c r="T64" i="9" s="1"/>
  <c r="BE56" i="4" l="1"/>
  <c r="BG56" i="4"/>
  <c r="BD57" i="4"/>
  <c r="BB57" i="4"/>
  <c r="BC57" i="4" s="1"/>
  <c r="AY58" i="4"/>
  <c r="BA58" i="4" s="1"/>
  <c r="AX59" i="4"/>
  <c r="BK34" i="4" s="1"/>
  <c r="BH58" i="4"/>
  <c r="BI58" i="4" s="1"/>
  <c r="AD59" i="4"/>
  <c r="AC60" i="4"/>
  <c r="C66" i="5"/>
  <c r="C66" i="9"/>
  <c r="S65" i="9"/>
  <c r="T65" i="9" s="1"/>
  <c r="O22" i="7" l="1"/>
  <c r="AY59" i="4"/>
  <c r="BA59" i="4" s="1"/>
  <c r="AX60" i="4"/>
  <c r="BH59" i="4"/>
  <c r="BI59" i="4" s="1"/>
  <c r="BG57" i="4"/>
  <c r="BE57" i="4"/>
  <c r="BD58" i="4"/>
  <c r="BB58" i="4"/>
  <c r="BC58" i="4" s="1"/>
  <c r="AD60" i="4"/>
  <c r="AC61" i="4"/>
  <c r="C67" i="5"/>
  <c r="C67" i="9"/>
  <c r="S66" i="9"/>
  <c r="T66" i="9" s="1"/>
  <c r="BE58" i="4" l="1"/>
  <c r="BG58" i="4"/>
  <c r="AY60" i="4"/>
  <c r="BA60" i="4" s="1"/>
  <c r="AX61" i="4"/>
  <c r="BK35" i="4" s="1"/>
  <c r="BK36" i="4" s="1"/>
  <c r="BK37" i="4" s="1"/>
  <c r="BK38" i="4" s="1"/>
  <c r="BK39" i="4" s="1"/>
  <c r="BK40" i="4" s="1"/>
  <c r="BK41" i="4" s="1"/>
  <c r="BK42" i="4" s="1"/>
  <c r="BK43" i="4" s="1"/>
  <c r="BK44" i="4" s="1"/>
  <c r="BK45" i="4" s="1"/>
  <c r="BK46" i="4" s="1"/>
  <c r="BK47" i="4" s="1"/>
  <c r="BK48" i="4" s="1"/>
  <c r="BK49" i="4" s="1"/>
  <c r="BK50" i="4" s="1"/>
  <c r="BK51" i="4" s="1"/>
  <c r="BK52" i="4" s="1"/>
  <c r="BK53" i="4" s="1"/>
  <c r="BK54" i="4" s="1"/>
  <c r="BK55" i="4" s="1"/>
  <c r="BK56" i="4" s="1"/>
  <c r="BK57" i="4" s="1"/>
  <c r="BK58" i="4" s="1"/>
  <c r="BK59" i="4" s="1"/>
  <c r="BK60" i="4" s="1"/>
  <c r="BK61" i="4" s="1"/>
  <c r="BK62" i="4" s="1"/>
  <c r="BK63" i="4" s="1"/>
  <c r="BK64" i="4" s="1"/>
  <c r="BH60" i="4"/>
  <c r="BI60" i="4" s="1"/>
  <c r="BB59" i="4"/>
  <c r="BC59" i="4" s="1"/>
  <c r="BD59" i="4"/>
  <c r="AD61" i="4"/>
  <c r="AC62" i="4"/>
  <c r="C68" i="5"/>
  <c r="C68" i="9"/>
  <c r="S67" i="9"/>
  <c r="T67" i="9" s="1"/>
  <c r="BD60" i="4" l="1"/>
  <c r="BB60" i="4"/>
  <c r="BC60" i="4" s="1"/>
  <c r="BG59" i="4"/>
  <c r="BE59" i="4"/>
  <c r="AY61" i="4"/>
  <c r="BA61" i="4" s="1"/>
  <c r="AX62" i="4"/>
  <c r="BH61" i="4"/>
  <c r="BI61" i="4" s="1"/>
  <c r="AC63" i="4"/>
  <c r="C69" i="5"/>
  <c r="C69" i="9"/>
  <c r="S68" i="9"/>
  <c r="T68" i="9" s="1"/>
  <c r="AX63" i="4" l="1"/>
  <c r="AY62" i="4"/>
  <c r="BA62" i="4" s="1"/>
  <c r="BH62" i="4"/>
  <c r="BI62" i="4" s="1"/>
  <c r="BD61" i="4"/>
  <c r="BB61" i="4"/>
  <c r="BC61" i="4" s="1"/>
  <c r="BE60" i="4"/>
  <c r="BG60" i="4"/>
  <c r="AC64" i="4"/>
  <c r="C70" i="5"/>
  <c r="C70" i="9"/>
  <c r="S69" i="9"/>
  <c r="T69" i="9" s="1"/>
  <c r="BD62" i="4" l="1"/>
  <c r="BB62" i="4"/>
  <c r="BC62" i="4" s="1"/>
  <c r="BG61" i="4"/>
  <c r="BE61" i="4"/>
  <c r="AY63" i="4"/>
  <c r="BA63" i="4" s="1"/>
  <c r="AX64" i="4"/>
  <c r="BH63" i="4"/>
  <c r="BI63" i="4" s="1"/>
  <c r="O43" i="7"/>
  <c r="O44" i="7"/>
  <c r="O45" i="7"/>
  <c r="O47" i="7"/>
  <c r="O46" i="7"/>
  <c r="C71" i="5"/>
  <c r="C71" i="9"/>
  <c r="S70" i="9"/>
  <c r="T70" i="9" s="1"/>
  <c r="AY64" i="4" l="1"/>
  <c r="BA64" i="4" s="1"/>
  <c r="BH64" i="4"/>
  <c r="BI64" i="4" s="1"/>
  <c r="BB63" i="4"/>
  <c r="BC63" i="4" s="1"/>
  <c r="BD63" i="4"/>
  <c r="BE62" i="4"/>
  <c r="BG62" i="4"/>
  <c r="C72" i="5"/>
  <c r="C72" i="9"/>
  <c r="S71" i="9"/>
  <c r="T71" i="9" s="1"/>
  <c r="BG63" i="4" l="1"/>
  <c r="BE63" i="4"/>
  <c r="BD64" i="4"/>
  <c r="BB64" i="4"/>
  <c r="BC64" i="4" s="1"/>
  <c r="C73" i="5"/>
  <c r="C73" i="9"/>
  <c r="S72" i="9"/>
  <c r="T72" i="9" s="1"/>
  <c r="BE64" i="4" l="1"/>
  <c r="BG64" i="4"/>
  <c r="C74" i="5"/>
  <c r="C74" i="9"/>
  <c r="S73" i="9"/>
  <c r="T73" i="9" s="1"/>
  <c r="C75" i="5" l="1"/>
  <c r="C75" i="9"/>
  <c r="S74" i="9"/>
  <c r="T74" i="9" s="1"/>
  <c r="C76" i="5" l="1"/>
  <c r="C76" i="9"/>
  <c r="S75" i="9"/>
  <c r="T75" i="9" s="1"/>
  <c r="C77" i="5" l="1"/>
  <c r="C77" i="9"/>
  <c r="S76" i="9"/>
  <c r="T76" i="9" s="1"/>
  <c r="O40" i="7" l="1"/>
  <c r="C78" i="5"/>
  <c r="C78" i="9"/>
  <c r="S77" i="9"/>
  <c r="T77" i="9" s="1"/>
  <c r="C79" i="5" l="1"/>
  <c r="C79" i="9"/>
  <c r="S78" i="9"/>
  <c r="T78" i="9" s="1"/>
  <c r="F6" i="4"/>
  <c r="F8" i="4"/>
  <c r="C80" i="5" l="1"/>
  <c r="C80" i="9"/>
  <c r="S79" i="9"/>
  <c r="T79" i="9" s="1"/>
  <c r="I8" i="8"/>
  <c r="H8" i="8" s="1"/>
  <c r="I7" i="8"/>
  <c r="C81" i="5" l="1"/>
  <c r="C81" i="9"/>
  <c r="S80" i="9"/>
  <c r="T80" i="9" s="1"/>
  <c r="H7" i="8"/>
  <c r="C82" i="5" l="1"/>
  <c r="C82" i="9"/>
  <c r="S81" i="9"/>
  <c r="T81" i="9" s="1"/>
  <c r="AF11" i="5"/>
  <c r="AF7" i="5" s="1"/>
  <c r="C83" i="5" l="1"/>
  <c r="C83" i="9"/>
  <c r="S82" i="9"/>
  <c r="T82" i="9" s="1"/>
  <c r="AF6" i="5"/>
  <c r="AF10" i="5"/>
  <c r="AF9" i="5"/>
  <c r="AF8" i="5"/>
  <c r="AF5" i="5"/>
  <c r="O39" i="7" l="1"/>
  <c r="C84" i="5"/>
  <c r="C84" i="9"/>
  <c r="S83" i="9"/>
  <c r="T83" i="9" s="1"/>
  <c r="C85" i="5" l="1"/>
  <c r="C85" i="9"/>
  <c r="S84" i="9"/>
  <c r="T84" i="9" s="1"/>
  <c r="C86" i="5" l="1"/>
  <c r="C86" i="9"/>
  <c r="S85" i="9"/>
  <c r="T85" i="9" s="1"/>
  <c r="C87" i="5" l="1"/>
  <c r="C87" i="9"/>
  <c r="S86" i="9"/>
  <c r="T86" i="9" s="1"/>
  <c r="C88" i="5" l="1"/>
  <c r="C88" i="9"/>
  <c r="S87" i="9"/>
  <c r="T87" i="9" s="1"/>
  <c r="C89" i="5" l="1"/>
  <c r="C89" i="9"/>
  <c r="S88" i="9"/>
  <c r="T88" i="9" s="1"/>
  <c r="C90" i="5" l="1"/>
  <c r="C90" i="9"/>
  <c r="S89" i="9"/>
  <c r="T89" i="9" s="1"/>
  <c r="C91" i="5" l="1"/>
  <c r="C91" i="9"/>
  <c r="S90" i="9"/>
  <c r="T90" i="9" s="1"/>
  <c r="C92" i="5" l="1"/>
  <c r="C92" i="9"/>
  <c r="S91" i="9"/>
  <c r="T91" i="9" s="1"/>
  <c r="C93" i="5" l="1"/>
  <c r="C93" i="9"/>
  <c r="S92" i="9"/>
  <c r="T92" i="9" s="1"/>
  <c r="C94" i="5" l="1"/>
  <c r="C94" i="9"/>
  <c r="S93" i="9"/>
  <c r="T93" i="9" s="1"/>
  <c r="C95" i="5" l="1"/>
  <c r="C95" i="9"/>
  <c r="S94" i="9"/>
  <c r="T94" i="9" s="1"/>
  <c r="C96" i="5" l="1"/>
  <c r="C96" i="9"/>
  <c r="S95" i="9"/>
  <c r="T95" i="9" s="1"/>
  <c r="C97" i="5" l="1"/>
  <c r="C97" i="9"/>
  <c r="S96" i="9"/>
  <c r="T96" i="9" s="1"/>
  <c r="C98" i="5" l="1"/>
  <c r="C98" i="9"/>
  <c r="S97" i="9"/>
  <c r="T97" i="9" s="1"/>
  <c r="C99" i="5" l="1"/>
  <c r="C99" i="9"/>
  <c r="S98" i="9"/>
  <c r="T98" i="9" s="1"/>
  <c r="C100" i="5" l="1"/>
  <c r="C100" i="9"/>
  <c r="S99" i="9"/>
  <c r="T99" i="9" s="1"/>
  <c r="C101" i="5" l="1"/>
  <c r="C101" i="9"/>
  <c r="S100" i="9"/>
  <c r="T100" i="9" s="1"/>
  <c r="C102" i="5" l="1"/>
  <c r="C102" i="9"/>
  <c r="S101" i="9"/>
  <c r="T101" i="9" s="1"/>
  <c r="C103" i="5" l="1"/>
  <c r="C103" i="9"/>
  <c r="S102" i="9"/>
  <c r="T102" i="9" s="1"/>
  <c r="C104" i="5" l="1"/>
  <c r="C104" i="9"/>
  <c r="S103" i="9"/>
  <c r="T103" i="9" s="1"/>
  <c r="C105" i="5" l="1"/>
  <c r="C105" i="9"/>
  <c r="S104" i="9"/>
  <c r="T104" i="9" s="1"/>
  <c r="C106" i="5" l="1"/>
  <c r="C106" i="9"/>
  <c r="S105" i="9"/>
  <c r="T105" i="9" s="1"/>
  <c r="C107" i="5" l="1"/>
  <c r="C107" i="9"/>
  <c r="S106" i="9"/>
  <c r="T106" i="9" s="1"/>
  <c r="C108" i="5" l="1"/>
  <c r="C108" i="9"/>
  <c r="S107" i="9"/>
  <c r="T107" i="9" s="1"/>
  <c r="C109" i="5" l="1"/>
  <c r="C109" i="9"/>
  <c r="S108" i="9"/>
  <c r="T108" i="9" s="1"/>
  <c r="C110" i="5" l="1"/>
  <c r="C110" i="9"/>
  <c r="S109" i="9"/>
  <c r="T109" i="9" s="1"/>
  <c r="C111" i="5" l="1"/>
  <c r="C111" i="9"/>
  <c r="S110" i="9"/>
  <c r="T110" i="9" s="1"/>
  <c r="C112" i="5" l="1"/>
  <c r="C112" i="9"/>
  <c r="S111" i="9"/>
  <c r="T111" i="9" s="1"/>
  <c r="C113" i="5" l="1"/>
  <c r="C113" i="9"/>
  <c r="S112" i="9"/>
  <c r="T112" i="9" s="1"/>
  <c r="C114" i="5" l="1"/>
  <c r="S113" i="9"/>
  <c r="T113" i="9" s="1"/>
  <c r="C114" i="9"/>
  <c r="C115" i="9" l="1"/>
  <c r="S114" i="9"/>
  <c r="T114" i="9" s="1"/>
  <c r="C116" i="9" l="1"/>
  <c r="S115" i="9"/>
  <c r="T115" i="9" s="1"/>
  <c r="C117" i="9" l="1"/>
  <c r="S116" i="9"/>
  <c r="T116" i="9" s="1"/>
  <c r="C118" i="9" l="1"/>
  <c r="S117" i="9"/>
  <c r="T117" i="9" s="1"/>
  <c r="C119" i="9" l="1"/>
  <c r="S118" i="9"/>
  <c r="T118" i="9" s="1"/>
  <c r="C120" i="9" l="1"/>
  <c r="S119" i="9"/>
  <c r="T119" i="9" s="1"/>
  <c r="C121" i="9" l="1"/>
  <c r="S120" i="9"/>
  <c r="T120" i="9" s="1"/>
  <c r="C122" i="9" l="1"/>
  <c r="S121" i="9"/>
  <c r="T121" i="9" s="1"/>
  <c r="C123" i="9" l="1"/>
  <c r="S122" i="9"/>
  <c r="T122" i="9" s="1"/>
  <c r="C124" i="9" l="1"/>
  <c r="S123" i="9"/>
  <c r="T123" i="9" s="1"/>
  <c r="C125" i="9" l="1"/>
  <c r="S124" i="9"/>
  <c r="T124" i="9" s="1"/>
  <c r="C126" i="9" l="1"/>
  <c r="S125" i="9"/>
  <c r="T125" i="9" s="1"/>
  <c r="C127" i="9" l="1"/>
  <c r="S126" i="9"/>
  <c r="T126" i="9" s="1"/>
  <c r="C128" i="9" l="1"/>
  <c r="S127" i="9"/>
  <c r="T127" i="9" s="1"/>
  <c r="C129" i="9" l="1"/>
  <c r="S128" i="9"/>
  <c r="T128" i="9" s="1"/>
  <c r="C130" i="9" l="1"/>
  <c r="S129" i="9"/>
  <c r="T129" i="9" s="1"/>
  <c r="C131" i="9" l="1"/>
  <c r="S130" i="9"/>
  <c r="T130" i="9" s="1"/>
  <c r="C132" i="9" l="1"/>
  <c r="S131" i="9"/>
  <c r="T131" i="9" s="1"/>
  <c r="C133" i="9" l="1"/>
  <c r="S132" i="9"/>
  <c r="T132" i="9" s="1"/>
  <c r="C134" i="9" l="1"/>
  <c r="S133" i="9"/>
  <c r="T133" i="9" s="1"/>
  <c r="C135" i="9" l="1"/>
  <c r="S134" i="9"/>
  <c r="T134" i="9" s="1"/>
  <c r="C136" i="9" l="1"/>
  <c r="S135" i="9"/>
  <c r="T135" i="9" s="1"/>
  <c r="O35" i="7" l="1"/>
  <c r="C137" i="9"/>
  <c r="S136" i="9"/>
  <c r="T136" i="9" s="1"/>
  <c r="C138" i="9" l="1"/>
  <c r="S137" i="9"/>
  <c r="T137" i="9" s="1"/>
  <c r="C139" i="9" l="1"/>
  <c r="S138" i="9"/>
  <c r="T138" i="9" s="1"/>
  <c r="C140" i="9" l="1"/>
  <c r="S139" i="9"/>
  <c r="T139" i="9" s="1"/>
  <c r="O34" i="7" l="1"/>
  <c r="C141" i="9"/>
  <c r="S140" i="9"/>
  <c r="T140" i="9" s="1"/>
  <c r="C142" i="9" l="1"/>
  <c r="S141" i="9"/>
  <c r="T141" i="9" s="1"/>
  <c r="C143" i="9" l="1"/>
  <c r="S142" i="9"/>
  <c r="T142" i="9" s="1"/>
  <c r="C144" i="9" l="1"/>
  <c r="S143" i="9"/>
  <c r="T143" i="9" s="1"/>
  <c r="C145" i="9" l="1"/>
  <c r="S144" i="9"/>
  <c r="T144" i="9" s="1"/>
  <c r="C146" i="9" l="1"/>
  <c r="S145" i="9"/>
  <c r="T145" i="9" s="1"/>
  <c r="C147" i="9" l="1"/>
  <c r="S146" i="9"/>
  <c r="T146" i="9" s="1"/>
  <c r="C148" i="9" l="1"/>
  <c r="S147" i="9"/>
  <c r="T147" i="9" s="1"/>
  <c r="C149" i="9" l="1"/>
  <c r="S148" i="9"/>
  <c r="T148" i="9" s="1"/>
  <c r="C150" i="9" l="1"/>
  <c r="S149" i="9"/>
  <c r="T149" i="9" s="1"/>
  <c r="C151" i="9" l="1"/>
  <c r="S150" i="9"/>
  <c r="T150" i="9" s="1"/>
  <c r="C152" i="9" l="1"/>
  <c r="S151" i="9"/>
  <c r="T151" i="9" s="1"/>
  <c r="C153" i="9" l="1"/>
  <c r="S152" i="9"/>
  <c r="T152" i="9" s="1"/>
  <c r="C154" i="9" l="1"/>
  <c r="S153" i="9"/>
  <c r="T153" i="9" s="1"/>
  <c r="C155" i="9" l="1"/>
  <c r="S154" i="9"/>
  <c r="T154" i="9" s="1"/>
  <c r="C156" i="9" l="1"/>
  <c r="S155" i="9"/>
  <c r="T155" i="9" s="1"/>
  <c r="C157" i="9" l="1"/>
  <c r="S156" i="9"/>
  <c r="T156" i="9" s="1"/>
  <c r="C158" i="9" l="1"/>
  <c r="S157" i="9"/>
  <c r="T157" i="9" s="1"/>
  <c r="AI44" i="7"/>
  <c r="C159" i="9" l="1"/>
  <c r="S158" i="9"/>
  <c r="T158" i="9" s="1"/>
  <c r="AI43" i="7"/>
  <c r="AI47" i="7"/>
  <c r="C160" i="9" l="1"/>
  <c r="S159" i="9"/>
  <c r="T159" i="9" s="1"/>
  <c r="AI42" i="7"/>
  <c r="AI45" i="7"/>
  <c r="C161" i="9" l="1"/>
  <c r="S160" i="9"/>
  <c r="T160" i="9" s="1"/>
  <c r="C162" i="9" l="1"/>
  <c r="S161" i="9"/>
  <c r="T161" i="9" s="1"/>
  <c r="C163" i="9" l="1"/>
  <c r="S162" i="9"/>
  <c r="T162" i="9" s="1"/>
  <c r="C164" i="9" l="1"/>
  <c r="S163" i="9"/>
  <c r="T163" i="9" s="1"/>
  <c r="C165" i="9" l="1"/>
  <c r="S164" i="9"/>
  <c r="T164" i="9" s="1"/>
  <c r="C166" i="9" l="1"/>
  <c r="S165" i="9"/>
  <c r="T165" i="9" s="1"/>
  <c r="C167" i="9" l="1"/>
  <c r="S166" i="9"/>
  <c r="T166" i="9" s="1"/>
  <c r="C168" i="9" l="1"/>
  <c r="S167" i="9"/>
  <c r="T167" i="9" s="1"/>
  <c r="C169" i="9" l="1"/>
  <c r="S168" i="9"/>
  <c r="T168" i="9" s="1"/>
  <c r="C170" i="9" l="1"/>
  <c r="S169" i="9"/>
  <c r="T169" i="9" s="1"/>
  <c r="C171" i="9" l="1"/>
  <c r="S170" i="9"/>
  <c r="T170" i="9" s="1"/>
  <c r="C172" i="9" l="1"/>
  <c r="S171" i="9"/>
  <c r="T171" i="9" s="1"/>
  <c r="C173" i="9" l="1"/>
  <c r="S172" i="9"/>
  <c r="T172" i="9" s="1"/>
  <c r="C174" i="9" l="1"/>
  <c r="S174" i="9" s="1"/>
  <c r="T174" i="9" s="1"/>
  <c r="S173" i="9"/>
  <c r="T173" i="9" s="1"/>
  <c r="AG47" i="7" l="1"/>
  <c r="AG44" i="7" l="1"/>
  <c r="AG43" i="7" l="1"/>
  <c r="AG40" i="7" l="1"/>
  <c r="AG36" i="7" l="1"/>
  <c r="AG27" i="7" l="1"/>
  <c r="AG28" i="7" l="1"/>
  <c r="F39" i="7" l="1"/>
  <c r="AG39" i="7" l="1"/>
  <c r="F35" i="7" l="1"/>
  <c r="AG35" i="7" l="1"/>
  <c r="F25" i="7" l="1"/>
  <c r="AG25" i="7" l="1"/>
  <c r="F37" i="7" l="1"/>
  <c r="AG37" i="7"/>
  <c r="F30" i="7" l="1"/>
  <c r="AG30" i="7"/>
  <c r="F32" i="7" l="1"/>
  <c r="AG32" i="7"/>
  <c r="AG30" i="16" l="1"/>
  <c r="T20" i="16"/>
  <c r="AG39" i="16"/>
  <c r="AG32" i="16"/>
  <c r="AH41" i="16"/>
  <c r="AG23" i="16"/>
  <c r="AH37" i="16"/>
  <c r="AH28" i="16"/>
  <c r="AH25" i="16"/>
  <c r="AH43" i="16"/>
  <c r="AH40" i="16"/>
  <c r="AH44" i="16"/>
  <c r="AH27" i="16"/>
  <c r="AS34" i="16"/>
  <c r="AH34" i="16"/>
  <c r="AH35" i="16"/>
  <c r="AG38" i="16"/>
  <c r="AR24" i="16"/>
  <c r="AS24" i="16"/>
  <c r="AH21" i="16"/>
  <c r="AG31" i="16"/>
  <c r="R20" i="16"/>
  <c r="S20" i="16" s="1"/>
  <c r="M20" i="16" s="1"/>
  <c r="AR42" i="16"/>
  <c r="AH42" i="16"/>
  <c r="AS42" i="16"/>
  <c r="AR34" i="16" l="1"/>
  <c r="AR38" i="16"/>
  <c r="AS36" i="16"/>
  <c r="AR36" i="16"/>
  <c r="AS38" i="16"/>
  <c r="AR28" i="16"/>
  <c r="AR31" i="16"/>
  <c r="AS33" i="16"/>
  <c r="AR25" i="16"/>
  <c r="AR22" i="16"/>
  <c r="AS43" i="16"/>
  <c r="AS27" i="16"/>
  <c r="AR20" i="16"/>
  <c r="AS32" i="16"/>
  <c r="AR23" i="16"/>
  <c r="AS26" i="16"/>
  <c r="AR41" i="16"/>
  <c r="AR44" i="16"/>
  <c r="AR35" i="16"/>
  <c r="AR30" i="16"/>
  <c r="AS31" i="16"/>
  <c r="AS44" i="16"/>
  <c r="R19" i="16"/>
  <c r="S19" i="16" s="1"/>
  <c r="M19" i="16" s="1"/>
  <c r="AH23" i="16"/>
  <c r="AS35" i="16"/>
  <c r="AR26" i="16"/>
  <c r="AH39" i="16"/>
  <c r="AG27" i="16"/>
  <c r="AH38" i="16"/>
  <c r="AG28" i="16"/>
  <c r="AR33" i="16"/>
  <c r="AG21" i="16"/>
  <c r="AG41" i="16"/>
  <c r="AR27" i="16"/>
  <c r="AG43" i="16"/>
  <c r="AG25" i="16"/>
  <c r="AS41" i="16"/>
  <c r="AG44" i="16"/>
  <c r="AS22" i="16"/>
  <c r="AU39" i="16"/>
  <c r="AM39" i="16"/>
  <c r="AT39" i="16"/>
  <c r="AS25" i="16"/>
  <c r="AJ36" i="16"/>
  <c r="AI36" i="16"/>
  <c r="AI20" i="16"/>
  <c r="AJ20" i="16"/>
  <c r="AJ38" i="16"/>
  <c r="AI38" i="16"/>
  <c r="AJ35" i="16"/>
  <c r="AI35" i="16"/>
  <c r="AI40" i="16"/>
  <c r="AJ40" i="16"/>
  <c r="AM41" i="16"/>
  <c r="AT41" i="16"/>
  <c r="AU41" i="16"/>
  <c r="AJ22" i="16"/>
  <c r="AI22" i="16"/>
  <c r="AT37" i="16"/>
  <c r="AM37" i="16"/>
  <c r="AU37" i="16"/>
  <c r="AM35" i="16"/>
  <c r="AU35" i="16"/>
  <c r="AT35" i="16"/>
  <c r="AJ37" i="16"/>
  <c r="AI37" i="16"/>
  <c r="T15" i="16"/>
  <c r="AH36" i="16"/>
  <c r="AG36" i="16"/>
  <c r="AM38" i="16"/>
  <c r="AU38" i="16"/>
  <c r="AT38" i="16"/>
  <c r="AG29" i="16"/>
  <c r="AT20" i="16"/>
  <c r="AU20" i="16"/>
  <c r="AI33" i="16"/>
  <c r="AJ33" i="16"/>
  <c r="AT29" i="16"/>
  <c r="AU29" i="16"/>
  <c r="AM40" i="16"/>
  <c r="AU40" i="16"/>
  <c r="AT40" i="16"/>
  <c r="AR39" i="16"/>
  <c r="AT21" i="16"/>
  <c r="AU21" i="16"/>
  <c r="AT32" i="16"/>
  <c r="AU32" i="16"/>
  <c r="AT27" i="16"/>
  <c r="AU27" i="16"/>
  <c r="AJ42" i="16"/>
  <c r="AI42" i="16"/>
  <c r="AG42" i="16"/>
  <c r="AT33" i="16"/>
  <c r="AU33" i="16"/>
  <c r="AI21" i="16"/>
  <c r="AJ21" i="16"/>
  <c r="AR21" i="16"/>
  <c r="AT28" i="16"/>
  <c r="AU28" i="16"/>
  <c r="AG35" i="16"/>
  <c r="AI27" i="16"/>
  <c r="AJ27" i="16"/>
  <c r="AT26" i="16"/>
  <c r="AU26" i="16"/>
  <c r="AR40" i="16"/>
  <c r="AG40" i="16"/>
  <c r="AT31" i="16"/>
  <c r="AU31" i="16"/>
  <c r="AH22" i="16"/>
  <c r="AI25" i="16"/>
  <c r="AJ25" i="16"/>
  <c r="AI28" i="16"/>
  <c r="AJ28" i="16"/>
  <c r="AS37" i="16"/>
  <c r="AR37" i="16"/>
  <c r="AJ23" i="16"/>
  <c r="AI23" i="16"/>
  <c r="AI41" i="16"/>
  <c r="AJ41" i="16"/>
  <c r="AH32" i="16"/>
  <c r="T19" i="16"/>
  <c r="AH19" i="16" s="1"/>
  <c r="R18" i="16"/>
  <c r="AH20" i="16"/>
  <c r="AT30" i="16"/>
  <c r="AU30" i="16"/>
  <c r="AS30" i="16"/>
  <c r="AS29" i="16"/>
  <c r="AT43" i="16"/>
  <c r="AM43" i="16"/>
  <c r="AU43" i="16"/>
  <c r="AU23" i="16"/>
  <c r="AT23" i="16"/>
  <c r="AT25" i="16"/>
  <c r="AU25" i="16"/>
  <c r="AI24" i="16"/>
  <c r="AJ24" i="16"/>
  <c r="AG24" i="16"/>
  <c r="AJ26" i="16"/>
  <c r="AI26" i="16"/>
  <c r="AT22" i="16"/>
  <c r="AU22" i="16"/>
  <c r="AS40" i="16"/>
  <c r="AS23" i="16"/>
  <c r="AI30" i="16"/>
  <c r="AJ30" i="16"/>
  <c r="AI29" i="16"/>
  <c r="AJ29" i="16"/>
  <c r="AJ31" i="16"/>
  <c r="AI31" i="16"/>
  <c r="AH33" i="16"/>
  <c r="AG33" i="16"/>
  <c r="AH31" i="16"/>
  <c r="AS21" i="16"/>
  <c r="R16" i="16"/>
  <c r="AH24" i="16"/>
  <c r="AH26" i="16"/>
  <c r="AG26" i="16"/>
  <c r="R17" i="16"/>
  <c r="R15" i="16"/>
  <c r="AJ34" i="16"/>
  <c r="AI34" i="16"/>
  <c r="AG34" i="16"/>
  <c r="T17" i="16"/>
  <c r="AJ44" i="16"/>
  <c r="AI44" i="16"/>
  <c r="AI43" i="16"/>
  <c r="AJ43" i="16"/>
  <c r="AR43" i="16"/>
  <c r="AG22" i="16"/>
  <c r="AT44" i="16"/>
  <c r="AU44" i="16"/>
  <c r="AM44" i="16"/>
  <c r="AS28" i="16"/>
  <c r="T18" i="16"/>
  <c r="AG37" i="16"/>
  <c r="AM42" i="16"/>
  <c r="AT42" i="16"/>
  <c r="AU42" i="16"/>
  <c r="AJ32" i="16"/>
  <c r="AI32" i="16"/>
  <c r="AR32" i="16"/>
  <c r="AS39" i="16"/>
  <c r="AI39" i="16"/>
  <c r="AJ39" i="16"/>
  <c r="AT34" i="16"/>
  <c r="AU34" i="16"/>
  <c r="T16" i="16"/>
  <c r="AT24" i="16"/>
  <c r="AU24" i="16"/>
  <c r="AS20" i="16"/>
  <c r="AG20" i="16"/>
  <c r="AM36" i="16"/>
  <c r="AU36" i="16"/>
  <c r="AT36" i="16"/>
  <c r="AH30" i="16"/>
  <c r="AH29" i="16"/>
  <c r="AR29" i="16"/>
  <c r="AG18" i="16" l="1"/>
  <c r="AH17" i="16"/>
  <c r="AH16" i="16"/>
  <c r="AT19" i="16"/>
  <c r="AH15" i="16"/>
  <c r="AU19" i="16"/>
  <c r="AR19" i="16"/>
  <c r="AR16" i="16"/>
  <c r="AS15" i="16"/>
  <c r="AR18" i="16"/>
  <c r="AR17" i="16"/>
  <c r="AS19" i="16"/>
  <c r="AV20" i="16"/>
  <c r="AK40" i="16"/>
  <c r="AV29" i="16"/>
  <c r="AV32" i="16"/>
  <c r="AS18" i="16"/>
  <c r="AV31" i="16"/>
  <c r="AV26" i="16"/>
  <c r="AV33" i="16"/>
  <c r="AV38" i="16"/>
  <c r="AS16" i="16"/>
  <c r="AG19" i="16"/>
  <c r="AV41" i="16"/>
  <c r="AK20" i="16"/>
  <c r="AV28" i="16"/>
  <c r="AK23" i="16"/>
  <c r="AV27" i="16"/>
  <c r="AV43" i="16"/>
  <c r="AG17" i="16"/>
  <c r="AK25" i="16"/>
  <c r="AG15" i="16"/>
  <c r="AV36" i="16"/>
  <c r="AV34" i="16"/>
  <c r="AK44" i="16"/>
  <c r="AV44" i="16"/>
  <c r="AV24" i="16"/>
  <c r="AK27" i="16"/>
  <c r="AK34" i="16"/>
  <c r="AV42" i="16"/>
  <c r="AH18" i="16"/>
  <c r="AK43" i="16"/>
  <c r="AK31" i="16"/>
  <c r="AK30" i="16"/>
  <c r="AV23" i="16"/>
  <c r="AK41" i="16"/>
  <c r="AK28" i="16"/>
  <c r="AV35" i="16"/>
  <c r="AV25" i="16"/>
  <c r="AV22" i="16"/>
  <c r="AK39" i="16"/>
  <c r="AK21" i="16"/>
  <c r="AK38" i="16"/>
  <c r="AK32" i="16"/>
  <c r="AV30" i="16"/>
  <c r="AJ17" i="16"/>
  <c r="AI17" i="16"/>
  <c r="AK33" i="16"/>
  <c r="AT18" i="16"/>
  <c r="AU18" i="16"/>
  <c r="AK35" i="16"/>
  <c r="AR15" i="16"/>
  <c r="AT16" i="16"/>
  <c r="AU16" i="16"/>
  <c r="AI18" i="16"/>
  <c r="AJ18" i="16"/>
  <c r="AU17" i="16"/>
  <c r="AT17" i="16"/>
  <c r="AK24" i="16"/>
  <c r="AJ19" i="16"/>
  <c r="AI19" i="16"/>
  <c r="AK42" i="16"/>
  <c r="AV39" i="16"/>
  <c r="AK29" i="16"/>
  <c r="AK36" i="16"/>
  <c r="L5" i="16"/>
  <c r="D17" i="16" s="1"/>
  <c r="AT15" i="16"/>
  <c r="AU15" i="16"/>
  <c r="AI16" i="16"/>
  <c r="AJ16" i="16"/>
  <c r="AK22" i="16"/>
  <c r="AG16" i="16"/>
  <c r="AK37" i="16"/>
  <c r="AS17" i="16"/>
  <c r="AK26" i="16"/>
  <c r="AV37" i="16"/>
  <c r="AV40" i="16"/>
  <c r="AV21" i="16"/>
  <c r="AI15" i="16"/>
  <c r="AJ15" i="16"/>
  <c r="D16" i="16" l="1"/>
  <c r="D20" i="16"/>
  <c r="D19" i="16"/>
  <c r="D18" i="16"/>
  <c r="D15" i="16"/>
  <c r="AM29" i="16"/>
  <c r="AM28" i="16"/>
  <c r="AM31" i="16"/>
  <c r="AM34" i="16"/>
  <c r="AM25" i="16"/>
  <c r="AM23" i="16"/>
  <c r="AM32" i="16"/>
  <c r="AM27" i="16"/>
  <c r="AM26" i="16"/>
  <c r="AM24" i="16"/>
  <c r="AM33" i="16"/>
  <c r="AM20" i="16"/>
  <c r="AM22" i="16"/>
  <c r="AM21" i="16"/>
  <c r="AM30" i="16"/>
  <c r="AV19" i="16"/>
  <c r="AK19" i="16"/>
  <c r="AK15" i="16"/>
  <c r="K15" i="16" s="1"/>
  <c r="S15" i="16" s="1"/>
  <c r="M15" i="16" s="1"/>
  <c r="AK17" i="16"/>
  <c r="K17" i="16" s="1"/>
  <c r="S17" i="16" s="1"/>
  <c r="M17" i="16" s="1"/>
  <c r="AV17" i="16"/>
  <c r="AV18" i="16"/>
  <c r="AK18" i="16"/>
  <c r="K18" i="16" s="1"/>
  <c r="S18" i="16" s="1"/>
  <c r="M18" i="16" s="1"/>
  <c r="AV16" i="16"/>
  <c r="AV15" i="16"/>
  <c r="V5" i="16"/>
  <c r="Y5" i="16"/>
  <c r="AK16" i="16"/>
  <c r="K16" i="16" s="1"/>
  <c r="S16" i="16" l="1"/>
  <c r="M16" i="16" s="1"/>
  <c r="L6" i="16"/>
  <c r="AM16" i="16"/>
  <c r="AM18" i="16"/>
  <c r="AM19" i="16"/>
  <c r="AM17" i="16"/>
  <c r="AM15" i="16"/>
  <c r="AQ5" i="16" l="1"/>
  <c r="M8" i="16" l="1"/>
  <c r="AG22" i="7" l="1"/>
  <c r="BA15" i="4" l="1"/>
  <c r="BB15" i="4" l="1"/>
  <c r="BB16" i="4" s="1"/>
  <c r="BC16" i="4" l="1"/>
  <c r="BB17" i="4"/>
  <c r="BC15" i="4"/>
  <c r="BD15" i="4"/>
  <c r="BD16" i="4" s="1"/>
  <c r="BG16" i="4" l="1"/>
  <c r="BE16" i="4"/>
  <c r="BD17" i="4"/>
  <c r="BC17" i="4"/>
  <c r="BB18" i="4"/>
  <c r="BG15" i="4"/>
  <c r="BE15" i="4"/>
  <c r="BE17" i="4" l="1"/>
  <c r="BG17" i="4"/>
  <c r="BC18" i="4"/>
  <c r="BG18" i="4"/>
  <c r="BB19" i="4"/>
  <c r="AD47" i="15"/>
  <c r="BC19" i="4" l="1"/>
  <c r="BG19" i="4"/>
  <c r="U42" i="15" l="1"/>
  <c r="F31" i="7" l="1"/>
  <c r="AG31" i="7"/>
  <c r="AG23" i="7" l="1"/>
  <c r="F5" i="4" s="1"/>
  <c r="F23" i="7"/>
  <c r="O10" i="12" l="1"/>
  <c r="O26" i="7" l="1"/>
  <c r="U48" i="7" l="1"/>
  <c r="R48" i="7"/>
  <c r="AP23" i="16" l="1"/>
  <c r="AX23" i="16"/>
  <c r="AW23" i="16"/>
  <c r="F45" i="7" l="1"/>
  <c r="AG45" i="7"/>
  <c r="F33" i="7" l="1"/>
  <c r="AG33" i="7"/>
  <c r="O24" i="7" l="1"/>
  <c r="AY5" i="4" l="1"/>
  <c r="AY7" i="4" s="1"/>
  <c r="AY8" i="4" s="1"/>
  <c r="L18" i="16" l="1"/>
  <c r="L16" i="16"/>
  <c r="L19" i="16"/>
  <c r="L17" i="16"/>
  <c r="L20" i="16"/>
  <c r="AG34" i="7" l="1"/>
  <c r="F34" i="7"/>
  <c r="L7" i="16" l="1"/>
  <c r="L15" i="16"/>
  <c r="AW22" i="16" l="1"/>
  <c r="AX21" i="16"/>
  <c r="AP21" i="16"/>
  <c r="AW21" i="16"/>
  <c r="AX22" i="16"/>
  <c r="AP22" i="16"/>
  <c r="U18" i="16" l="1"/>
  <c r="U20" i="16"/>
  <c r="U17" i="16"/>
  <c r="U19" i="16"/>
  <c r="J20" i="16"/>
  <c r="AG46" i="7" l="1"/>
  <c r="F46" i="7"/>
  <c r="AS108" i="20" l="1"/>
  <c r="AS110" i="20"/>
  <c r="AS100" i="20"/>
  <c r="AS109" i="20"/>
  <c r="AS107" i="20"/>
  <c r="AS123" i="20"/>
  <c r="AS129" i="20"/>
  <c r="AS120" i="20"/>
  <c r="AS128" i="20"/>
  <c r="AS133" i="20"/>
  <c r="AS111" i="20"/>
  <c r="AS115" i="20"/>
  <c r="AS119" i="20"/>
  <c r="AS132" i="20"/>
  <c r="AS94" i="20"/>
  <c r="AS106" i="20"/>
  <c r="BO15" i="4"/>
  <c r="BT15" i="4" s="1"/>
  <c r="AS15" i="20" s="1"/>
  <c r="AX15" i="20" s="1"/>
  <c r="AS98" i="20"/>
  <c r="AS113" i="20"/>
  <c r="AS124" i="20"/>
  <c r="AS118" i="20"/>
  <c r="AS97" i="20"/>
  <c r="AS102" i="20"/>
  <c r="AS112" i="20"/>
  <c r="AS117" i="20"/>
  <c r="AS99" i="20"/>
  <c r="BO1" i="4"/>
  <c r="AS92" i="20"/>
  <c r="AS121" i="20"/>
  <c r="AS127" i="20"/>
  <c r="BO16" i="4"/>
  <c r="BT16" i="4" s="1"/>
  <c r="AS16" i="20" s="1"/>
  <c r="AS122" i="20"/>
  <c r="AS89" i="20"/>
  <c r="AS101" i="20"/>
  <c r="AS104" i="20"/>
  <c r="AS114" i="20"/>
  <c r="AS91" i="20"/>
  <c r="AS96" i="20"/>
  <c r="AS90" i="20"/>
  <c r="AS125" i="20"/>
  <c r="AS105" i="20"/>
  <c r="AS93" i="20"/>
  <c r="AS131" i="20"/>
  <c r="AS130" i="20"/>
  <c r="AS95" i="20"/>
  <c r="AS126" i="20"/>
  <c r="AS103" i="20"/>
  <c r="AS116" i="20"/>
  <c r="BR16" i="4" l="1"/>
  <c r="BP16" i="4" s="1"/>
  <c r="BU16" i="4"/>
  <c r="BU15" i="4"/>
  <c r="BR15" i="4"/>
  <c r="BX15" i="4" s="1"/>
  <c r="K22" i="7"/>
  <c r="AJ27" i="7"/>
  <c r="AJ24" i="7"/>
  <c r="AJ25" i="7"/>
  <c r="AJ26" i="7"/>
  <c r="AJ28" i="7"/>
  <c r="AJ29" i="7"/>
  <c r="AJ30" i="7"/>
  <c r="AJ31" i="7"/>
  <c r="AJ32" i="7"/>
  <c r="AJ33" i="7"/>
  <c r="AJ34" i="7"/>
  <c r="AJ35" i="7"/>
  <c r="AJ36" i="7"/>
  <c r="AJ37" i="7"/>
  <c r="AJ38" i="7"/>
  <c r="AJ39" i="7"/>
  <c r="AJ40" i="7"/>
  <c r="AJ42" i="7"/>
  <c r="AJ41" i="7"/>
  <c r="AJ43" i="7"/>
  <c r="AJ44" i="7"/>
  <c r="AJ46" i="7"/>
  <c r="AJ45" i="7"/>
  <c r="BZ16" i="4" l="1"/>
  <c r="AJ23" i="7"/>
  <c r="BP15" i="4"/>
  <c r="BQ15" i="4" s="1"/>
  <c r="BX16" i="4"/>
  <c r="BQ16" i="4"/>
  <c r="BZ15" i="4"/>
  <c r="Z48" i="7"/>
  <c r="AJ47" i="7"/>
  <c r="AQ20" i="7"/>
  <c r="AJ22" i="7"/>
  <c r="K48" i="7"/>
  <c r="AT6" i="5" l="1"/>
  <c r="AU6" i="5" s="1"/>
  <c r="AQ6" i="5" s="1"/>
  <c r="AT4" i="5"/>
  <c r="AU4" i="5" s="1"/>
  <c r="AQ4" i="5" s="1"/>
  <c r="AT5" i="5"/>
  <c r="AU5" i="5" s="1"/>
  <c r="AQ5" i="5" s="1"/>
  <c r="AT8" i="5"/>
  <c r="AU8" i="5" s="1"/>
  <c r="AQ8" i="5" s="1"/>
  <c r="AT7" i="5"/>
  <c r="AU7" i="5" s="1"/>
  <c r="AQ7" i="5" s="1"/>
  <c r="U15" i="16" l="1"/>
  <c r="U16" i="16"/>
  <c r="AW20" i="16" l="1"/>
  <c r="V20" i="16" s="1"/>
  <c r="AP20" i="16"/>
  <c r="AX20" i="16"/>
  <c r="Y20" i="16" s="1"/>
  <c r="AW19" i="16"/>
  <c r="V19" i="16" s="1"/>
  <c r="AX19" i="16"/>
  <c r="Y19" i="16" s="1"/>
  <c r="AP19" i="16"/>
  <c r="J19" i="16" l="1"/>
  <c r="AB13" i="15" l="1"/>
  <c r="U8" i="15" s="1"/>
  <c r="P21" i="15" s="1"/>
  <c r="BD39" i="15" l="1"/>
  <c r="BD38" i="15"/>
  <c r="AU11" i="4" l="1"/>
  <c r="AV11" i="4"/>
  <c r="AH7" i="4"/>
  <c r="AH10" i="4" l="1"/>
  <c r="AH9" i="4"/>
  <c r="AH8" i="4"/>
  <c r="W8" i="12" s="1"/>
  <c r="AH6" i="4"/>
  <c r="W6" i="12" s="1"/>
  <c r="W7" i="12"/>
  <c r="AG41" i="7" l="1"/>
  <c r="F41" i="7"/>
  <c r="F29" i="7" l="1"/>
  <c r="AG29" i="7"/>
  <c r="F63" i="19" l="1"/>
  <c r="G63" i="19" l="1"/>
  <c r="F26" i="7" l="1"/>
  <c r="AG26" i="7"/>
  <c r="AX51" i="20" l="1"/>
  <c r="AO15" i="4"/>
  <c r="AN15" i="4" s="1"/>
  <c r="D13" i="19" s="1"/>
  <c r="AT15" i="4" l="1"/>
  <c r="AS15" i="4"/>
  <c r="AS16" i="4" s="1"/>
  <c r="AS17" i="4" s="1"/>
  <c r="AS18" i="4" s="1"/>
  <c r="AS19" i="4" s="1"/>
  <c r="AS20" i="4" s="1"/>
  <c r="AS21" i="4" s="1"/>
  <c r="AS22" i="4" s="1"/>
  <c r="AS23" i="4" s="1"/>
  <c r="AS24" i="4" s="1"/>
  <c r="AS25" i="4" s="1"/>
  <c r="AS26" i="4" s="1"/>
  <c r="AS27" i="4" s="1"/>
  <c r="AS28" i="4" s="1"/>
  <c r="AS29" i="4" s="1"/>
  <c r="AS30" i="4" s="1"/>
  <c r="AS31" i="4" s="1"/>
  <c r="AS32" i="4" s="1"/>
  <c r="AS33" i="4" s="1"/>
  <c r="AS34" i="4" s="1"/>
  <c r="AS35" i="4" s="1"/>
  <c r="AS36" i="4" s="1"/>
  <c r="AS37" i="4" s="1"/>
  <c r="AS38" i="4" s="1"/>
  <c r="AS39" i="4" s="1"/>
  <c r="AS40" i="4" s="1"/>
  <c r="AS41" i="4" s="1"/>
  <c r="AS42" i="4" s="1"/>
  <c r="AS43" i="4" s="1"/>
  <c r="AS44" i="4" s="1"/>
  <c r="AS45" i="4" s="1"/>
  <c r="AS46" i="4" s="1"/>
  <c r="AS47" i="4" s="1"/>
  <c r="AS48" i="4" s="1"/>
  <c r="AS49" i="4" s="1"/>
  <c r="AS50" i="4" s="1"/>
  <c r="AS51" i="4" s="1"/>
  <c r="AS52" i="4" s="1"/>
  <c r="AS53" i="4" s="1"/>
  <c r="AS54" i="4" s="1"/>
  <c r="AS55" i="4" s="1"/>
  <c r="AS56" i="4" s="1"/>
  <c r="AS57" i="4" s="1"/>
  <c r="AS58" i="4" s="1"/>
  <c r="AS59" i="4" s="1"/>
  <c r="AS60" i="4" s="1"/>
  <c r="AS61" i="4" s="1"/>
  <c r="AS62" i="4" s="1"/>
  <c r="AS63" i="4" s="1"/>
  <c r="AS64" i="4" s="1"/>
  <c r="AU54" i="20"/>
  <c r="AT54" i="20"/>
  <c r="AU39" i="20"/>
  <c r="AT39" i="20"/>
  <c r="AU26" i="20"/>
  <c r="AT26" i="20"/>
  <c r="AU25" i="20"/>
  <c r="AT25" i="20"/>
  <c r="AU61" i="20"/>
  <c r="AT61" i="20"/>
  <c r="AT66" i="20"/>
  <c r="AU66" i="20"/>
  <c r="AU63" i="20"/>
  <c r="AT63" i="20"/>
  <c r="AT60" i="20"/>
  <c r="AU60" i="20"/>
  <c r="AU46" i="20"/>
  <c r="AT46" i="20"/>
  <c r="AU40" i="20"/>
  <c r="AT40" i="20"/>
  <c r="AU51" i="20"/>
  <c r="AT51" i="20"/>
  <c r="AT32" i="20"/>
  <c r="AU32" i="20"/>
  <c r="AU62" i="20"/>
  <c r="AT62" i="20"/>
  <c r="AU59" i="20"/>
  <c r="AT59" i="20"/>
  <c r="AU35" i="20"/>
  <c r="AT35" i="20"/>
  <c r="AT34" i="20"/>
  <c r="AU34" i="20"/>
  <c r="AU29" i="20"/>
  <c r="AT29" i="20"/>
  <c r="AT24" i="20"/>
  <c r="AU24" i="20"/>
  <c r="AU53" i="20"/>
  <c r="AT53" i="20"/>
  <c r="AU28" i="20"/>
  <c r="AT28" i="20"/>
  <c r="AB24" i="15"/>
  <c r="AU27" i="20"/>
  <c r="AI15" i="4"/>
  <c r="AR15" i="4"/>
  <c r="AY34" i="20" l="1"/>
  <c r="AY60" i="20"/>
  <c r="BB26" i="20"/>
  <c r="BB54" i="20"/>
  <c r="BB24" i="20"/>
  <c r="BB62" i="20"/>
  <c r="AY53" i="20"/>
  <c r="AY28" i="20"/>
  <c r="AY35" i="20"/>
  <c r="BB59" i="20"/>
  <c r="AY59" i="20"/>
  <c r="AT27" i="20"/>
  <c r="BB40" i="20"/>
  <c r="BB63" i="20"/>
  <c r="BB39" i="20"/>
  <c r="BB53" i="20"/>
  <c r="BB28" i="20"/>
  <c r="AY24" i="20"/>
  <c r="BB35" i="20"/>
  <c r="AY46" i="20"/>
  <c r="BB60" i="20"/>
  <c r="AY25" i="20"/>
  <c r="AY29" i="20"/>
  <c r="BB34" i="20"/>
  <c r="AY62" i="20"/>
  <c r="BB32" i="20"/>
  <c r="BB51" i="20"/>
  <c r="AY51" i="20"/>
  <c r="BB46" i="20"/>
  <c r="BB61" i="20"/>
  <c r="AY61" i="20"/>
  <c r="AX65" i="20"/>
  <c r="BB25" i="20"/>
  <c r="AY26" i="20"/>
  <c r="AY54" i="20"/>
  <c r="BB29" i="20"/>
  <c r="AY32" i="20"/>
  <c r="AY40" i="20"/>
  <c r="AY63" i="20"/>
  <c r="AY66" i="20"/>
  <c r="BB66" i="20"/>
  <c r="AB22" i="15"/>
  <c r="AX58" i="20"/>
  <c r="AY39" i="20"/>
  <c r="AX36" i="20"/>
  <c r="AB23" i="15"/>
  <c r="AX20" i="20"/>
  <c r="AU65" i="20" l="1"/>
  <c r="AT65" i="20"/>
  <c r="AU58" i="20"/>
  <c r="AT58" i="20"/>
  <c r="AY27" i="20"/>
  <c r="BB27" i="20"/>
  <c r="AT47" i="20"/>
  <c r="AB15" i="15"/>
  <c r="AU36" i="20"/>
  <c r="AU56" i="20"/>
  <c r="AU57" i="20"/>
  <c r="AT33" i="20"/>
  <c r="AX43" i="20"/>
  <c r="AB16" i="15"/>
  <c r="AU20" i="20"/>
  <c r="AT49" i="20"/>
  <c r="AU44" i="20"/>
  <c r="AU55" i="20"/>
  <c r="AU41" i="20"/>
  <c r="AU37" i="20"/>
  <c r="AT56" i="20" l="1"/>
  <c r="AY56" i="20" s="1"/>
  <c r="AU49" i="20"/>
  <c r="BB49" i="20" s="1"/>
  <c r="AY58" i="20"/>
  <c r="AT41" i="20"/>
  <c r="AT20" i="20"/>
  <c r="AU33" i="20"/>
  <c r="BB33" i="20" s="1"/>
  <c r="AX30" i="20"/>
  <c r="AT36" i="20"/>
  <c r="AY65" i="20"/>
  <c r="AT57" i="20"/>
  <c r="AT44" i="20"/>
  <c r="AT55" i="20"/>
  <c r="AT31" i="20"/>
  <c r="AU31" i="20"/>
  <c r="BB58" i="20"/>
  <c r="AU47" i="20"/>
  <c r="BB47" i="20" s="1"/>
  <c r="AT37" i="20"/>
  <c r="BB65" i="20"/>
  <c r="AU15" i="20"/>
  <c r="AB21" i="15"/>
  <c r="AU17" i="20"/>
  <c r="AU43" i="20"/>
  <c r="AB20" i="15"/>
  <c r="AU48" i="20"/>
  <c r="AU50" i="20"/>
  <c r="AT22" i="20"/>
  <c r="AT23" i="20"/>
  <c r="AT38" i="20"/>
  <c r="AJ5" i="5"/>
  <c r="C22" i="15" s="1"/>
  <c r="AT42" i="20"/>
  <c r="BV15" i="4"/>
  <c r="BW15" i="4" s="1"/>
  <c r="BY15" i="4" s="1"/>
  <c r="AU30" i="20" l="1"/>
  <c r="AY37" i="20"/>
  <c r="AY44" i="20"/>
  <c r="AY41" i="20"/>
  <c r="BB37" i="20"/>
  <c r="AT17" i="20"/>
  <c r="AU22" i="20"/>
  <c r="BB22" i="20" s="1"/>
  <c r="AU23" i="20"/>
  <c r="AY23" i="20" s="1"/>
  <c r="AT15" i="20"/>
  <c r="AY57" i="20"/>
  <c r="AT30" i="20"/>
  <c r="AT43" i="20"/>
  <c r="AY49" i="20"/>
  <c r="AY33" i="20"/>
  <c r="AT48" i="20"/>
  <c r="BB48" i="20" s="1"/>
  <c r="BB31" i="20"/>
  <c r="AY36" i="20"/>
  <c r="AY47" i="20"/>
  <c r="BB36" i="20"/>
  <c r="AT50" i="20"/>
  <c r="AU38" i="20"/>
  <c r="BB44" i="20"/>
  <c r="AU42" i="20"/>
  <c r="BB42" i="20" s="1"/>
  <c r="AY31" i="20"/>
  <c r="BB55" i="20"/>
  <c r="AY55" i="20"/>
  <c r="BB20" i="20"/>
  <c r="AY20" i="20"/>
  <c r="BB41" i="20"/>
  <c r="BB57" i="20"/>
  <c r="BB56" i="20"/>
  <c r="AU21" i="20"/>
  <c r="AY30" i="20" l="1"/>
  <c r="AY22" i="20"/>
  <c r="BB38" i="20"/>
  <c r="AY43" i="20"/>
  <c r="AY17" i="20"/>
  <c r="AY48" i="20"/>
  <c r="AY15" i="20"/>
  <c r="BB43" i="20"/>
  <c r="BB17" i="20"/>
  <c r="AY42" i="20"/>
  <c r="AY50" i="20"/>
  <c r="BB23" i="20"/>
  <c r="BB50" i="20"/>
  <c r="BB15" i="20"/>
  <c r="BB30" i="20"/>
  <c r="AY38" i="20"/>
  <c r="AT52" i="20"/>
  <c r="AJ6" i="5" l="1"/>
  <c r="C23" i="15" s="1"/>
  <c r="BG10" i="4" l="1"/>
  <c r="E22" i="19"/>
  <c r="G13" i="19"/>
  <c r="G19" i="19"/>
  <c r="H13" i="19"/>
  <c r="G22" i="19"/>
  <c r="H19" i="19"/>
  <c r="D19" i="19"/>
  <c r="H22" i="19"/>
  <c r="D22" i="19"/>
  <c r="E19" i="19"/>
  <c r="F22" i="19"/>
  <c r="T8" i="12"/>
  <c r="AL15" i="4"/>
  <c r="F21" i="19"/>
  <c r="F138" i="19"/>
  <c r="D120" i="19"/>
  <c r="G78" i="19"/>
  <c r="D96" i="19"/>
  <c r="H117" i="19"/>
  <c r="G21" i="19"/>
  <c r="H21" i="19"/>
  <c r="H30" i="19"/>
  <c r="F54" i="19"/>
  <c r="H54" i="19"/>
  <c r="H78" i="19"/>
  <c r="E222" i="19"/>
  <c r="T7" i="12"/>
  <c r="H249" i="19"/>
  <c r="G12" i="19"/>
  <c r="D33" i="19"/>
  <c r="F33" i="19"/>
  <c r="F75" i="19"/>
  <c r="G81" i="19"/>
  <c r="F93" i="19"/>
  <c r="F162" i="19"/>
  <c r="G222" i="19"/>
  <c r="E18" i="19"/>
  <c r="G18" i="19"/>
  <c r="G33" i="19"/>
  <c r="G39" i="19"/>
  <c r="G75" i="19"/>
  <c r="H81" i="19"/>
  <c r="E138" i="19"/>
  <c r="F120" i="19"/>
  <c r="G138" i="19"/>
  <c r="F165" i="19"/>
  <c r="F189" i="19"/>
  <c r="D243" i="19"/>
  <c r="O5" i="12"/>
  <c r="H120" i="19"/>
  <c r="E144" i="19"/>
  <c r="G165" i="19"/>
  <c r="H201" i="19"/>
  <c r="F246" i="19"/>
  <c r="D102" i="19"/>
  <c r="D117" i="19"/>
  <c r="G159" i="19"/>
  <c r="E162" i="19"/>
  <c r="F183" i="19"/>
  <c r="E207" i="19"/>
  <c r="F228" i="19"/>
  <c r="H228" i="19"/>
  <c r="AJ10" i="5" l="1"/>
  <c r="C27" i="15" s="1"/>
  <c r="T4" i="12"/>
  <c r="T6" i="12"/>
  <c r="O8" i="12"/>
  <c r="O4" i="12"/>
  <c r="T9" i="12"/>
  <c r="O6" i="12"/>
  <c r="T5" i="12"/>
  <c r="O7" i="12"/>
  <c r="T10" i="12"/>
  <c r="G54" i="19" l="1"/>
  <c r="AJ7" i="5" l="1"/>
  <c r="C24" i="15" s="1"/>
  <c r="G252" i="19"/>
  <c r="AT19" i="20" l="1"/>
  <c r="AT45" i="20"/>
  <c r="AT21" i="20"/>
  <c r="AU45" i="20"/>
  <c r="AU52" i="20"/>
  <c r="AU19" i="20"/>
  <c r="AY19" i="20" l="1"/>
  <c r="BB19" i="20"/>
  <c r="BB52" i="20"/>
  <c r="AY52" i="20"/>
  <c r="AY21" i="20"/>
  <c r="BB21" i="20"/>
  <c r="BB45" i="20"/>
  <c r="AY45" i="20"/>
  <c r="AX87" i="20" l="1"/>
  <c r="AX75" i="20"/>
  <c r="AX82" i="20"/>
  <c r="AX74" i="20"/>
  <c r="AX79" i="20"/>
  <c r="AX88" i="20"/>
  <c r="AX81" i="20"/>
  <c r="AX73" i="20"/>
  <c r="AX69" i="20"/>
  <c r="AX70" i="20"/>
  <c r="AX84" i="20"/>
  <c r="AX83" i="20"/>
  <c r="AX86" i="20"/>
  <c r="AX85" i="20"/>
  <c r="AX77" i="20"/>
  <c r="AX76" i="20"/>
  <c r="AX78" i="20"/>
  <c r="AX80" i="20"/>
  <c r="AX71" i="20"/>
  <c r="AX72" i="20"/>
  <c r="AX91" i="20"/>
  <c r="AX114" i="20"/>
  <c r="AX124" i="20"/>
  <c r="AX109" i="20"/>
  <c r="AX113" i="20"/>
  <c r="AX100" i="20"/>
  <c r="AX93" i="20"/>
  <c r="AX99" i="20"/>
  <c r="AX133" i="20"/>
  <c r="AX89" i="20"/>
  <c r="AX119" i="20"/>
  <c r="AX95" i="20"/>
  <c r="AX125" i="20"/>
  <c r="AX112" i="20"/>
  <c r="AX120" i="20"/>
  <c r="AX102" i="20"/>
  <c r="AX129" i="20"/>
  <c r="AX126" i="20"/>
  <c r="AX127" i="20"/>
  <c r="AX132" i="20"/>
  <c r="AX105" i="20"/>
  <c r="AX118" i="20"/>
  <c r="AX108" i="20"/>
  <c r="AX130" i="20"/>
  <c r="AX92" i="20"/>
  <c r="AX115" i="20"/>
  <c r="AX90" i="20"/>
  <c r="AX111" i="20"/>
  <c r="AX104" i="20"/>
  <c r="AX101" i="20"/>
  <c r="AX98" i="20"/>
  <c r="AX110" i="20"/>
  <c r="AX117" i="20"/>
  <c r="AX107" i="20"/>
  <c r="AX116" i="20"/>
  <c r="AX122" i="20"/>
  <c r="AX106" i="20"/>
  <c r="AX103" i="20"/>
  <c r="AX94" i="20"/>
  <c r="AX131" i="20"/>
  <c r="AX96" i="20"/>
  <c r="AX97" i="20"/>
  <c r="AX123" i="20"/>
  <c r="AX121" i="20"/>
  <c r="AX128" i="20"/>
  <c r="AL13" i="4"/>
  <c r="AO13" i="4" s="1"/>
  <c r="AJ8" i="5"/>
  <c r="AB14" i="15"/>
  <c r="U9" i="15" s="1"/>
  <c r="AJ9" i="5"/>
  <c r="AX64" i="20"/>
  <c r="AN13" i="4" l="1"/>
  <c r="AR13" i="4"/>
  <c r="C26" i="15"/>
  <c r="C25" i="15"/>
  <c r="P22" i="15"/>
  <c r="AT81" i="20" l="1"/>
  <c r="AU85" i="20"/>
  <c r="AT83" i="20"/>
  <c r="AT76" i="20"/>
  <c r="AU78" i="20"/>
  <c r="AU71" i="20"/>
  <c r="AT84" i="20"/>
  <c r="AU87" i="20"/>
  <c r="AU80" i="20"/>
  <c r="AT72" i="20"/>
  <c r="AT85" i="20"/>
  <c r="AT77" i="20"/>
  <c r="AU82" i="20"/>
  <c r="AT71" i="20"/>
  <c r="AT74" i="20"/>
  <c r="AT87" i="20"/>
  <c r="AU79" i="20"/>
  <c r="AT79" i="20"/>
  <c r="AU70" i="20"/>
  <c r="AU76" i="20"/>
  <c r="AU86" i="20"/>
  <c r="AT78" i="20"/>
  <c r="AU84" i="20"/>
  <c r="AT80" i="20"/>
  <c r="AT70" i="20"/>
  <c r="AU83" i="20"/>
  <c r="AT75" i="20"/>
  <c r="AU72" i="20"/>
  <c r="AU88" i="20"/>
  <c r="AU77" i="20"/>
  <c r="AU74" i="20"/>
  <c r="AU69" i="20"/>
  <c r="AU73" i="20"/>
  <c r="AT69" i="20"/>
  <c r="AT86" i="20"/>
  <c r="AU75" i="20"/>
  <c r="AU81" i="20"/>
  <c r="AT82" i="20"/>
  <c r="AT73" i="20"/>
  <c r="AT88" i="20"/>
  <c r="AT116" i="20"/>
  <c r="AU130" i="20"/>
  <c r="AT122" i="20"/>
  <c r="AT92" i="20"/>
  <c r="AU106" i="20"/>
  <c r="AT115" i="20"/>
  <c r="AU103" i="20"/>
  <c r="AU90" i="20"/>
  <c r="AU94" i="20"/>
  <c r="AT111" i="20"/>
  <c r="AU131" i="20"/>
  <c r="AU104" i="20"/>
  <c r="AT96" i="20"/>
  <c r="AU101" i="20"/>
  <c r="AT97" i="20"/>
  <c r="AU98" i="20"/>
  <c r="AU123" i="20"/>
  <c r="AU110" i="20"/>
  <c r="AU121" i="20"/>
  <c r="AU117" i="20"/>
  <c r="AT128" i="20"/>
  <c r="AT107" i="20"/>
  <c r="AT91" i="20"/>
  <c r="AU116" i="20"/>
  <c r="AT114" i="20"/>
  <c r="AU122" i="20"/>
  <c r="AT124" i="20"/>
  <c r="AT106" i="20"/>
  <c r="AU109" i="20"/>
  <c r="AT103" i="20"/>
  <c r="AT113" i="20"/>
  <c r="AT94" i="20"/>
  <c r="AU100" i="20"/>
  <c r="AT131" i="20"/>
  <c r="AU93" i="20"/>
  <c r="AU96" i="20"/>
  <c r="AU99" i="20"/>
  <c r="AU97" i="20"/>
  <c r="AT133" i="20"/>
  <c r="AT123" i="20"/>
  <c r="AT89" i="20"/>
  <c r="AT121" i="20"/>
  <c r="AT119" i="20"/>
  <c r="AU128" i="20"/>
  <c r="AU95" i="20"/>
  <c r="AU91" i="20"/>
  <c r="AT125" i="20"/>
  <c r="AU114" i="20"/>
  <c r="AT112" i="20"/>
  <c r="AU124" i="20"/>
  <c r="AT120" i="20"/>
  <c r="AT109" i="20"/>
  <c r="AT102" i="20"/>
  <c r="AU113" i="20"/>
  <c r="AU129" i="20"/>
  <c r="AT100" i="20"/>
  <c r="AT126" i="20"/>
  <c r="AT93" i="20"/>
  <c r="AU127" i="20"/>
  <c r="AT99" i="20"/>
  <c r="AT132" i="20"/>
  <c r="AU133" i="20"/>
  <c r="AT105" i="20"/>
  <c r="AU89" i="20"/>
  <c r="AU118" i="20"/>
  <c r="AU119" i="20"/>
  <c r="AU108" i="20"/>
  <c r="AT95" i="20"/>
  <c r="AT130" i="20"/>
  <c r="AU125" i="20"/>
  <c r="AU92" i="20"/>
  <c r="AU112" i="20"/>
  <c r="AU115" i="20"/>
  <c r="AU120" i="20"/>
  <c r="AT90" i="20"/>
  <c r="AU102" i="20"/>
  <c r="AU111" i="20"/>
  <c r="AT129" i="20"/>
  <c r="AT104" i="20"/>
  <c r="AU126" i="20"/>
  <c r="AT101" i="20"/>
  <c r="AT127" i="20"/>
  <c r="AT98" i="20"/>
  <c r="AU132" i="20"/>
  <c r="AT110" i="20"/>
  <c r="AU105" i="20"/>
  <c r="AT117" i="20"/>
  <c r="AT118" i="20"/>
  <c r="AU107" i="20"/>
  <c r="AT108" i="20"/>
  <c r="AS13" i="4"/>
  <c r="AT13" i="4"/>
  <c r="AI13" i="4"/>
  <c r="C16" i="20"/>
  <c r="D16" i="20"/>
  <c r="AT64" i="20"/>
  <c r="AU64" i="20"/>
  <c r="AY118" i="20" l="1"/>
  <c r="BB132" i="20"/>
  <c r="BB126" i="20"/>
  <c r="BB102" i="20"/>
  <c r="BB112" i="20"/>
  <c r="AY95" i="20"/>
  <c r="BB89" i="20"/>
  <c r="AY99" i="20"/>
  <c r="AY100" i="20"/>
  <c r="AY109" i="20"/>
  <c r="BB114" i="20"/>
  <c r="BB128" i="20"/>
  <c r="AY123" i="20"/>
  <c r="BB96" i="20"/>
  <c r="AY94" i="20"/>
  <c r="AY106" i="20"/>
  <c r="BB116" i="20"/>
  <c r="BB117" i="20"/>
  <c r="BB98" i="20"/>
  <c r="BB104" i="20"/>
  <c r="BB90" i="20"/>
  <c r="AY92" i="20"/>
  <c r="AY88" i="20"/>
  <c r="BB75" i="20"/>
  <c r="BB69" i="20"/>
  <c r="BB72" i="20"/>
  <c r="AY80" i="20"/>
  <c r="BB76" i="20"/>
  <c r="AY87" i="20"/>
  <c r="AY77" i="20"/>
  <c r="BB87" i="20"/>
  <c r="AY76" i="20"/>
  <c r="AY117" i="20"/>
  <c r="AY98" i="20"/>
  <c r="AY104" i="20"/>
  <c r="AY90" i="20"/>
  <c r="BB92" i="20"/>
  <c r="BB108" i="20"/>
  <c r="AY105" i="20"/>
  <c r="BB127" i="20"/>
  <c r="BB129" i="20"/>
  <c r="AY120" i="20"/>
  <c r="AY125" i="20"/>
  <c r="AY119" i="20"/>
  <c r="AY133" i="20"/>
  <c r="BB93" i="20"/>
  <c r="AY113" i="20"/>
  <c r="AY124" i="20"/>
  <c r="AY91" i="20"/>
  <c r="BB121" i="20"/>
  <c r="AY97" i="20"/>
  <c r="BB131" i="20"/>
  <c r="BB103" i="20"/>
  <c r="AY122" i="20"/>
  <c r="AY73" i="20"/>
  <c r="AY86" i="20"/>
  <c r="BB74" i="20"/>
  <c r="AY75" i="20"/>
  <c r="BB84" i="20"/>
  <c r="BB70" i="20"/>
  <c r="AY74" i="20"/>
  <c r="AY85" i="20"/>
  <c r="AY84" i="20"/>
  <c r="AY83" i="20"/>
  <c r="AY108" i="20"/>
  <c r="BB105" i="20"/>
  <c r="AY127" i="20"/>
  <c r="AY129" i="20"/>
  <c r="BB120" i="20"/>
  <c r="BB125" i="20"/>
  <c r="BB119" i="20"/>
  <c r="BB133" i="20"/>
  <c r="AY93" i="20"/>
  <c r="BB113" i="20"/>
  <c r="BB124" i="20"/>
  <c r="BB91" i="20"/>
  <c r="AY121" i="20"/>
  <c r="BB97" i="20"/>
  <c r="AY131" i="20"/>
  <c r="AY103" i="20"/>
  <c r="BB122" i="20"/>
  <c r="AY107" i="20"/>
  <c r="BB110" i="20"/>
  <c r="BB101" i="20"/>
  <c r="AY111" i="20"/>
  <c r="AY115" i="20"/>
  <c r="BB130" i="20"/>
  <c r="AY82" i="20"/>
  <c r="AY69" i="20"/>
  <c r="BB77" i="20"/>
  <c r="BB83" i="20"/>
  <c r="AY78" i="20"/>
  <c r="AY79" i="20"/>
  <c r="AY71" i="20"/>
  <c r="AY72" i="20"/>
  <c r="BB71" i="20"/>
  <c r="BB85" i="20"/>
  <c r="BB107" i="20"/>
  <c r="AY110" i="20"/>
  <c r="AY101" i="20"/>
  <c r="BB111" i="20"/>
  <c r="BB115" i="20"/>
  <c r="AY130" i="20"/>
  <c r="BB118" i="20"/>
  <c r="AY132" i="20"/>
  <c r="AY126" i="20"/>
  <c r="AY102" i="20"/>
  <c r="AY112" i="20"/>
  <c r="BB95" i="20"/>
  <c r="AY89" i="20"/>
  <c r="BB99" i="20"/>
  <c r="BB100" i="20"/>
  <c r="BB109" i="20"/>
  <c r="AY114" i="20"/>
  <c r="AY128" i="20"/>
  <c r="BB123" i="20"/>
  <c r="AY96" i="20"/>
  <c r="BB94" i="20"/>
  <c r="BB106" i="20"/>
  <c r="AY116" i="20"/>
  <c r="BB81" i="20"/>
  <c r="BB73" i="20"/>
  <c r="BB88" i="20"/>
  <c r="AY70" i="20"/>
  <c r="BB86" i="20"/>
  <c r="BB79" i="20"/>
  <c r="BB82" i="20"/>
  <c r="BB80" i="20"/>
  <c r="BB78" i="20"/>
  <c r="AY81" i="20"/>
  <c r="BB64" i="20"/>
  <c r="B16" i="20"/>
  <c r="AY64" i="20"/>
  <c r="E16" i="20" l="1"/>
  <c r="AV4" i="5"/>
  <c r="AV5" i="5" l="1"/>
  <c r="AV6" i="5"/>
  <c r="AR4" i="5"/>
  <c r="G6" i="5"/>
  <c r="AR6" i="5" l="1"/>
  <c r="G8" i="5"/>
  <c r="G7" i="5"/>
  <c r="AR5" i="5"/>
  <c r="AZ5" i="5" l="1"/>
  <c r="H7" i="5" s="1"/>
  <c r="AX5" i="5"/>
  <c r="AW5" i="5"/>
  <c r="AZ6" i="5"/>
  <c r="H8" i="5" s="1"/>
  <c r="AW6" i="5"/>
  <c r="AX6" i="5"/>
  <c r="AY6" i="5" l="1"/>
  <c r="M8" i="5" s="1"/>
  <c r="BB6" i="5"/>
  <c r="O8" i="5" s="1"/>
  <c r="AY5" i="5"/>
  <c r="M7" i="5" s="1"/>
  <c r="I8" i="5" l="1"/>
  <c r="I7" i="5"/>
  <c r="O38" i="7" l="1"/>
  <c r="O37" i="7"/>
  <c r="O36" i="7"/>
  <c r="O33" i="7"/>
  <c r="O32" i="7"/>
  <c r="O31" i="7"/>
  <c r="O30" i="7"/>
  <c r="O29" i="7"/>
  <c r="O28" i="7"/>
  <c r="O27" i="7"/>
  <c r="O25" i="7"/>
  <c r="O23" i="7"/>
  <c r="BV47" i="4" l="1"/>
  <c r="BW47" i="4" s="1"/>
  <c r="BY47" i="4" s="1"/>
  <c r="BV48" i="4"/>
  <c r="BW48" i="4" s="1"/>
  <c r="BY48" i="4" s="1"/>
  <c r="BV49" i="4"/>
  <c r="BW49" i="4" s="1"/>
  <c r="BY49" i="4" s="1"/>
  <c r="BV50" i="4"/>
  <c r="BW50" i="4" s="1"/>
  <c r="BY50" i="4" s="1"/>
  <c r="BV51" i="4"/>
  <c r="BW51" i="4" s="1"/>
  <c r="BY51" i="4" s="1"/>
  <c r="BV52" i="4"/>
  <c r="BW52" i="4" s="1"/>
  <c r="BY52" i="4" s="1"/>
  <c r="BV53" i="4"/>
  <c r="BW53" i="4" s="1"/>
  <c r="BY53" i="4" s="1"/>
  <c r="BV54" i="4"/>
  <c r="BW54" i="4" s="1"/>
  <c r="BY54" i="4" s="1"/>
  <c r="BV55" i="4"/>
  <c r="BW55" i="4" s="1"/>
  <c r="BY55" i="4" s="1"/>
  <c r="BV56" i="4"/>
  <c r="BW56" i="4" s="1"/>
  <c r="BY56" i="4" s="1"/>
  <c r="BV57" i="4"/>
  <c r="BW57" i="4" s="1"/>
  <c r="BY57" i="4" s="1"/>
  <c r="BV58" i="4"/>
  <c r="BW58" i="4" s="1"/>
  <c r="BY58" i="4" s="1"/>
  <c r="BV59" i="4"/>
  <c r="BW59" i="4" s="1"/>
  <c r="BY59" i="4" s="1"/>
  <c r="BV60" i="4"/>
  <c r="BW60" i="4" s="1"/>
  <c r="BY60" i="4" s="1"/>
  <c r="BV61" i="4"/>
  <c r="BW61" i="4" s="1"/>
  <c r="BY61" i="4" s="1"/>
  <c r="BV62" i="4"/>
  <c r="BW62" i="4" s="1"/>
  <c r="BY62" i="4" s="1"/>
  <c r="BV63" i="4"/>
  <c r="BW63" i="4" s="1"/>
  <c r="BY63" i="4" s="1"/>
  <c r="BV64" i="4"/>
  <c r="BW64" i="4" s="1"/>
  <c r="BY64" i="4" s="1"/>
  <c r="AX18" i="20" l="1"/>
  <c r="AZ4" i="5" l="1"/>
  <c r="H6" i="5" s="1"/>
  <c r="C15" i="20" l="1"/>
  <c r="D15" i="20"/>
  <c r="AU18" i="20"/>
  <c r="AT18" i="20"/>
  <c r="B15" i="20" l="1"/>
  <c r="AY18" i="20"/>
  <c r="AW4" i="5"/>
  <c r="BB18" i="20"/>
  <c r="AX4" i="5"/>
  <c r="AY4" i="5" l="1"/>
  <c r="M6" i="5" s="1"/>
  <c r="I6" i="5"/>
  <c r="E15" i="20"/>
  <c r="AV7" i="5"/>
  <c r="AR7" i="5" s="1"/>
  <c r="AV8" i="5"/>
  <c r="AR8" i="5" s="1"/>
  <c r="AX8" i="5" s="1"/>
  <c r="AZ8" i="5" l="1"/>
  <c r="H10" i="5" s="1"/>
  <c r="AW8" i="5"/>
  <c r="AY8" i="5" s="1"/>
  <c r="M10" i="5" s="1"/>
  <c r="G10" i="5"/>
  <c r="G9" i="5"/>
  <c r="I10" i="5" l="1"/>
  <c r="G21" i="7"/>
  <c r="H21" i="7"/>
  <c r="BV16" i="4"/>
  <c r="BW16" i="4" s="1"/>
  <c r="BY16" i="4" s="1"/>
  <c r="G42" i="7"/>
  <c r="H42" i="7"/>
  <c r="G41" i="7"/>
  <c r="H41" i="7"/>
  <c r="G40" i="7"/>
  <c r="H40" i="7"/>
  <c r="G39" i="7"/>
  <c r="H39" i="7"/>
  <c r="G38" i="7"/>
  <c r="H38" i="7"/>
  <c r="G37" i="7"/>
  <c r="H37" i="7"/>
  <c r="G36" i="7"/>
  <c r="H36" i="7"/>
  <c r="G35" i="7"/>
  <c r="H35" i="7"/>
  <c r="G34" i="7"/>
  <c r="H34" i="7"/>
  <c r="G33" i="7"/>
  <c r="H33" i="7"/>
  <c r="G32" i="7"/>
  <c r="H32" i="7"/>
  <c r="G31" i="7"/>
  <c r="H31" i="7"/>
  <c r="G30" i="7"/>
  <c r="H30" i="7"/>
  <c r="G29" i="7"/>
  <c r="H29" i="7"/>
  <c r="G28" i="7"/>
  <c r="H28" i="7"/>
  <c r="G27" i="7"/>
  <c r="H27" i="7"/>
  <c r="G26" i="7"/>
  <c r="H26" i="7"/>
  <c r="G25" i="7"/>
  <c r="H25" i="7"/>
  <c r="G24" i="7"/>
  <c r="H24" i="7"/>
  <c r="G23" i="7"/>
  <c r="H23" i="7"/>
  <c r="BJ15" i="4"/>
  <c r="BK15" i="4" s="1"/>
  <c r="AN4" i="4"/>
  <c r="BF6" i="5" s="1"/>
  <c r="BK4" i="4"/>
  <c r="BL4" i="4" s="1"/>
  <c r="M21" i="7"/>
  <c r="AA13" i="15" s="1"/>
  <c r="Z13" i="15" s="1"/>
  <c r="AA14" i="15" s="1"/>
  <c r="Z14" i="15" s="1"/>
  <c r="AA15" i="15" s="1"/>
  <c r="Z15" i="15" s="1"/>
  <c r="AA16" i="15" s="1"/>
  <c r="Z16" i="15" s="1"/>
  <c r="AA17" i="15" s="1"/>
  <c r="Z17" i="15" s="1"/>
  <c r="AA18" i="15" s="1"/>
  <c r="Z18" i="15" s="1"/>
  <c r="AA19" i="15" s="1"/>
  <c r="Z19" i="15" s="1"/>
  <c r="AA20" i="15" s="1"/>
  <c r="Z20" i="15" s="1"/>
  <c r="AA21" i="15" s="1"/>
  <c r="Z21" i="15" s="1"/>
  <c r="AA22" i="15" s="1"/>
  <c r="Z22" i="15" s="1"/>
  <c r="AA23" i="15" s="1"/>
  <c r="Z23" i="15" s="1"/>
  <c r="AA24" i="15" s="1"/>
  <c r="Z24" i="15" s="1"/>
  <c r="AA25" i="15" s="1"/>
  <c r="Z25" i="15" s="1"/>
  <c r="X32" i="15"/>
  <c r="BF11" i="5"/>
  <c r="I39" i="15" s="1"/>
  <c r="C35" i="20"/>
  <c r="C18" i="20"/>
  <c r="D18" i="20"/>
  <c r="F35" i="20"/>
  <c r="F14" i="20"/>
  <c r="F16" i="20"/>
  <c r="F17" i="20"/>
  <c r="F18" i="20"/>
  <c r="F20" i="20"/>
  <c r="F21" i="20"/>
  <c r="F22" i="20"/>
  <c r="F24" i="20"/>
  <c r="F25" i="20"/>
  <c r="F26" i="20"/>
  <c r="F28" i="20"/>
  <c r="F29" i="20"/>
  <c r="F30" i="20"/>
  <c r="F32" i="20"/>
  <c r="F33" i="20"/>
  <c r="G35" i="20"/>
  <c r="G15" i="20"/>
  <c r="I15" i="20" s="1"/>
  <c r="G16" i="20"/>
  <c r="I16" i="20" s="1"/>
  <c r="G17" i="20"/>
  <c r="I17" i="20" s="1"/>
  <c r="G19" i="20"/>
  <c r="G20" i="20"/>
  <c r="G21" i="20"/>
  <c r="G23" i="20"/>
  <c r="G24" i="20"/>
  <c r="G25" i="20"/>
  <c r="G27" i="20"/>
  <c r="G28" i="20"/>
  <c r="K28" i="20" s="1"/>
  <c r="N28" i="20" s="1"/>
  <c r="G29" i="20"/>
  <c r="G31" i="20"/>
  <c r="G32" i="20"/>
  <c r="K32" i="20" s="1"/>
  <c r="N32" i="20" s="1"/>
  <c r="G33" i="20"/>
  <c r="G22" i="7"/>
  <c r="I9" i="8" s="1"/>
  <c r="H22" i="7"/>
  <c r="H14" i="20"/>
  <c r="H16" i="20"/>
  <c r="H17" i="20"/>
  <c r="K20" i="20"/>
  <c r="N20" i="20" s="1"/>
  <c r="K24" i="20"/>
  <c r="N24" i="20" s="1"/>
  <c r="U39" i="15"/>
  <c r="I35" i="15"/>
  <c r="I34" i="15"/>
  <c r="AP5" i="12"/>
  <c r="P15" i="15"/>
  <c r="U31" i="15"/>
  <c r="T21" i="7"/>
  <c r="I36" i="15"/>
  <c r="I37" i="15"/>
  <c r="AX16" i="20"/>
  <c r="AQ30" i="20" s="1"/>
  <c r="AR97" i="20"/>
  <c r="N97" i="5" s="1"/>
  <c r="AP97" i="20" s="1"/>
  <c r="V39" i="15"/>
  <c r="AT16" i="20"/>
  <c r="AW7" i="5" s="1"/>
  <c r="BC7" i="5" s="1"/>
  <c r="P9" i="5" s="1"/>
  <c r="AU16" i="20"/>
  <c r="AX7" i="5" s="1"/>
  <c r="BB4" i="5"/>
  <c r="O6" i="5" s="1"/>
  <c r="M35" i="7"/>
  <c r="AQ23" i="7" s="1"/>
  <c r="M37" i="7"/>
  <c r="AQ25" i="7" s="1"/>
  <c r="M38" i="7"/>
  <c r="AQ26" i="7" s="1"/>
  <c r="M39" i="7"/>
  <c r="AQ27" i="7" s="1"/>
  <c r="M40" i="7"/>
  <c r="AQ28" i="7" s="1"/>
  <c r="M41" i="7"/>
  <c r="AQ29" i="7" s="1"/>
  <c r="M42" i="7"/>
  <c r="AQ30" i="7" s="1"/>
  <c r="G43" i="7"/>
  <c r="H43" i="7"/>
  <c r="G44" i="7"/>
  <c r="H44" i="7"/>
  <c r="G45" i="7"/>
  <c r="H45" i="7"/>
  <c r="G46" i="7"/>
  <c r="H46" i="7"/>
  <c r="M23" i="7"/>
  <c r="AO23" i="7" s="1"/>
  <c r="M25" i="7"/>
  <c r="AO25" i="7" s="1"/>
  <c r="M27" i="7"/>
  <c r="AO27" i="7" s="1"/>
  <c r="M29" i="7"/>
  <c r="AO29" i="7" s="1"/>
  <c r="M31" i="7"/>
  <c r="AO31" i="7" s="1"/>
  <c r="M33" i="7"/>
  <c r="AO33" i="7" s="1"/>
  <c r="BB5" i="5"/>
  <c r="O7" i="5" s="1"/>
  <c r="V8" i="15"/>
  <c r="V13" i="15" s="1"/>
  <c r="R21" i="15" s="1"/>
  <c r="J9" i="8"/>
  <c r="J10" i="8" s="1"/>
  <c r="AC21" i="7"/>
  <c r="AB23" i="7"/>
  <c r="AC23" i="7"/>
  <c r="AB24" i="7"/>
  <c r="AC24" i="7"/>
  <c r="AB25" i="7"/>
  <c r="AC25" i="7"/>
  <c r="AB26" i="7"/>
  <c r="AC26" i="7"/>
  <c r="AB27" i="7"/>
  <c r="AC27" i="7"/>
  <c r="AB28" i="7"/>
  <c r="AC28" i="7"/>
  <c r="AB29" i="7"/>
  <c r="AC29" i="7"/>
  <c r="AB30" i="7"/>
  <c r="AC30" i="7"/>
  <c r="AB31" i="7"/>
  <c r="AC31" i="7"/>
  <c r="AB32" i="7"/>
  <c r="AC32" i="7"/>
  <c r="AB33" i="7"/>
  <c r="AC33" i="7"/>
  <c r="AB34" i="7"/>
  <c r="AC34" i="7"/>
  <c r="AB35" i="7"/>
  <c r="AC35" i="7"/>
  <c r="AB36" i="7"/>
  <c r="AC36" i="7"/>
  <c r="AB37" i="7"/>
  <c r="AC37" i="7"/>
  <c r="AB38" i="7"/>
  <c r="AC38" i="7"/>
  <c r="AB39" i="7"/>
  <c r="AC39" i="7"/>
  <c r="AB40" i="7"/>
  <c r="AC40" i="7"/>
  <c r="AB41" i="7"/>
  <c r="AC41" i="7"/>
  <c r="AB42" i="7"/>
  <c r="AC42" i="7"/>
  <c r="AB43" i="7"/>
  <c r="AC43" i="7"/>
  <c r="AB44" i="7"/>
  <c r="AC44" i="7"/>
  <c r="AB45" i="7"/>
  <c r="AC45" i="7"/>
  <c r="AB46" i="7"/>
  <c r="AC46" i="7"/>
  <c r="AB47" i="7"/>
  <c r="AC47" i="7"/>
  <c r="AV24" i="20"/>
  <c r="AW24" i="20"/>
  <c r="AY16" i="20"/>
  <c r="AV16" i="20" s="1"/>
  <c r="H35" i="20"/>
  <c r="U34" i="7"/>
  <c r="H21" i="20"/>
  <c r="I21" i="20"/>
  <c r="I27" i="20"/>
  <c r="R28" i="7"/>
  <c r="AV26" i="20"/>
  <c r="AW26" i="20"/>
  <c r="H24" i="20"/>
  <c r="I24" i="20"/>
  <c r="AC27" i="15"/>
  <c r="AC28" i="15"/>
  <c r="BJ13" i="4"/>
  <c r="BM13" i="4" s="1"/>
  <c r="V37" i="15"/>
  <c r="AT4" i="4"/>
  <c r="H29" i="20"/>
  <c r="I29" i="20"/>
  <c r="BM15" i="4"/>
  <c r="BM16" i="4" s="1"/>
  <c r="BM17" i="4" s="1"/>
  <c r="BM18" i="4" s="1"/>
  <c r="BM19" i="4" s="1"/>
  <c r="BM20" i="4" s="1"/>
  <c r="BM21" i="4" s="1"/>
  <c r="BM22" i="4" s="1"/>
  <c r="BM23" i="4" s="1"/>
  <c r="BM24" i="4" s="1"/>
  <c r="BM25" i="4" s="1"/>
  <c r="BM26" i="4" s="1"/>
  <c r="BM27" i="4" s="1"/>
  <c r="BM28" i="4" s="1"/>
  <c r="BM29" i="4" s="1"/>
  <c r="BM30" i="4" s="1"/>
  <c r="BM31" i="4" s="1"/>
  <c r="BM32" i="4" s="1"/>
  <c r="BM33" i="4" s="1"/>
  <c r="BM34" i="4" s="1"/>
  <c r="BM35" i="4" s="1"/>
  <c r="BK9" i="4"/>
  <c r="AB65" i="15"/>
  <c r="Z47" i="15"/>
  <c r="AT6" i="4"/>
  <c r="AB59" i="15"/>
  <c r="Z51" i="15"/>
  <c r="Z53" i="15"/>
  <c r="AB57" i="15"/>
  <c r="Z45" i="15"/>
  <c r="Z55" i="15"/>
  <c r="Z49" i="15"/>
  <c r="AB61" i="15"/>
  <c r="AB60" i="15"/>
  <c r="Z48" i="15"/>
  <c r="AB56" i="15"/>
  <c r="Z52" i="15"/>
  <c r="AB63" i="15"/>
  <c r="AB62" i="15"/>
  <c r="AB64" i="15"/>
  <c r="Z46" i="15"/>
  <c r="Z50" i="15"/>
  <c r="AB66" i="15"/>
  <c r="Z54" i="15"/>
  <c r="AB58" i="15"/>
  <c r="H22" i="20"/>
  <c r="I23" i="20"/>
  <c r="H32" i="20"/>
  <c r="I32" i="20"/>
  <c r="R23" i="7"/>
  <c r="H26" i="20"/>
  <c r="H20" i="20"/>
  <c r="I20" i="20"/>
  <c r="V38" i="15"/>
  <c r="AT3" i="4"/>
  <c r="R36" i="7"/>
  <c r="R30" i="7"/>
  <c r="AV15" i="20"/>
  <c r="AW15" i="20"/>
  <c r="AV22" i="20"/>
  <c r="AW22" i="20"/>
  <c r="BK7" i="4"/>
  <c r="V25" i="15"/>
  <c r="AF1" i="15"/>
  <c r="N5" i="8"/>
  <c r="H30" i="20"/>
  <c r="I31" i="20"/>
  <c r="U26" i="7"/>
  <c r="AB22" i="7"/>
  <c r="AC22" i="7"/>
  <c r="U31" i="7"/>
  <c r="AV18" i="20"/>
  <c r="AW18" i="20"/>
  <c r="AV19" i="20"/>
  <c r="AW19" i="20"/>
  <c r="H28" i="20"/>
  <c r="I28" i="20"/>
  <c r="H25" i="20"/>
  <c r="I25" i="20"/>
  <c r="R24" i="7"/>
  <c r="U24" i="7" s="1"/>
  <c r="R40" i="7"/>
  <c r="R34" i="7"/>
  <c r="E7" i="8"/>
  <c r="F7" i="8" s="1"/>
  <c r="E7" i="15" s="1"/>
  <c r="E6" i="8"/>
  <c r="F6" i="8" s="1"/>
  <c r="E6" i="15" s="1"/>
  <c r="U30" i="7"/>
  <c r="AV21" i="20"/>
  <c r="AW21" i="20"/>
  <c r="I19" i="20"/>
  <c r="H33" i="20"/>
  <c r="I33" i="20"/>
  <c r="R32" i="7"/>
  <c r="R26" i="7"/>
  <c r="AV17" i="20"/>
  <c r="AW17" i="20"/>
  <c r="AV23" i="20"/>
  <c r="AW23" i="20"/>
  <c r="AV20" i="20"/>
  <c r="AW20" i="20"/>
  <c r="AV25" i="20"/>
  <c r="AW25" i="20"/>
  <c r="G47" i="7"/>
  <c r="H47" i="7"/>
  <c r="H48" i="7" s="1"/>
  <c r="BA7" i="5"/>
  <c r="N9" i="5" s="1"/>
  <c r="BD7" i="5"/>
  <c r="Q9" i="5" s="1"/>
  <c r="S43" i="7"/>
  <c r="T33" i="7"/>
  <c r="BC6" i="5"/>
  <c r="P8" i="5" s="1"/>
  <c r="T43" i="7"/>
  <c r="T24" i="7"/>
  <c r="S39" i="7"/>
  <c r="T30" i="7"/>
  <c r="T47" i="7"/>
  <c r="T22" i="7"/>
  <c r="BA5" i="5"/>
  <c r="N7" i="5" s="1"/>
  <c r="S27" i="7"/>
  <c r="BC4" i="5"/>
  <c r="P6" i="5" s="1"/>
  <c r="T23" i="7"/>
  <c r="S48" i="7"/>
  <c r="T38" i="7"/>
  <c r="T44" i="7"/>
  <c r="BC8" i="5"/>
  <c r="P10" i="5" s="1"/>
  <c r="U33" i="7"/>
  <c r="U25" i="7"/>
  <c r="S24" i="7"/>
  <c r="T39" i="7"/>
  <c r="S30" i="7"/>
  <c r="S36" i="7"/>
  <c r="BD6" i="5"/>
  <c r="Q8" i="5" s="1"/>
  <c r="S32" i="7"/>
  <c r="T41" i="7"/>
  <c r="S26" i="7"/>
  <c r="S34" i="7"/>
  <c r="S29" i="7"/>
  <c r="T45" i="7"/>
  <c r="BC5" i="5"/>
  <c r="P7" i="5" s="1"/>
  <c r="T29" i="7"/>
  <c r="T28" i="7"/>
  <c r="T25" i="7"/>
  <c r="U40" i="7"/>
  <c r="U32" i="7"/>
  <c r="BA8" i="5"/>
  <c r="N10" i="5" s="1"/>
  <c r="S35" i="7"/>
  <c r="S37" i="7"/>
  <c r="S42" i="7"/>
  <c r="T37" i="7"/>
  <c r="S31" i="7"/>
  <c r="BD4" i="5"/>
  <c r="Q6" i="5" s="1"/>
  <c r="T36" i="7"/>
  <c r="S44" i="7"/>
  <c r="T42" i="7"/>
  <c r="T26" i="7"/>
  <c r="BA6" i="5"/>
  <c r="N8" i="5" s="1"/>
  <c r="T32" i="7"/>
  <c r="T40" i="7"/>
  <c r="S45" i="7"/>
  <c r="S23" i="7"/>
  <c r="BD5" i="5"/>
  <c r="Q7" i="5" s="1"/>
  <c r="U35" i="7"/>
  <c r="U27" i="7"/>
  <c r="U37" i="7"/>
  <c r="U29" i="7"/>
  <c r="AI3" i="4"/>
  <c r="AH3" i="4" s="1"/>
  <c r="S25" i="7"/>
  <c r="T46" i="7"/>
  <c r="T35" i="7"/>
  <c r="S38" i="7"/>
  <c r="T48" i="7"/>
  <c r="BA4" i="5"/>
  <c r="N6" i="5" s="1"/>
  <c r="S33" i="7"/>
  <c r="S47" i="7"/>
  <c r="S40" i="7"/>
  <c r="T34" i="7"/>
  <c r="S28" i="7"/>
  <c r="S46" i="7"/>
  <c r="S41" i="7"/>
  <c r="S22" i="7"/>
  <c r="T31" i="7"/>
  <c r="T27" i="7"/>
  <c r="BD8" i="5"/>
  <c r="Q10" i="5" s="1"/>
  <c r="U36" i="7"/>
  <c r="U28" i="7"/>
  <c r="N21" i="7"/>
  <c r="E9" i="8"/>
  <c r="C6" i="15"/>
  <c r="C7" i="15"/>
  <c r="O42" i="7"/>
  <c r="AV227" i="20"/>
  <c r="AW227" i="20"/>
  <c r="AV66" i="20"/>
  <c r="AW66" i="20"/>
  <c r="AV135" i="20"/>
  <c r="AW135" i="20"/>
  <c r="AV127" i="20"/>
  <c r="AW127" i="20"/>
  <c r="AV157" i="20"/>
  <c r="AW157" i="20"/>
  <c r="AV104" i="20"/>
  <c r="AW104" i="20"/>
  <c r="AV46" i="20"/>
  <c r="AW46" i="20"/>
  <c r="AV94" i="20"/>
  <c r="AW94" i="20"/>
  <c r="AV246" i="20"/>
  <c r="AW246" i="20"/>
  <c r="AV188" i="20"/>
  <c r="AW188" i="20"/>
  <c r="AV128" i="20"/>
  <c r="AW128" i="20"/>
  <c r="AV35" i="20"/>
  <c r="AW35" i="20"/>
  <c r="AV30" i="20"/>
  <c r="AW30" i="20"/>
  <c r="AV169" i="20"/>
  <c r="AW169" i="20"/>
  <c r="AV156" i="20"/>
  <c r="AW156" i="20"/>
  <c r="AV68" i="20"/>
  <c r="AW68" i="20"/>
  <c r="AV118" i="20"/>
  <c r="AW118" i="20"/>
  <c r="AV218" i="20"/>
  <c r="AW218" i="20"/>
  <c r="AV238" i="20"/>
  <c r="AW238" i="20"/>
  <c r="AV67" i="20"/>
  <c r="AW67" i="20"/>
  <c r="AV43" i="20"/>
  <c r="AW43" i="20"/>
  <c r="AV216" i="20"/>
  <c r="AW216" i="20"/>
  <c r="AV113" i="20"/>
  <c r="AW113" i="20"/>
  <c r="AV139" i="20"/>
  <c r="AW139" i="20"/>
  <c r="AV137" i="20"/>
  <c r="AW137" i="20"/>
  <c r="AV132" i="20"/>
  <c r="AW132" i="20"/>
  <c r="AV158" i="20"/>
  <c r="AW158" i="20"/>
  <c r="AV92" i="20"/>
  <c r="AW92" i="20"/>
  <c r="AV146" i="20"/>
  <c r="AW146" i="20"/>
  <c r="AV37" i="20"/>
  <c r="AW37" i="20"/>
  <c r="AV174" i="20"/>
  <c r="AW174" i="20"/>
  <c r="AV89" i="20"/>
  <c r="AW89" i="20"/>
  <c r="AV242" i="20"/>
  <c r="AW242" i="20"/>
  <c r="AV205" i="20"/>
  <c r="AW205" i="20"/>
  <c r="AV78" i="20"/>
  <c r="AW78" i="20"/>
  <c r="AV244" i="20"/>
  <c r="AW244" i="20"/>
  <c r="AV165" i="20"/>
  <c r="AW165" i="20"/>
  <c r="AV163" i="20"/>
  <c r="AW163" i="20"/>
  <c r="AV107" i="20"/>
  <c r="AW107" i="20"/>
  <c r="AV152" i="20"/>
  <c r="AW152" i="20"/>
  <c r="AV248" i="20"/>
  <c r="AW248" i="20"/>
  <c r="AV138" i="20"/>
  <c r="AW138" i="20"/>
  <c r="AV120" i="20"/>
  <c r="AW120" i="20"/>
  <c r="AV229" i="20"/>
  <c r="AW229" i="20"/>
  <c r="AV221" i="20"/>
  <c r="AW221" i="20"/>
  <c r="AV103" i="20"/>
  <c r="AW103" i="20"/>
  <c r="AV29" i="20"/>
  <c r="AW29" i="20"/>
  <c r="AV212" i="20"/>
  <c r="AW212" i="20"/>
  <c r="AV198" i="20"/>
  <c r="AW198" i="20"/>
  <c r="AV181" i="20"/>
  <c r="AW181" i="20"/>
  <c r="AV194" i="20"/>
  <c r="AW194" i="20"/>
  <c r="AV126" i="20"/>
  <c r="AW126" i="20"/>
  <c r="AV143" i="20"/>
  <c r="AW143" i="20"/>
  <c r="AV249" i="20"/>
  <c r="AW249" i="20"/>
  <c r="AV150" i="20"/>
  <c r="AW150" i="20"/>
  <c r="AV69" i="20"/>
  <c r="AW69" i="20"/>
  <c r="AV51" i="20"/>
  <c r="AW51" i="20"/>
  <c r="AV159" i="20"/>
  <c r="AW159" i="20"/>
  <c r="AV79" i="20"/>
  <c r="AW79" i="20"/>
  <c r="AV219" i="20"/>
  <c r="AW219" i="20"/>
  <c r="AV160" i="20"/>
  <c r="AW160" i="20"/>
  <c r="AV105" i="20"/>
  <c r="AW105" i="20"/>
  <c r="AV217" i="20"/>
  <c r="AW217" i="20"/>
  <c r="AV177" i="20"/>
  <c r="AW177" i="20"/>
  <c r="AV112" i="20"/>
  <c r="AW112" i="20"/>
  <c r="AV27" i="20"/>
  <c r="AW27" i="20"/>
  <c r="AV195" i="20"/>
  <c r="AW195" i="20"/>
  <c r="AV223" i="20"/>
  <c r="AW223" i="20"/>
  <c r="AV125" i="20"/>
  <c r="AW125" i="20"/>
  <c r="AV77" i="20"/>
  <c r="AW77" i="20"/>
  <c r="AV226" i="20"/>
  <c r="AW226" i="20"/>
  <c r="AV73" i="20"/>
  <c r="AW73" i="20"/>
  <c r="AV147" i="20"/>
  <c r="AW147" i="20"/>
  <c r="AV211" i="20"/>
  <c r="AW211" i="20"/>
  <c r="AV193" i="20"/>
  <c r="AW193" i="20"/>
  <c r="AV108" i="20"/>
  <c r="AW108" i="20"/>
  <c r="AV250" i="20"/>
  <c r="AW250" i="20"/>
  <c r="AV116" i="20"/>
  <c r="AW116" i="20"/>
  <c r="AV42" i="20"/>
  <c r="AW42" i="20"/>
  <c r="AV235" i="20"/>
  <c r="AW235" i="20"/>
  <c r="AV110" i="20"/>
  <c r="AW110" i="20"/>
  <c r="AV121" i="20"/>
  <c r="AW121" i="20"/>
  <c r="AV122" i="20"/>
  <c r="AW122" i="20"/>
  <c r="AV179" i="20"/>
  <c r="AW179" i="20"/>
  <c r="AV134" i="20"/>
  <c r="AW134" i="20"/>
  <c r="AV87" i="20"/>
  <c r="AW87" i="20"/>
  <c r="AV180" i="20"/>
  <c r="AW180" i="20"/>
  <c r="AV191" i="20"/>
  <c r="AW191" i="20"/>
  <c r="AV45" i="20"/>
  <c r="AW45" i="20"/>
  <c r="AV34" i="20"/>
  <c r="AW34" i="20"/>
  <c r="AV54" i="20"/>
  <c r="AW54" i="20"/>
  <c r="AV91" i="20"/>
  <c r="AW91" i="20"/>
  <c r="AV100" i="20"/>
  <c r="AW100" i="20"/>
  <c r="AV28" i="20"/>
  <c r="AW28" i="20"/>
  <c r="AV88" i="20"/>
  <c r="AW88" i="20"/>
  <c r="AV38" i="20"/>
  <c r="AW38" i="20"/>
  <c r="AV109" i="20"/>
  <c r="AW109" i="20"/>
  <c r="AV202" i="20"/>
  <c r="AW202" i="20"/>
  <c r="AV84" i="20"/>
  <c r="AW84" i="20"/>
  <c r="AV93" i="20"/>
  <c r="AW93" i="20"/>
  <c r="AV192" i="20"/>
  <c r="AW192" i="20"/>
  <c r="AV82" i="20"/>
  <c r="AW82" i="20"/>
  <c r="AV166" i="20"/>
  <c r="AW166" i="20"/>
  <c r="AV204" i="20"/>
  <c r="AW204" i="20"/>
  <c r="AV75" i="20"/>
  <c r="AW75" i="20"/>
  <c r="AV210" i="20"/>
  <c r="AW210" i="20"/>
  <c r="AV50" i="20"/>
  <c r="AW50" i="20"/>
  <c r="AV70" i="20"/>
  <c r="AW70" i="20"/>
  <c r="AV106" i="20"/>
  <c r="AW106" i="20"/>
  <c r="AV161" i="20"/>
  <c r="AW161" i="20"/>
  <c r="AV247" i="20"/>
  <c r="AW247" i="20"/>
  <c r="AV196" i="20"/>
  <c r="AW196" i="20"/>
  <c r="AV170" i="20"/>
  <c r="AW170" i="20"/>
  <c r="AV119" i="20"/>
  <c r="AW119" i="20"/>
  <c r="AV175" i="20"/>
  <c r="AW175" i="20"/>
  <c r="AV58" i="20"/>
  <c r="AW58" i="20"/>
  <c r="AV55" i="20"/>
  <c r="AW55" i="20"/>
  <c r="AV215" i="20"/>
  <c r="AW215" i="20"/>
  <c r="AV230" i="20"/>
  <c r="AW230" i="20"/>
  <c r="AV65" i="20"/>
  <c r="AW65" i="20"/>
  <c r="AV149" i="20"/>
  <c r="AW149" i="20"/>
  <c r="AV182" i="20"/>
  <c r="AW182" i="20"/>
  <c r="AV86" i="20"/>
  <c r="AW86" i="20"/>
  <c r="AV56" i="20"/>
  <c r="AW56" i="20"/>
  <c r="AV115" i="20"/>
  <c r="AW115" i="20"/>
  <c r="AV164" i="20"/>
  <c r="AW164" i="20"/>
  <c r="AV199" i="20"/>
  <c r="AW199" i="20"/>
  <c r="AV76" i="20"/>
  <c r="AW76" i="20"/>
  <c r="AV207" i="20"/>
  <c r="AW207" i="20"/>
  <c r="AV234" i="20"/>
  <c r="AW234" i="20"/>
  <c r="AV187" i="20"/>
  <c r="AW187" i="20"/>
  <c r="AV40" i="20"/>
  <c r="AW40" i="20"/>
  <c r="AV49" i="20"/>
  <c r="AW49" i="20"/>
  <c r="AV99" i="20"/>
  <c r="AW99" i="20"/>
  <c r="AV102" i="20"/>
  <c r="AW102" i="20"/>
  <c r="AV148" i="20"/>
  <c r="AW148" i="20"/>
  <c r="AV220" i="20"/>
  <c r="AW220" i="20"/>
  <c r="AV185" i="20"/>
  <c r="AW185" i="20"/>
  <c r="AV239" i="20"/>
  <c r="AW239" i="20"/>
  <c r="AV32" i="20"/>
  <c r="AW32" i="20"/>
  <c r="AV141" i="20"/>
  <c r="AW141" i="20"/>
  <c r="AV53" i="20"/>
  <c r="AW53" i="20"/>
  <c r="AV41" i="20"/>
  <c r="AW41" i="20"/>
  <c r="AV208" i="20"/>
  <c r="AW208" i="20"/>
  <c r="AV189" i="20"/>
  <c r="AW189" i="20"/>
  <c r="AV60" i="20"/>
  <c r="AW60" i="20"/>
  <c r="AV154" i="20"/>
  <c r="AW154" i="20"/>
  <c r="AV186" i="20"/>
  <c r="AW186" i="20"/>
  <c r="AV59" i="20"/>
  <c r="AW59" i="20"/>
  <c r="AV95" i="20"/>
  <c r="AW95" i="20"/>
  <c r="AV47" i="20"/>
  <c r="AW47" i="20"/>
  <c r="AV144" i="20"/>
  <c r="AW144" i="20"/>
  <c r="AV114" i="20"/>
  <c r="AW114" i="20"/>
  <c r="AV197" i="20"/>
  <c r="AW197" i="20"/>
  <c r="AV80" i="20"/>
  <c r="AW80" i="20"/>
  <c r="AV31" i="20"/>
  <c r="AW31" i="20"/>
  <c r="AV129" i="20"/>
  <c r="AW129" i="20"/>
  <c r="AV184" i="20"/>
  <c r="AW184" i="20"/>
  <c r="AV153" i="20"/>
  <c r="AW153" i="20"/>
  <c r="AV167" i="20"/>
  <c r="AW167" i="20"/>
  <c r="AV190" i="20"/>
  <c r="AW190" i="20"/>
  <c r="AV117" i="20"/>
  <c r="AW117" i="20"/>
  <c r="AV224" i="20"/>
  <c r="AW224" i="20"/>
  <c r="AV33" i="20"/>
  <c r="AW33" i="20"/>
  <c r="AV233" i="20"/>
  <c r="AW233" i="20"/>
  <c r="AV206" i="20"/>
  <c r="AW206" i="20"/>
  <c r="AV74" i="20"/>
  <c r="AW74" i="20"/>
  <c r="AV57" i="20"/>
  <c r="AW57" i="20"/>
  <c r="AV222" i="20"/>
  <c r="AW222" i="20"/>
  <c r="AV63" i="20"/>
  <c r="AW63" i="20"/>
  <c r="AV90" i="20"/>
  <c r="AW90" i="20"/>
  <c r="AV142" i="20"/>
  <c r="AW142" i="20"/>
  <c r="AV200" i="20"/>
  <c r="AW200" i="20"/>
  <c r="AV176" i="20"/>
  <c r="AW176" i="20"/>
  <c r="AV168" i="20"/>
  <c r="AW168" i="20"/>
  <c r="AV201" i="20"/>
  <c r="AW201" i="20"/>
  <c r="AV97" i="20"/>
  <c r="AW97" i="20"/>
  <c r="AV203" i="20"/>
  <c r="AW203" i="20"/>
  <c r="AV145" i="20"/>
  <c r="AW145" i="20"/>
  <c r="AV44" i="20"/>
  <c r="AW44" i="20"/>
  <c r="AV101" i="20"/>
  <c r="AW101" i="20"/>
  <c r="AV131" i="20"/>
  <c r="AW131" i="20"/>
  <c r="AV39" i="20"/>
  <c r="AW39" i="20"/>
  <c r="AV130" i="20"/>
  <c r="AW130" i="20"/>
  <c r="AV155" i="20"/>
  <c r="AW155" i="20"/>
  <c r="AV240" i="20"/>
  <c r="AW240" i="20"/>
  <c r="AV123" i="20"/>
  <c r="AW123" i="20"/>
  <c r="AV52" i="20"/>
  <c r="AW52" i="20"/>
  <c r="AV85" i="20"/>
  <c r="AW85" i="20"/>
  <c r="AV48" i="20"/>
  <c r="AW48" i="20"/>
  <c r="AV81" i="20"/>
  <c r="AW81" i="20"/>
  <c r="AV140" i="20"/>
  <c r="AW140" i="20"/>
  <c r="AV251" i="20"/>
  <c r="AW251" i="20"/>
  <c r="AV209" i="20"/>
  <c r="AW209" i="20"/>
  <c r="AV98" i="20"/>
  <c r="AW98" i="20"/>
  <c r="AZ7" i="5"/>
  <c r="H9" i="5" s="1"/>
  <c r="AV62" i="20"/>
  <c r="AW62" i="20"/>
  <c r="AV151" i="20"/>
  <c r="AW151" i="20"/>
  <c r="AV72" i="20"/>
  <c r="AW72" i="20"/>
  <c r="AV214" i="20"/>
  <c r="AW214" i="20"/>
  <c r="AV213" i="20"/>
  <c r="AW213" i="20"/>
  <c r="AV237" i="20"/>
  <c r="AW237" i="20"/>
  <c r="AV236" i="20"/>
  <c r="AW236" i="20"/>
  <c r="AV228" i="20"/>
  <c r="AW228" i="20"/>
  <c r="AV243" i="20"/>
  <c r="AW243" i="20"/>
  <c r="AV96" i="20"/>
  <c r="AW96" i="20"/>
  <c r="AV171" i="20"/>
  <c r="AW171" i="20"/>
  <c r="AV172" i="20"/>
  <c r="AW172" i="20"/>
  <c r="AV183" i="20"/>
  <c r="AW183" i="20"/>
  <c r="AV83" i="20"/>
  <c r="AW83" i="20"/>
  <c r="AV136" i="20"/>
  <c r="AW136" i="20"/>
  <c r="AV133" i="20"/>
  <c r="AW133" i="20"/>
  <c r="AV231" i="20"/>
  <c r="AW231" i="20"/>
  <c r="AV178" i="20"/>
  <c r="AW178" i="20"/>
  <c r="AV71" i="20"/>
  <c r="AW71" i="20"/>
  <c r="AV61" i="20"/>
  <c r="AW61" i="20"/>
  <c r="AV64" i="20"/>
  <c r="AW64" i="20"/>
  <c r="AV162" i="20"/>
  <c r="AW162" i="20"/>
  <c r="AV245" i="20"/>
  <c r="AW245" i="20"/>
  <c r="AV36" i="20"/>
  <c r="AW36" i="20"/>
  <c r="AV241" i="20"/>
  <c r="AW241" i="20"/>
  <c r="AV225" i="20"/>
  <c r="AW225" i="20"/>
  <c r="AV111" i="20"/>
  <c r="AW111" i="20"/>
  <c r="AV124" i="20"/>
  <c r="AW124" i="20"/>
  <c r="AV232" i="20"/>
  <c r="AW232" i="20"/>
  <c r="AV173" i="20"/>
  <c r="AW173" i="20"/>
  <c r="I10" i="8" l="1"/>
  <c r="H9" i="8"/>
  <c r="M24" i="7"/>
  <c r="AO24" i="7" s="1"/>
  <c r="M26" i="7"/>
  <c r="AO26" i="7" s="1"/>
  <c r="M28" i="7"/>
  <c r="AO28" i="7" s="1"/>
  <c r="M30" i="7"/>
  <c r="AO30" i="7" s="1"/>
  <c r="M32" i="7"/>
  <c r="AO32" i="7" s="1"/>
  <c r="M34" i="7"/>
  <c r="AO34" i="7" s="1"/>
  <c r="M36" i="7"/>
  <c r="AQ24" i="7" s="1"/>
  <c r="R39" i="7"/>
  <c r="R37" i="7"/>
  <c r="R35" i="7"/>
  <c r="R33" i="7"/>
  <c r="R29" i="7"/>
  <c r="R27" i="7"/>
  <c r="R25" i="7"/>
  <c r="R46" i="7"/>
  <c r="R47" i="7"/>
  <c r="R45" i="7"/>
  <c r="R31" i="7"/>
  <c r="AR67" i="20"/>
  <c r="N67" i="5" s="1"/>
  <c r="AQ29" i="20"/>
  <c r="E29" i="5" s="1"/>
  <c r="U23" i="7"/>
  <c r="U47" i="7"/>
  <c r="U45" i="7"/>
  <c r="U43" i="7"/>
  <c r="U46" i="7"/>
  <c r="U44" i="7"/>
  <c r="AQ20" i="20"/>
  <c r="E20" i="5" s="1"/>
  <c r="BB16" i="20"/>
  <c r="U39" i="7"/>
  <c r="U22" i="7"/>
  <c r="H18" i="20"/>
  <c r="J16" i="20"/>
  <c r="AR43" i="20"/>
  <c r="N43" i="5" s="1"/>
  <c r="AR24" i="20"/>
  <c r="N24" i="5" s="1"/>
  <c r="AP24" i="20" s="1"/>
  <c r="AR92" i="20"/>
  <c r="N92" i="5" s="1"/>
  <c r="AP92" i="20" s="1"/>
  <c r="AQ108" i="20"/>
  <c r="E108" i="5" s="1"/>
  <c r="AR105" i="20"/>
  <c r="N105" i="5" s="1"/>
  <c r="AP105" i="20" s="1"/>
  <c r="O105" i="5" s="1"/>
  <c r="AR64" i="20"/>
  <c r="N64" i="5" s="1"/>
  <c r="AP64" i="20" s="1"/>
  <c r="AQ96" i="20"/>
  <c r="E96" i="5" s="1"/>
  <c r="R38" i="7"/>
  <c r="U38" i="7" s="1"/>
  <c r="AR110" i="20"/>
  <c r="N110" i="5" s="1"/>
  <c r="AP110" i="20" s="1"/>
  <c r="AR75" i="20"/>
  <c r="N75" i="5" s="1"/>
  <c r="AR38" i="20"/>
  <c r="N38" i="5" s="1"/>
  <c r="AP38" i="20" s="1"/>
  <c r="AQ85" i="20"/>
  <c r="E85" i="5" s="1"/>
  <c r="AZ105" i="20"/>
  <c r="BA219" i="20"/>
  <c r="AZ159" i="20"/>
  <c r="AZ69" i="20"/>
  <c r="BA249" i="20"/>
  <c r="BA126" i="20"/>
  <c r="AZ181" i="20"/>
  <c r="AZ212" i="20"/>
  <c r="BA103" i="20"/>
  <c r="BA229" i="20"/>
  <c r="BA138" i="20"/>
  <c r="BA152" i="20"/>
  <c r="BA244" i="20"/>
  <c r="AZ205" i="20"/>
  <c r="AZ89" i="20"/>
  <c r="AZ37" i="20"/>
  <c r="BA92" i="20"/>
  <c r="AZ132" i="20"/>
  <c r="BA139" i="20"/>
  <c r="BA216" i="20"/>
  <c r="BA67" i="20"/>
  <c r="AZ218" i="20"/>
  <c r="AZ68" i="20"/>
  <c r="BA169" i="20"/>
  <c r="BA35" i="20"/>
  <c r="AZ188" i="20"/>
  <c r="AZ94" i="20"/>
  <c r="AR108" i="20"/>
  <c r="N108" i="5" s="1"/>
  <c r="AP108" i="20" s="1"/>
  <c r="AR82" i="20"/>
  <c r="N82" i="5" s="1"/>
  <c r="AP82" i="20" s="1"/>
  <c r="AR49" i="20"/>
  <c r="N49" i="5" s="1"/>
  <c r="AP49" i="20" s="1"/>
  <c r="AR18" i="20"/>
  <c r="AQ70" i="20"/>
  <c r="E70" i="5" s="1"/>
  <c r="AO70" i="20" s="1"/>
  <c r="AZ112" i="20"/>
  <c r="AR100" i="20"/>
  <c r="N100" i="5" s="1"/>
  <c r="AP100" i="20" s="1"/>
  <c r="AR78" i="20"/>
  <c r="N78" i="5" s="1"/>
  <c r="AP78" i="20" s="1"/>
  <c r="AR56" i="20"/>
  <c r="N56" i="5" s="1"/>
  <c r="AP56" i="20" s="1"/>
  <c r="AR25" i="20"/>
  <c r="N25" i="5" s="1"/>
  <c r="AP25" i="20" s="1"/>
  <c r="AQ105" i="20"/>
  <c r="E105" i="5" s="1"/>
  <c r="AQ60" i="20"/>
  <c r="E60" i="5" s="1"/>
  <c r="BA125" i="20"/>
  <c r="AZ22" i="20"/>
  <c r="Y3" i="5"/>
  <c r="AR113" i="20"/>
  <c r="N113" i="5" s="1"/>
  <c r="AP113" i="20" s="1"/>
  <c r="AR102" i="20"/>
  <c r="N102" i="5" s="1"/>
  <c r="AP102" i="20" s="1"/>
  <c r="AR89" i="20"/>
  <c r="N89" i="5" s="1"/>
  <c r="AP89" i="20" s="1"/>
  <c r="AR53" i="20"/>
  <c r="N53" i="5" s="1"/>
  <c r="AP53" i="20" s="1"/>
  <c r="M53" i="5" s="1"/>
  <c r="AR35" i="20"/>
  <c r="N35" i="5" s="1"/>
  <c r="AQ109" i="20"/>
  <c r="E109" i="5" s="1"/>
  <c r="AQ94" i="20"/>
  <c r="E94" i="5" s="1"/>
  <c r="AO94" i="20" s="1"/>
  <c r="AQ46" i="20"/>
  <c r="BA98" i="20"/>
  <c r="AZ251" i="20"/>
  <c r="AZ81" i="20"/>
  <c r="AZ85" i="20"/>
  <c r="AZ123" i="20"/>
  <c r="AZ155" i="20"/>
  <c r="BA39" i="20"/>
  <c r="AZ101" i="20"/>
  <c r="BA145" i="20"/>
  <c r="BA97" i="20"/>
  <c r="AZ168" i="20"/>
  <c r="BA200" i="20"/>
  <c r="AZ90" i="20"/>
  <c r="AZ222" i="20"/>
  <c r="AZ74" i="20"/>
  <c r="BA233" i="20"/>
  <c r="BA224" i="20"/>
  <c r="BA190" i="20"/>
  <c r="J20" i="20"/>
  <c r="Q23" i="7"/>
  <c r="R44" i="7"/>
  <c r="AR111" i="20"/>
  <c r="N111" i="5" s="1"/>
  <c r="AR103" i="20"/>
  <c r="N103" i="5" s="1"/>
  <c r="AR94" i="20"/>
  <c r="AR85" i="20"/>
  <c r="N85" i="5" s="1"/>
  <c r="AP85" i="20" s="1"/>
  <c r="AR74" i="20"/>
  <c r="N74" i="5" s="1"/>
  <c r="AP74" i="20" s="1"/>
  <c r="AR57" i="20"/>
  <c r="N57" i="5" s="1"/>
  <c r="AP57" i="20" s="1"/>
  <c r="AR46" i="20"/>
  <c r="AR32" i="20"/>
  <c r="N32" i="5" s="1"/>
  <c r="AP32" i="20" s="1"/>
  <c r="AR17" i="20"/>
  <c r="AQ98" i="20"/>
  <c r="E98" i="5" s="1"/>
  <c r="AO98" i="20" s="1"/>
  <c r="I98" i="5" s="1"/>
  <c r="AQ76" i="20"/>
  <c r="E76" i="5" s="1"/>
  <c r="AQ44" i="20"/>
  <c r="E44" i="5" s="1"/>
  <c r="AZ153" i="20"/>
  <c r="BA129" i="20"/>
  <c r="AZ80" i="20"/>
  <c r="BA114" i="20"/>
  <c r="AZ47" i="20"/>
  <c r="AZ59" i="20"/>
  <c r="AZ154" i="20"/>
  <c r="BA189" i="20"/>
  <c r="BA41" i="20"/>
  <c r="AZ141" i="20"/>
  <c r="BA239" i="20"/>
  <c r="BA220" i="20"/>
  <c r="AZ102" i="20"/>
  <c r="BA49" i="20"/>
  <c r="AZ187" i="20"/>
  <c r="AZ207" i="20"/>
  <c r="AZ199" i="20"/>
  <c r="BA115" i="20"/>
  <c r="AZ86" i="20"/>
  <c r="AZ149" i="20"/>
  <c r="BA230" i="20"/>
  <c r="BA55" i="20"/>
  <c r="AZ175" i="20"/>
  <c r="BA170" i="20"/>
  <c r="BA247" i="20"/>
  <c r="AZ106" i="20"/>
  <c r="BA50" i="20"/>
  <c r="AZ75" i="20"/>
  <c r="AZ166" i="20"/>
  <c r="AZ192" i="20"/>
  <c r="BA84" i="20"/>
  <c r="C8" i="15"/>
  <c r="BA23" i="20"/>
  <c r="J32" i="20"/>
  <c r="BA24" i="20"/>
  <c r="Q46" i="7"/>
  <c r="Q44" i="7"/>
  <c r="Q24" i="7"/>
  <c r="AW16" i="20"/>
  <c r="AZ16" i="20" s="1"/>
  <c r="Q47" i="7"/>
  <c r="Q43" i="7"/>
  <c r="Q41" i="7"/>
  <c r="AZ180" i="20"/>
  <c r="BA134" i="20"/>
  <c r="BA122" i="20"/>
  <c r="AZ110" i="20"/>
  <c r="AZ42" i="20"/>
  <c r="AZ250" i="20"/>
  <c r="AZ193" i="20"/>
  <c r="AZ147" i="20"/>
  <c r="AZ226" i="20"/>
  <c r="BA112" i="20"/>
  <c r="AZ217" i="20"/>
  <c r="BA160" i="20"/>
  <c r="AZ79" i="20"/>
  <c r="AZ51" i="20"/>
  <c r="BA150" i="20"/>
  <c r="BA143" i="20"/>
  <c r="BA194" i="20"/>
  <c r="BA198" i="20"/>
  <c r="BA29" i="20"/>
  <c r="BA221" i="20"/>
  <c r="BA120" i="20"/>
  <c r="AZ248" i="20"/>
  <c r="AZ107" i="20"/>
  <c r="AZ165" i="20"/>
  <c r="BA227" i="20"/>
  <c r="BA17" i="20"/>
  <c r="BA22" i="20"/>
  <c r="BK13" i="4"/>
  <c r="BA77" i="20"/>
  <c r="BA27" i="20"/>
  <c r="BA163" i="20"/>
  <c r="AZ18" i="20"/>
  <c r="Q39" i="7"/>
  <c r="Q37" i="7"/>
  <c r="M46" i="7"/>
  <c r="M44" i="7"/>
  <c r="AR95" i="20"/>
  <c r="N95" i="5" s="1"/>
  <c r="AR88" i="20"/>
  <c r="N88" i="5" s="1"/>
  <c r="AP88" i="20" s="1"/>
  <c r="AR81" i="20"/>
  <c r="N81" i="5" s="1"/>
  <c r="AP81" i="20" s="1"/>
  <c r="AR70" i="20"/>
  <c r="AR61" i="20"/>
  <c r="N61" i="5" s="1"/>
  <c r="AP61" i="20" s="1"/>
  <c r="AR50" i="20"/>
  <c r="N50" i="5" s="1"/>
  <c r="AP50" i="20" s="1"/>
  <c r="AR42" i="20"/>
  <c r="N42" i="5" s="1"/>
  <c r="AP42" i="20" s="1"/>
  <c r="AR29" i="20"/>
  <c r="N29" i="5" s="1"/>
  <c r="AP29" i="20" s="1"/>
  <c r="P29" i="5" s="1"/>
  <c r="AR21" i="20"/>
  <c r="N21" i="5" s="1"/>
  <c r="AP21" i="20" s="1"/>
  <c r="AQ113" i="20"/>
  <c r="E113" i="5" s="1"/>
  <c r="AQ104" i="20"/>
  <c r="E104" i="5" s="1"/>
  <c r="AO104" i="20" s="1"/>
  <c r="AQ90" i="20"/>
  <c r="E90" i="5" s="1"/>
  <c r="AQ61" i="20"/>
  <c r="E61" i="5" s="1"/>
  <c r="Q40" i="7"/>
  <c r="Q36" i="7"/>
  <c r="O97" i="5"/>
  <c r="M97" i="5"/>
  <c r="P97" i="5"/>
  <c r="R97" i="5"/>
  <c r="Q97" i="5"/>
  <c r="R53" i="5"/>
  <c r="Q53" i="5"/>
  <c r="BA223" i="20"/>
  <c r="BA165" i="20"/>
  <c r="BA94" i="20"/>
  <c r="BA20" i="20"/>
  <c r="Q34" i="7"/>
  <c r="Q32" i="7"/>
  <c r="Q30" i="7"/>
  <c r="Q28" i="7"/>
  <c r="BK5" i="4"/>
  <c r="AZ173" i="20"/>
  <c r="BA124" i="20"/>
  <c r="AZ225" i="20"/>
  <c r="AZ36" i="20"/>
  <c r="BA162" i="20"/>
  <c r="BA61" i="20"/>
  <c r="AZ178" i="20"/>
  <c r="BA133" i="20"/>
  <c r="BA83" i="20"/>
  <c r="BA172" i="20"/>
  <c r="AZ96" i="20"/>
  <c r="BA228" i="20"/>
  <c r="AZ237" i="20"/>
  <c r="AZ214" i="20"/>
  <c r="AZ151" i="20"/>
  <c r="BA177" i="20"/>
  <c r="AZ152" i="20"/>
  <c r="P42" i="15"/>
  <c r="Q33" i="7"/>
  <c r="Q29" i="7"/>
  <c r="Q25" i="7"/>
  <c r="AZ26" i="20"/>
  <c r="J21" i="7"/>
  <c r="J22" i="7" s="1"/>
  <c r="F9" i="4" s="1"/>
  <c r="G5" i="16" s="1"/>
  <c r="G7" i="16" s="1"/>
  <c r="AB35" i="16" s="1"/>
  <c r="AO35" i="16" s="1"/>
  <c r="AZ182" i="20"/>
  <c r="AZ65" i="20"/>
  <c r="AZ215" i="20"/>
  <c r="BA58" i="20"/>
  <c r="BA119" i="20"/>
  <c r="AZ196" i="20"/>
  <c r="BA161" i="20"/>
  <c r="AZ70" i="20"/>
  <c r="AZ210" i="20"/>
  <c r="AZ204" i="20"/>
  <c r="BA82" i="20"/>
  <c r="AZ93" i="20"/>
  <c r="BA202" i="20"/>
  <c r="BA38" i="20"/>
  <c r="AZ28" i="20"/>
  <c r="AZ91" i="20"/>
  <c r="BA34" i="20"/>
  <c r="AZ125" i="20"/>
  <c r="BA195" i="20"/>
  <c r="BA248" i="20"/>
  <c r="BA107" i="20"/>
  <c r="AZ163" i="20"/>
  <c r="M47" i="7"/>
  <c r="AZ23" i="20"/>
  <c r="AZ17" i="20"/>
  <c r="J28" i="20"/>
  <c r="BA232" i="20"/>
  <c r="AZ245" i="20"/>
  <c r="BA231" i="20"/>
  <c r="AZ171" i="20"/>
  <c r="BA213" i="20"/>
  <c r="AZ78" i="20"/>
  <c r="AZ242" i="20"/>
  <c r="BA174" i="20"/>
  <c r="BA146" i="20"/>
  <c r="BA241" i="20"/>
  <c r="BA71" i="20"/>
  <c r="BA183" i="20"/>
  <c r="AZ236" i="20"/>
  <c r="BA62" i="20"/>
  <c r="AZ209" i="20"/>
  <c r="AZ140" i="20"/>
  <c r="AZ48" i="20"/>
  <c r="BA52" i="20"/>
  <c r="AZ240" i="20"/>
  <c r="BA130" i="20"/>
  <c r="BA131" i="20"/>
  <c r="BA44" i="20"/>
  <c r="AZ203" i="20"/>
  <c r="AZ201" i="20"/>
  <c r="AZ176" i="20"/>
  <c r="BA142" i="20"/>
  <c r="BA63" i="20"/>
  <c r="AZ57" i="20"/>
  <c r="AZ206" i="20"/>
  <c r="AZ33" i="20"/>
  <c r="BA117" i="20"/>
  <c r="BA167" i="20"/>
  <c r="BA184" i="20"/>
  <c r="AZ31" i="20"/>
  <c r="BA197" i="20"/>
  <c r="BA144" i="20"/>
  <c r="AZ95" i="20"/>
  <c r="BA186" i="20"/>
  <c r="AZ60" i="20"/>
  <c r="AZ208" i="20"/>
  <c r="BA53" i="20"/>
  <c r="AZ32" i="20"/>
  <c r="AZ185" i="20"/>
  <c r="BA148" i="20"/>
  <c r="AZ99" i="20"/>
  <c r="AZ40" i="20"/>
  <c r="AZ234" i="20"/>
  <c r="BA76" i="20"/>
  <c r="BA164" i="20"/>
  <c r="BA56" i="20"/>
  <c r="BA182" i="20"/>
  <c r="BA65" i="20"/>
  <c r="BA215" i="20"/>
  <c r="AZ58" i="20"/>
  <c r="AZ119" i="20"/>
  <c r="BA196" i="20"/>
  <c r="AZ161" i="20"/>
  <c r="BA70" i="20"/>
  <c r="BA210" i="20"/>
  <c r="BA204" i="20"/>
  <c r="AZ82" i="20"/>
  <c r="BA93" i="20"/>
  <c r="BA191" i="20"/>
  <c r="BA87" i="20"/>
  <c r="AZ179" i="20"/>
  <c r="AZ121" i="20"/>
  <c r="BA235" i="20"/>
  <c r="BA116" i="20"/>
  <c r="AZ108" i="20"/>
  <c r="AZ211" i="20"/>
  <c r="AZ73" i="20"/>
  <c r="AZ77" i="20"/>
  <c r="AZ223" i="20"/>
  <c r="AZ27" i="20"/>
  <c r="AZ177" i="20"/>
  <c r="BA105" i="20"/>
  <c r="AZ160" i="20"/>
  <c r="AZ219" i="20"/>
  <c r="BA79" i="20"/>
  <c r="BA159" i="20"/>
  <c r="BA51" i="20"/>
  <c r="BA69" i="20"/>
  <c r="AZ150" i="20"/>
  <c r="AZ249" i="20"/>
  <c r="AZ143" i="20"/>
  <c r="AZ126" i="20"/>
  <c r="AZ194" i="20"/>
  <c r="BA181" i="20"/>
  <c r="AZ198" i="20"/>
  <c r="BA212" i="20"/>
  <c r="AZ29" i="20"/>
  <c r="AZ103" i="20"/>
  <c r="AZ221" i="20"/>
  <c r="AZ229" i="20"/>
  <c r="AZ120" i="20"/>
  <c r="AZ138" i="20"/>
  <c r="BA111" i="20"/>
  <c r="BA64" i="20"/>
  <c r="AZ136" i="20"/>
  <c r="BA243" i="20"/>
  <c r="AZ72" i="20"/>
  <c r="BA149" i="20"/>
  <c r="AZ230" i="20"/>
  <c r="AZ55" i="20"/>
  <c r="BA175" i="20"/>
  <c r="AZ170" i="20"/>
  <c r="AZ247" i="20"/>
  <c r="BA106" i="20"/>
  <c r="AZ50" i="20"/>
  <c r="BA75" i="20"/>
  <c r="BA166" i="20"/>
  <c r="BA192" i="20"/>
  <c r="AZ84" i="20"/>
  <c r="BA109" i="20"/>
  <c r="BA88" i="20"/>
  <c r="AZ100" i="20"/>
  <c r="BA54" i="20"/>
  <c r="AZ45" i="20"/>
  <c r="BA226" i="20"/>
  <c r="AZ195" i="20"/>
  <c r="BA217" i="20"/>
  <c r="BA46" i="20"/>
  <c r="BA157" i="20"/>
  <c r="BA135" i="20"/>
  <c r="Q42" i="15"/>
  <c r="AZ158" i="20"/>
  <c r="AZ137" i="20"/>
  <c r="BA113" i="20"/>
  <c r="BA43" i="20"/>
  <c r="AZ238" i="20"/>
  <c r="AZ118" i="20"/>
  <c r="BA156" i="20"/>
  <c r="BA30" i="20"/>
  <c r="BA128" i="20"/>
  <c r="AZ246" i="20"/>
  <c r="AZ227" i="20"/>
  <c r="G48" i="7"/>
  <c r="M48" i="7" s="1"/>
  <c r="AZ20" i="20"/>
  <c r="J25" i="20"/>
  <c r="BA18" i="20"/>
  <c r="AZ104" i="20"/>
  <c r="BA127" i="20"/>
  <c r="AZ66" i="20"/>
  <c r="X3" i="5"/>
  <c r="J33" i="20"/>
  <c r="AZ15" i="20"/>
  <c r="J24" i="20"/>
  <c r="J21" i="20"/>
  <c r="Q42" i="7"/>
  <c r="Q26" i="7"/>
  <c r="N17" i="5"/>
  <c r="C17" i="15" s="1"/>
  <c r="E17" i="15" s="1"/>
  <c r="AQ17" i="20"/>
  <c r="E17" i="5" s="1"/>
  <c r="C14" i="15" s="1"/>
  <c r="E14" i="15" s="1"/>
  <c r="AQ22" i="20"/>
  <c r="E22" i="5" s="1"/>
  <c r="AO22" i="20" s="1"/>
  <c r="AQ36" i="20"/>
  <c r="E36" i="5" s="1"/>
  <c r="AQ45" i="20"/>
  <c r="E45" i="5" s="1"/>
  <c r="AQ54" i="20"/>
  <c r="E54" i="5" s="1"/>
  <c r="AO54" i="20" s="1"/>
  <c r="AQ68" i="20"/>
  <c r="E68" i="5" s="1"/>
  <c r="AQ77" i="20"/>
  <c r="E77" i="5" s="1"/>
  <c r="AQ86" i="20"/>
  <c r="E86" i="5" s="1"/>
  <c r="AO86" i="20" s="1"/>
  <c r="AQ93" i="20"/>
  <c r="E93" i="5" s="1"/>
  <c r="AQ97" i="20"/>
  <c r="E97" i="5" s="1"/>
  <c r="AQ100" i="20"/>
  <c r="E100" i="5" s="1"/>
  <c r="AQ112" i="20"/>
  <c r="AQ114" i="20"/>
  <c r="E114" i="5" s="1"/>
  <c r="AO114" i="20" s="1"/>
  <c r="AR20" i="20"/>
  <c r="N20" i="5" s="1"/>
  <c r="AP20" i="20" s="1"/>
  <c r="AR23" i="20"/>
  <c r="AR28" i="20"/>
  <c r="N28" i="5" s="1"/>
  <c r="AP28" i="20" s="1"/>
  <c r="AR31" i="20"/>
  <c r="AR36" i="20"/>
  <c r="N36" i="5" s="1"/>
  <c r="AP36" i="20" s="1"/>
  <c r="AR39" i="20"/>
  <c r="AR44" i="20"/>
  <c r="N44" i="5" s="1"/>
  <c r="AP44" i="20" s="1"/>
  <c r="AR47" i="20"/>
  <c r="AR52" i="20"/>
  <c r="N52" i="5" s="1"/>
  <c r="AP52" i="20" s="1"/>
  <c r="AR55" i="20"/>
  <c r="AR60" i="20"/>
  <c r="N60" i="5" s="1"/>
  <c r="AP60" i="20" s="1"/>
  <c r="AR63" i="20"/>
  <c r="AR68" i="20"/>
  <c r="N68" i="5" s="1"/>
  <c r="AP68" i="20" s="1"/>
  <c r="AR71" i="20"/>
  <c r="AR76" i="20"/>
  <c r="N76" i="5" s="1"/>
  <c r="AP76" i="20" s="1"/>
  <c r="AR79" i="20"/>
  <c r="AR84" i="20"/>
  <c r="N84" i="5" s="1"/>
  <c r="AP84" i="20" s="1"/>
  <c r="AR87" i="20"/>
  <c r="J29" i="20"/>
  <c r="AZ24" i="20"/>
  <c r="Q45" i="7"/>
  <c r="Q38" i="7"/>
  <c r="M45" i="7"/>
  <c r="M43" i="7"/>
  <c r="AR112" i="20"/>
  <c r="N112" i="5" s="1"/>
  <c r="AP112" i="20" s="1"/>
  <c r="AR107" i="20"/>
  <c r="AR104" i="20"/>
  <c r="N104" i="5" s="1"/>
  <c r="AP104" i="20" s="1"/>
  <c r="AR99" i="20"/>
  <c r="AR96" i="20"/>
  <c r="N96" i="5" s="1"/>
  <c r="AP96" i="20" s="1"/>
  <c r="AR91" i="20"/>
  <c r="AR80" i="20"/>
  <c r="N80" i="5" s="1"/>
  <c r="AP80" i="20" s="1"/>
  <c r="AR77" i="20"/>
  <c r="N77" i="5" s="1"/>
  <c r="AP77" i="20" s="1"/>
  <c r="AR73" i="20"/>
  <c r="N73" i="5" s="1"/>
  <c r="AP73" i="20" s="1"/>
  <c r="AR66" i="20"/>
  <c r="AR62" i="20"/>
  <c r="N62" i="5" s="1"/>
  <c r="AP62" i="20" s="1"/>
  <c r="AR59" i="20"/>
  <c r="AR48" i="20"/>
  <c r="N48" i="5" s="1"/>
  <c r="AP48" i="20" s="1"/>
  <c r="AR45" i="20"/>
  <c r="N45" i="5" s="1"/>
  <c r="AP45" i="20" s="1"/>
  <c r="AR41" i="20"/>
  <c r="N41" i="5" s="1"/>
  <c r="AP41" i="20" s="1"/>
  <c r="AR34" i="20"/>
  <c r="N34" i="5" s="1"/>
  <c r="AP34" i="20" s="1"/>
  <c r="AR30" i="20"/>
  <c r="N30" i="5" s="1"/>
  <c r="AP30" i="20" s="1"/>
  <c r="AR27" i="20"/>
  <c r="AR15" i="20"/>
  <c r="N15" i="5" s="1"/>
  <c r="C15" i="15" s="1"/>
  <c r="E15" i="15" s="1"/>
  <c r="AQ106" i="20"/>
  <c r="AQ102" i="20"/>
  <c r="E102" i="5" s="1"/>
  <c r="AO102" i="20" s="1"/>
  <c r="AQ92" i="20"/>
  <c r="E92" i="5" s="1"/>
  <c r="AQ84" i="20"/>
  <c r="E84" i="5" s="1"/>
  <c r="AQ69" i="20"/>
  <c r="E69" i="5" s="1"/>
  <c r="AQ53" i="20"/>
  <c r="E53" i="5" s="1"/>
  <c r="AQ38" i="20"/>
  <c r="E38" i="5" s="1"/>
  <c r="AO38" i="20" s="1"/>
  <c r="AQ28" i="20"/>
  <c r="E28" i="5" s="1"/>
  <c r="R41" i="7"/>
  <c r="U41" i="7" s="1"/>
  <c r="R42" i="7"/>
  <c r="U42" i="7" s="1"/>
  <c r="BA26" i="20"/>
  <c r="AR114" i="20"/>
  <c r="N114" i="5" s="1"/>
  <c r="AP114" i="20" s="1"/>
  <c r="AR109" i="20"/>
  <c r="N109" i="5" s="1"/>
  <c r="AP109" i="20" s="1"/>
  <c r="AR106" i="20"/>
  <c r="N106" i="5" s="1"/>
  <c r="AP106" i="20" s="1"/>
  <c r="AR101" i="20"/>
  <c r="N101" i="5" s="1"/>
  <c r="AP101" i="20" s="1"/>
  <c r="AR98" i="20"/>
  <c r="N98" i="5" s="1"/>
  <c r="AP98" i="20" s="1"/>
  <c r="AR93" i="20"/>
  <c r="N93" i="5" s="1"/>
  <c r="AP93" i="20" s="1"/>
  <c r="AR90" i="20"/>
  <c r="N90" i="5" s="1"/>
  <c r="AP90" i="20" s="1"/>
  <c r="AR86" i="20"/>
  <c r="N86" i="5" s="1"/>
  <c r="AP86" i="20" s="1"/>
  <c r="AR83" i="20"/>
  <c r="AR72" i="20"/>
  <c r="N72" i="5" s="1"/>
  <c r="AP72" i="20" s="1"/>
  <c r="AR69" i="20"/>
  <c r="N69" i="5" s="1"/>
  <c r="AP69" i="20" s="1"/>
  <c r="AR65" i="20"/>
  <c r="N65" i="5" s="1"/>
  <c r="AP65" i="20" s="1"/>
  <c r="AR58" i="20"/>
  <c r="N58" i="5" s="1"/>
  <c r="AP58" i="20" s="1"/>
  <c r="AR54" i="20"/>
  <c r="N54" i="5" s="1"/>
  <c r="AP54" i="20" s="1"/>
  <c r="AR51" i="20"/>
  <c r="AR40" i="20"/>
  <c r="N40" i="5" s="1"/>
  <c r="AP40" i="20" s="1"/>
  <c r="AR37" i="20"/>
  <c r="N37" i="5" s="1"/>
  <c r="AP37" i="20" s="1"/>
  <c r="AR33" i="20"/>
  <c r="N33" i="5" s="1"/>
  <c r="AP33" i="20" s="1"/>
  <c r="AR26" i="20"/>
  <c r="N26" i="5" s="1"/>
  <c r="AP26" i="20" s="1"/>
  <c r="AR22" i="20"/>
  <c r="N22" i="5" s="1"/>
  <c r="AP22" i="20" s="1"/>
  <c r="AR19" i="20"/>
  <c r="AQ110" i="20"/>
  <c r="E110" i="5" s="1"/>
  <c r="AO110" i="20" s="1"/>
  <c r="AQ101" i="20"/>
  <c r="E101" i="5" s="1"/>
  <c r="AQ78" i="20"/>
  <c r="E78" i="5" s="1"/>
  <c r="AO78" i="20" s="1"/>
  <c r="AQ62" i="20"/>
  <c r="E62" i="5" s="1"/>
  <c r="AO62" i="20" s="1"/>
  <c r="AQ52" i="20"/>
  <c r="E52" i="5" s="1"/>
  <c r="AQ37" i="20"/>
  <c r="E37" i="5" s="1"/>
  <c r="AQ21" i="20"/>
  <c r="E21" i="5" s="1"/>
  <c r="AP75" i="20"/>
  <c r="BG17" i="20"/>
  <c r="BG22" i="20"/>
  <c r="BG29" i="20"/>
  <c r="BG38" i="20"/>
  <c r="BG45" i="20"/>
  <c r="BG49" i="20"/>
  <c r="BG52" i="20"/>
  <c r="BG25" i="20"/>
  <c r="BG34" i="20"/>
  <c r="BG41" i="20"/>
  <c r="BG46" i="20"/>
  <c r="BG53" i="20"/>
  <c r="BG30" i="20"/>
  <c r="BG37" i="20"/>
  <c r="BG48" i="20"/>
  <c r="BG50" i="20"/>
  <c r="BG54" i="20"/>
  <c r="BG18" i="20"/>
  <c r="BG26" i="20"/>
  <c r="BG33" i="20"/>
  <c r="BG42" i="20"/>
  <c r="M22" i="7"/>
  <c r="V9" i="15"/>
  <c r="V14" i="15" s="1"/>
  <c r="R22" i="15" s="1"/>
  <c r="B18" i="20"/>
  <c r="B13" i="20" s="1"/>
  <c r="C34" i="20"/>
  <c r="BA173" i="20"/>
  <c r="AZ232" i="20"/>
  <c r="AZ124" i="20"/>
  <c r="AZ111" i="20"/>
  <c r="BA225" i="20"/>
  <c r="AZ241" i="20"/>
  <c r="BA36" i="20"/>
  <c r="BA245" i="20"/>
  <c r="AZ162" i="20"/>
  <c r="AZ64" i="20"/>
  <c r="AZ61" i="20"/>
  <c r="AZ71" i="20"/>
  <c r="BA178" i="20"/>
  <c r="AZ231" i="20"/>
  <c r="AZ133" i="20"/>
  <c r="BA136" i="20"/>
  <c r="AZ83" i="20"/>
  <c r="AZ183" i="20"/>
  <c r="AZ172" i="20"/>
  <c r="BA171" i="20"/>
  <c r="BA96" i="20"/>
  <c r="AZ243" i="20"/>
  <c r="AZ228" i="20"/>
  <c r="BA236" i="20"/>
  <c r="BA237" i="20"/>
  <c r="AZ213" i="20"/>
  <c r="BA214" i="20"/>
  <c r="BA72" i="20"/>
  <c r="BA151" i="20"/>
  <c r="AZ62" i="20"/>
  <c r="AZ98" i="20"/>
  <c r="BA209" i="20"/>
  <c r="BA251" i="20"/>
  <c r="BA140" i="20"/>
  <c r="BA81" i="20"/>
  <c r="BA48" i="20"/>
  <c r="BA85" i="20"/>
  <c r="AZ52" i="20"/>
  <c r="BA123" i="20"/>
  <c r="BA240" i="20"/>
  <c r="BA155" i="20"/>
  <c r="AZ130" i="20"/>
  <c r="AZ39" i="20"/>
  <c r="AZ131" i="20"/>
  <c r="BA101" i="20"/>
  <c r="AZ44" i="20"/>
  <c r="AZ145" i="20"/>
  <c r="BA203" i="20"/>
  <c r="AZ97" i="20"/>
  <c r="BA201" i="20"/>
  <c r="BA168" i="20"/>
  <c r="BA176" i="20"/>
  <c r="AZ200" i="20"/>
  <c r="AZ142" i="20"/>
  <c r="BA90" i="20"/>
  <c r="AZ63" i="20"/>
  <c r="BA222" i="20"/>
  <c r="BA57" i="20"/>
  <c r="BA74" i="20"/>
  <c r="BA206" i="20"/>
  <c r="AZ233" i="20"/>
  <c r="BA33" i="20"/>
  <c r="AZ224" i="20"/>
  <c r="AZ117" i="20"/>
  <c r="AZ190" i="20"/>
  <c r="AZ167" i="20"/>
  <c r="BA153" i="20"/>
  <c r="AZ184" i="20"/>
  <c r="AZ129" i="20"/>
  <c r="BA31" i="20"/>
  <c r="BA80" i="20"/>
  <c r="AZ197" i="20"/>
  <c r="AZ114" i="20"/>
  <c r="AZ144" i="20"/>
  <c r="BA47" i="20"/>
  <c r="BA95" i="20"/>
  <c r="BA59" i="20"/>
  <c r="AZ186" i="20"/>
  <c r="BA154" i="20"/>
  <c r="BA60" i="20"/>
  <c r="AZ189" i="20"/>
  <c r="BA208" i="20"/>
  <c r="AZ41" i="20"/>
  <c r="AZ53" i="20"/>
  <c r="BA141" i="20"/>
  <c r="BA32" i="20"/>
  <c r="AZ239" i="20"/>
  <c r="BA185" i="20"/>
  <c r="AZ220" i="20"/>
  <c r="AZ148" i="20"/>
  <c r="BA102" i="20"/>
  <c r="BA99" i="20"/>
  <c r="AZ49" i="20"/>
  <c r="BA40" i="20"/>
  <c r="BA187" i="20"/>
  <c r="BA234" i="20"/>
  <c r="BA207" i="20"/>
  <c r="AZ76" i="20"/>
  <c r="BA199" i="20"/>
  <c r="AZ164" i="20"/>
  <c r="AZ115" i="20"/>
  <c r="AZ56" i="20"/>
  <c r="BA86" i="20"/>
  <c r="AZ202" i="20"/>
  <c r="AZ109" i="20"/>
  <c r="AZ38" i="20"/>
  <c r="AZ88" i="20"/>
  <c r="BA28" i="20"/>
  <c r="BA100" i="20"/>
  <c r="BA91" i="20"/>
  <c r="AZ54" i="20"/>
  <c r="AZ34" i="20"/>
  <c r="BA45" i="20"/>
  <c r="AZ244" i="20"/>
  <c r="BA78" i="20"/>
  <c r="BA205" i="20"/>
  <c r="BA242" i="20"/>
  <c r="BA89" i="20"/>
  <c r="AZ174" i="20"/>
  <c r="BA37" i="20"/>
  <c r="AZ146" i="20"/>
  <c r="AZ92" i="20"/>
  <c r="BA158" i="20"/>
  <c r="BA132" i="20"/>
  <c r="BA137" i="20"/>
  <c r="AZ139" i="20"/>
  <c r="AZ113" i="20"/>
  <c r="AZ216" i="20"/>
  <c r="AZ43" i="20"/>
  <c r="AZ67" i="20"/>
  <c r="BA238" i="20"/>
  <c r="BA218" i="20"/>
  <c r="BA118" i="20"/>
  <c r="BA68" i="20"/>
  <c r="AZ156" i="20"/>
  <c r="AZ169" i="20"/>
  <c r="AZ30" i="20"/>
  <c r="AZ35" i="20"/>
  <c r="AZ128" i="20"/>
  <c r="BA188" i="20"/>
  <c r="BA246" i="20"/>
  <c r="AZ46" i="20"/>
  <c r="BA104" i="20"/>
  <c r="AZ157" i="20"/>
  <c r="AZ127" i="20"/>
  <c r="AZ135" i="20"/>
  <c r="BA66" i="20"/>
  <c r="BA21" i="20"/>
  <c r="AZ21" i="20"/>
  <c r="BA15" i="20"/>
  <c r="BA16" i="20"/>
  <c r="AZ191" i="20"/>
  <c r="BA180" i="20"/>
  <c r="AZ87" i="20"/>
  <c r="AZ134" i="20"/>
  <c r="BA179" i="20"/>
  <c r="AZ122" i="20"/>
  <c r="BA121" i="20"/>
  <c r="BA110" i="20"/>
  <c r="AZ235" i="20"/>
  <c r="BA42" i="20"/>
  <c r="AZ116" i="20"/>
  <c r="BA250" i="20"/>
  <c r="BA108" i="20"/>
  <c r="BA193" i="20"/>
  <c r="BA211" i="20"/>
  <c r="BA147" i="20"/>
  <c r="BA73" i="20"/>
  <c r="F9" i="8"/>
  <c r="E8" i="15" s="1"/>
  <c r="BA19" i="20"/>
  <c r="R22" i="7"/>
  <c r="BA25" i="20"/>
  <c r="AZ25" i="20"/>
  <c r="AJ1" i="15"/>
  <c r="H10" i="8"/>
  <c r="R43" i="7"/>
  <c r="Q31" i="7"/>
  <c r="Q22" i="7"/>
  <c r="AT7" i="4"/>
  <c r="AY7" i="5"/>
  <c r="M9" i="5" s="1"/>
  <c r="AZ19" i="20"/>
  <c r="Q35" i="7"/>
  <c r="Q27" i="7"/>
  <c r="BB7" i="5"/>
  <c r="O9" i="5" s="1"/>
  <c r="N94" i="5"/>
  <c r="AP94" i="20" s="1"/>
  <c r="N70" i="5"/>
  <c r="AP70" i="20" s="1"/>
  <c r="N66" i="5"/>
  <c r="AP66" i="20" s="1"/>
  <c r="N46" i="5"/>
  <c r="AP46" i="20" s="1"/>
  <c r="N18" i="5"/>
  <c r="AP18" i="20" s="1"/>
  <c r="AO108" i="20"/>
  <c r="AO105" i="20"/>
  <c r="AQ89" i="20"/>
  <c r="AQ82" i="20"/>
  <c r="AQ80" i="20"/>
  <c r="AO76" i="20"/>
  <c r="AQ73" i="20"/>
  <c r="AQ66" i="20"/>
  <c r="AQ64" i="20"/>
  <c r="AQ57" i="20"/>
  <c r="AQ50" i="20"/>
  <c r="AQ48" i="20"/>
  <c r="E46" i="5"/>
  <c r="AO46" i="20" s="1"/>
  <c r="AQ41" i="20"/>
  <c r="AQ34" i="20"/>
  <c r="AQ32" i="20"/>
  <c r="E30" i="5"/>
  <c r="AO30" i="20" s="1"/>
  <c r="AQ25" i="20"/>
  <c r="AQ18" i="20"/>
  <c r="AQ16" i="20"/>
  <c r="AO85" i="20"/>
  <c r="AO69" i="20"/>
  <c r="AO37" i="20"/>
  <c r="AO97" i="20"/>
  <c r="AQ88" i="20"/>
  <c r="AQ81" i="20"/>
  <c r="AQ74" i="20"/>
  <c r="AQ72" i="20"/>
  <c r="AQ65" i="20"/>
  <c r="AQ58" i="20"/>
  <c r="AQ56" i="20"/>
  <c r="AQ49" i="20"/>
  <c r="AQ42" i="20"/>
  <c r="AQ40" i="20"/>
  <c r="AQ33" i="20"/>
  <c r="AQ26" i="20"/>
  <c r="AQ24" i="20"/>
  <c r="J17" i="20"/>
  <c r="K17" i="20"/>
  <c r="N17" i="20" s="1"/>
  <c r="AO93" i="20"/>
  <c r="AO29" i="20"/>
  <c r="AQ15" i="20"/>
  <c r="AQ19" i="20"/>
  <c r="AQ23" i="20"/>
  <c r="AQ27" i="20"/>
  <c r="AQ31" i="20"/>
  <c r="AQ35" i="20"/>
  <c r="AQ39" i="20"/>
  <c r="AQ43" i="20"/>
  <c r="AQ47" i="20"/>
  <c r="AQ51" i="20"/>
  <c r="AQ55" i="20"/>
  <c r="AQ59" i="20"/>
  <c r="AQ63" i="20"/>
  <c r="AQ67" i="20"/>
  <c r="AQ71" i="20"/>
  <c r="AQ75" i="20"/>
  <c r="AQ79" i="20"/>
  <c r="AQ83" i="20"/>
  <c r="AQ87" i="20"/>
  <c r="AQ91" i="20"/>
  <c r="AQ95" i="20"/>
  <c r="AQ99" i="20"/>
  <c r="AQ103" i="20"/>
  <c r="AQ107" i="20"/>
  <c r="AQ111" i="20"/>
  <c r="AR16" i="20"/>
  <c r="K21" i="20"/>
  <c r="N21" i="20" s="1"/>
  <c r="K25" i="20"/>
  <c r="N25" i="20" s="1"/>
  <c r="BI6" i="5"/>
  <c r="P13" i="15"/>
  <c r="K16" i="20"/>
  <c r="N16" i="20" s="1"/>
  <c r="K29" i="20"/>
  <c r="N29" i="20" s="1"/>
  <c r="K33" i="20"/>
  <c r="N33" i="20" s="1"/>
  <c r="AN3" i="4"/>
  <c r="E18" i="20"/>
  <c r="G30" i="20"/>
  <c r="G26" i="20"/>
  <c r="G22" i="20"/>
  <c r="G18" i="20"/>
  <c r="G14" i="20"/>
  <c r="F31" i="20"/>
  <c r="F27" i="20"/>
  <c r="F23" i="20"/>
  <c r="F19" i="20"/>
  <c r="F15" i="20"/>
  <c r="D35" i="20"/>
  <c r="AB30" i="16"/>
  <c r="AO30" i="16" s="1"/>
  <c r="AB36" i="16"/>
  <c r="AO36" i="16" s="1"/>
  <c r="BG16" i="20"/>
  <c r="BG20" i="20"/>
  <c r="BG24" i="20"/>
  <c r="BG28" i="20"/>
  <c r="BG32" i="20"/>
  <c r="BG36" i="20"/>
  <c r="BG40" i="20"/>
  <c r="BG44" i="20"/>
  <c r="BG15" i="20"/>
  <c r="BG19" i="20"/>
  <c r="BG23" i="20"/>
  <c r="BG27" i="20"/>
  <c r="BG31" i="20"/>
  <c r="BG35" i="20"/>
  <c r="BG39" i="20"/>
  <c r="BG43" i="20"/>
  <c r="BG47" i="20"/>
  <c r="BG51" i="20"/>
  <c r="BG21" i="20"/>
  <c r="AO21" i="7" l="1"/>
  <c r="AO20" i="20"/>
  <c r="D20" i="5" s="1"/>
  <c r="AO113" i="20"/>
  <c r="AO44" i="20"/>
  <c r="AO60" i="20"/>
  <c r="G60" i="5" s="1"/>
  <c r="Q20" i="16"/>
  <c r="AC20" i="16" s="1"/>
  <c r="AQ20" i="16" s="1"/>
  <c r="Z20" i="16" s="1"/>
  <c r="AO68" i="20"/>
  <c r="AO53" i="20"/>
  <c r="AO96" i="20"/>
  <c r="H96" i="5" s="1"/>
  <c r="AP67" i="20"/>
  <c r="P67" i="5" s="1"/>
  <c r="AO45" i="20"/>
  <c r="AO90" i="20"/>
  <c r="AO28" i="20"/>
  <c r="I28" i="5" s="1"/>
  <c r="AP35" i="20"/>
  <c r="P35" i="5" s="1"/>
  <c r="AO84" i="20"/>
  <c r="AO21" i="20"/>
  <c r="I21" i="5" s="1"/>
  <c r="Q29" i="5"/>
  <c r="AO52" i="20"/>
  <c r="G52" i="5" s="1"/>
  <c r="AC41" i="16"/>
  <c r="AQ41" i="16" s="1"/>
  <c r="AC35" i="16"/>
  <c r="AQ35" i="16" s="1"/>
  <c r="AC30" i="16"/>
  <c r="AQ30" i="16" s="1"/>
  <c r="Q18" i="16"/>
  <c r="AC18" i="16" s="1"/>
  <c r="AQ18" i="16" s="1"/>
  <c r="AX18" i="16" s="1"/>
  <c r="Y18" i="16" s="1"/>
  <c r="AC36" i="16"/>
  <c r="AQ36" i="16" s="1"/>
  <c r="AB29" i="16"/>
  <c r="AO29" i="16" s="1"/>
  <c r="AN29" i="16" s="1"/>
  <c r="AP111" i="20"/>
  <c r="M111" i="5" s="1"/>
  <c r="P16" i="16"/>
  <c r="AB16" i="16" s="1"/>
  <c r="AO16" i="16" s="1"/>
  <c r="W16" i="16" s="1"/>
  <c r="P20" i="16"/>
  <c r="AB20" i="16" s="1"/>
  <c r="AO20" i="16" s="1"/>
  <c r="P19" i="16"/>
  <c r="AB19" i="16" s="1"/>
  <c r="AO19" i="16" s="1"/>
  <c r="W19" i="16" s="1"/>
  <c r="AB21" i="16"/>
  <c r="AO21" i="16" s="1"/>
  <c r="AN21" i="16" s="1"/>
  <c r="Q19" i="16"/>
  <c r="AC19" i="16" s="1"/>
  <c r="AQ19" i="16" s="1"/>
  <c r="Z19" i="16" s="1"/>
  <c r="AO109" i="20"/>
  <c r="AB43" i="16"/>
  <c r="AO43" i="16" s="1"/>
  <c r="AN43" i="16" s="1"/>
  <c r="P53" i="5"/>
  <c r="O53" i="5"/>
  <c r="AO61" i="20"/>
  <c r="AP95" i="20"/>
  <c r="M95" i="5" s="1"/>
  <c r="P18" i="16"/>
  <c r="AB18" i="16" s="1"/>
  <c r="AO18" i="16" s="1"/>
  <c r="AW18" i="16" s="1"/>
  <c r="V18" i="16" s="1"/>
  <c r="AC22" i="16"/>
  <c r="AQ22" i="16" s="1"/>
  <c r="AB32" i="16"/>
  <c r="AO32" i="16" s="1"/>
  <c r="AC37" i="16"/>
  <c r="AQ37" i="16" s="1"/>
  <c r="AC42" i="16"/>
  <c r="AQ42" i="16" s="1"/>
  <c r="AB42" i="16"/>
  <c r="AO42" i="16" s="1"/>
  <c r="AN42" i="16" s="1"/>
  <c r="AB26" i="16"/>
  <c r="AO26" i="16" s="1"/>
  <c r="AC33" i="16"/>
  <c r="AQ33" i="16" s="1"/>
  <c r="P17" i="16"/>
  <c r="AB17" i="16" s="1"/>
  <c r="AO17" i="16" s="1"/>
  <c r="AW17" i="16" s="1"/>
  <c r="V17" i="16" s="1"/>
  <c r="AC32" i="16"/>
  <c r="AQ32" i="16" s="1"/>
  <c r="Q16" i="16"/>
  <c r="AC16" i="16" s="1"/>
  <c r="AQ16" i="16" s="1"/>
  <c r="AC31" i="16"/>
  <c r="AQ31" i="16" s="1"/>
  <c r="Q15" i="16"/>
  <c r="AC15" i="16" s="1"/>
  <c r="AQ15" i="16" s="1"/>
  <c r="AP15" i="16" s="1"/>
  <c r="AO77" i="20"/>
  <c r="D77" i="5" s="1"/>
  <c r="AO100" i="20"/>
  <c r="AB37" i="16"/>
  <c r="AO37" i="16" s="1"/>
  <c r="AN37" i="16" s="1"/>
  <c r="AB41" i="16"/>
  <c r="AO41" i="16" s="1"/>
  <c r="AN41" i="16" s="1"/>
  <c r="H98" i="5"/>
  <c r="M105" i="5"/>
  <c r="AB44" i="16"/>
  <c r="AO44" i="16" s="1"/>
  <c r="AN44" i="16" s="1"/>
  <c r="AC29" i="16"/>
  <c r="AQ29" i="16" s="1"/>
  <c r="AC34" i="16"/>
  <c r="AQ34" i="16" s="1"/>
  <c r="AB22" i="16"/>
  <c r="AO22" i="16" s="1"/>
  <c r="AC25" i="16"/>
  <c r="AQ25" i="16" s="1"/>
  <c r="AC44" i="16"/>
  <c r="AQ44" i="16" s="1"/>
  <c r="AC28" i="16"/>
  <c r="AQ28" i="16" s="1"/>
  <c r="AC43" i="16"/>
  <c r="AQ43" i="16" s="1"/>
  <c r="AC27" i="16"/>
  <c r="AQ27" i="16" s="1"/>
  <c r="AO36" i="20"/>
  <c r="F36" i="5" s="1"/>
  <c r="AO92" i="20"/>
  <c r="F92" i="5" s="1"/>
  <c r="AB39" i="16"/>
  <c r="AO39" i="16" s="1"/>
  <c r="AB31" i="16"/>
  <c r="AO31" i="16" s="1"/>
  <c r="AN31" i="16" s="1"/>
  <c r="AB25" i="16"/>
  <c r="AO25" i="16" s="1"/>
  <c r="AB27" i="16"/>
  <c r="AO27" i="16" s="1"/>
  <c r="AN27" i="16" s="1"/>
  <c r="AK9" i="4"/>
  <c r="AB11" i="4" s="1"/>
  <c r="AB28" i="16"/>
  <c r="AO28" i="16" s="1"/>
  <c r="AB38" i="16"/>
  <c r="AO38" i="16" s="1"/>
  <c r="AN38" i="16" s="1"/>
  <c r="AB23" i="16"/>
  <c r="AO23" i="16" s="1"/>
  <c r="AN23" i="16" s="1"/>
  <c r="AC38" i="16"/>
  <c r="AQ38" i="16" s="1"/>
  <c r="AB40" i="16"/>
  <c r="AO40" i="16" s="1"/>
  <c r="AN40" i="16" s="1"/>
  <c r="AB24" i="16"/>
  <c r="AO24" i="16" s="1"/>
  <c r="AN24" i="16" s="1"/>
  <c r="AC21" i="16"/>
  <c r="AQ21" i="16" s="1"/>
  <c r="AC26" i="16"/>
  <c r="AQ26" i="16" s="1"/>
  <c r="AB34" i="16"/>
  <c r="AO34" i="16" s="1"/>
  <c r="AN34" i="16" s="1"/>
  <c r="P15" i="16"/>
  <c r="AB15" i="16" s="1"/>
  <c r="AO15" i="16" s="1"/>
  <c r="AN15" i="16" s="1"/>
  <c r="Q17" i="16"/>
  <c r="AC17" i="16" s="1"/>
  <c r="AQ17" i="16" s="1"/>
  <c r="AP17" i="16" s="1"/>
  <c r="AC40" i="16"/>
  <c r="AQ40" i="16" s="1"/>
  <c r="AC24" i="16"/>
  <c r="AQ24" i="16" s="1"/>
  <c r="AC39" i="16"/>
  <c r="AQ39" i="16" s="1"/>
  <c r="AC23" i="16"/>
  <c r="AQ23" i="16" s="1"/>
  <c r="AB33" i="16"/>
  <c r="AO33" i="16" s="1"/>
  <c r="AN33" i="16" s="1"/>
  <c r="AA34" i="7"/>
  <c r="R105" i="5"/>
  <c r="AP103" i="20"/>
  <c r="P103" i="5" s="1"/>
  <c r="AA35" i="7"/>
  <c r="AP43" i="20"/>
  <c r="R43" i="5" s="1"/>
  <c r="F98" i="5"/>
  <c r="AO101" i="20"/>
  <c r="G101" i="5" s="1"/>
  <c r="D98" i="5"/>
  <c r="G98" i="5"/>
  <c r="P105" i="5"/>
  <c r="Q105" i="5"/>
  <c r="P24" i="5"/>
  <c r="Q24" i="5"/>
  <c r="M24" i="5"/>
  <c r="O24" i="5"/>
  <c r="R24" i="5"/>
  <c r="R92" i="5"/>
  <c r="P92" i="5"/>
  <c r="O92" i="5"/>
  <c r="M92" i="5"/>
  <c r="Q92" i="5"/>
  <c r="P64" i="5"/>
  <c r="M64" i="5"/>
  <c r="R64" i="5"/>
  <c r="O64" i="5"/>
  <c r="Q64" i="5"/>
  <c r="H70" i="5"/>
  <c r="G70" i="5"/>
  <c r="F70" i="5"/>
  <c r="D70" i="5"/>
  <c r="I70" i="5"/>
  <c r="Q108" i="5"/>
  <c r="M108" i="5"/>
  <c r="O108" i="5"/>
  <c r="P108" i="5"/>
  <c r="R108" i="5"/>
  <c r="Q49" i="5"/>
  <c r="O49" i="5"/>
  <c r="R49" i="5"/>
  <c r="M49" i="5"/>
  <c r="P49" i="5"/>
  <c r="P56" i="5"/>
  <c r="R56" i="5"/>
  <c r="M56" i="5"/>
  <c r="Q56" i="5"/>
  <c r="O56" i="5"/>
  <c r="Q100" i="5"/>
  <c r="O100" i="5"/>
  <c r="P100" i="5"/>
  <c r="R100" i="5"/>
  <c r="M100" i="5"/>
  <c r="Q25" i="5"/>
  <c r="M25" i="5"/>
  <c r="P25" i="5"/>
  <c r="O25" i="5"/>
  <c r="R25" i="5"/>
  <c r="P113" i="5"/>
  <c r="O113" i="5"/>
  <c r="R113" i="5"/>
  <c r="M113" i="5"/>
  <c r="Q113" i="5"/>
  <c r="P89" i="5"/>
  <c r="R89" i="5"/>
  <c r="M89" i="5"/>
  <c r="Q89" i="5"/>
  <c r="O89" i="5"/>
  <c r="P57" i="5"/>
  <c r="R57" i="5"/>
  <c r="M57" i="5"/>
  <c r="O57" i="5"/>
  <c r="Q57" i="5"/>
  <c r="M32" i="5"/>
  <c r="O32" i="5"/>
  <c r="Q32" i="5"/>
  <c r="R32" i="5"/>
  <c r="P32" i="5"/>
  <c r="R85" i="5"/>
  <c r="Q85" i="5"/>
  <c r="M85" i="5"/>
  <c r="P85" i="5"/>
  <c r="O85" i="5"/>
  <c r="O29" i="5"/>
  <c r="R29" i="5"/>
  <c r="M29" i="5"/>
  <c r="AQ32" i="7"/>
  <c r="M81" i="5"/>
  <c r="R81" i="5"/>
  <c r="Q81" i="5"/>
  <c r="P81" i="5"/>
  <c r="O81" i="5"/>
  <c r="AQ34" i="7"/>
  <c r="O88" i="5"/>
  <c r="P88" i="5"/>
  <c r="Q88" i="5"/>
  <c r="R88" i="5"/>
  <c r="M88" i="5"/>
  <c r="P21" i="5"/>
  <c r="R21" i="5"/>
  <c r="Q21" i="5"/>
  <c r="O21" i="5"/>
  <c r="M21" i="5"/>
  <c r="M61" i="5"/>
  <c r="R61" i="5"/>
  <c r="O61" i="5"/>
  <c r="P61" i="5"/>
  <c r="Q61" i="5"/>
  <c r="AL19" i="16"/>
  <c r="AL29" i="16"/>
  <c r="AL43" i="16"/>
  <c r="AL18" i="16"/>
  <c r="AL21" i="16"/>
  <c r="AL17" i="16"/>
  <c r="AL31" i="16"/>
  <c r="AL44" i="16"/>
  <c r="AL39" i="16"/>
  <c r="AL33" i="16"/>
  <c r="AL38" i="16"/>
  <c r="AL41" i="16"/>
  <c r="AL36" i="16"/>
  <c r="AL30" i="16"/>
  <c r="AL26" i="16"/>
  <c r="AL40" i="16"/>
  <c r="AL16" i="16"/>
  <c r="AL27" i="16"/>
  <c r="AL22" i="16"/>
  <c r="AL25" i="16"/>
  <c r="AL15" i="16"/>
  <c r="AL20" i="16"/>
  <c r="AL35" i="16"/>
  <c r="AL23" i="16"/>
  <c r="AR5" i="16"/>
  <c r="AL34" i="16"/>
  <c r="AL24" i="16"/>
  <c r="AL28" i="16"/>
  <c r="AL37" i="16"/>
  <c r="AL32" i="16"/>
  <c r="AL42" i="16"/>
  <c r="BL5" i="4"/>
  <c r="V26" i="15"/>
  <c r="AA29" i="7"/>
  <c r="G104" i="5"/>
  <c r="F104" i="5"/>
  <c r="I104" i="5"/>
  <c r="H104" i="5"/>
  <c r="D104" i="5"/>
  <c r="BH33" i="20"/>
  <c r="BI33" i="20"/>
  <c r="BH50" i="20"/>
  <c r="BI50" i="20"/>
  <c r="BH53" i="20"/>
  <c r="BI53" i="20"/>
  <c r="BI25" i="20"/>
  <c r="BH25" i="20"/>
  <c r="BH38" i="20"/>
  <c r="BI38" i="20"/>
  <c r="G90" i="5"/>
  <c r="F90" i="5"/>
  <c r="D90" i="5"/>
  <c r="H90" i="5"/>
  <c r="I90" i="5"/>
  <c r="AN35" i="16"/>
  <c r="N19" i="5"/>
  <c r="AP19" i="20" s="1"/>
  <c r="O37" i="5"/>
  <c r="Q37" i="5"/>
  <c r="M37" i="5"/>
  <c r="R37" i="5"/>
  <c r="P37" i="5"/>
  <c r="N83" i="5"/>
  <c r="AP83" i="20" s="1"/>
  <c r="R41" i="5"/>
  <c r="O41" i="5"/>
  <c r="Q41" i="5"/>
  <c r="P41" i="5"/>
  <c r="M41" i="5"/>
  <c r="R80" i="5"/>
  <c r="Q80" i="5"/>
  <c r="M80" i="5"/>
  <c r="O80" i="5"/>
  <c r="P80" i="5"/>
  <c r="O104" i="5"/>
  <c r="P104" i="5"/>
  <c r="M104" i="5"/>
  <c r="R104" i="5"/>
  <c r="Q104" i="5"/>
  <c r="AQ33" i="7"/>
  <c r="M76" i="5"/>
  <c r="Q76" i="5"/>
  <c r="O76" i="5"/>
  <c r="P76" i="5"/>
  <c r="R76" i="5"/>
  <c r="M60" i="5"/>
  <c r="P60" i="5"/>
  <c r="Q60" i="5"/>
  <c r="R60" i="5"/>
  <c r="O60" i="5"/>
  <c r="M44" i="5"/>
  <c r="Q44" i="5"/>
  <c r="O44" i="5"/>
  <c r="R44" i="5"/>
  <c r="P44" i="5"/>
  <c r="Q28" i="5"/>
  <c r="O28" i="5"/>
  <c r="R28" i="5"/>
  <c r="P28" i="5"/>
  <c r="M28" i="5"/>
  <c r="E112" i="5"/>
  <c r="AO112" i="20" s="1"/>
  <c r="G86" i="5"/>
  <c r="D86" i="5"/>
  <c r="I86" i="5"/>
  <c r="H86" i="5"/>
  <c r="F86" i="5"/>
  <c r="BH26" i="20"/>
  <c r="BI26" i="20"/>
  <c r="BI48" i="20"/>
  <c r="BH48" i="20"/>
  <c r="BH46" i="20"/>
  <c r="BI46" i="20"/>
  <c r="BH52" i="20"/>
  <c r="BI52" i="20"/>
  <c r="BH29" i="20"/>
  <c r="BI29" i="20"/>
  <c r="O111" i="5"/>
  <c r="I96" i="5"/>
  <c r="G96" i="5"/>
  <c r="R40" i="5"/>
  <c r="Q40" i="5"/>
  <c r="P40" i="5"/>
  <c r="M40" i="5"/>
  <c r="O40" i="5"/>
  <c r="M65" i="5"/>
  <c r="P65" i="5"/>
  <c r="Q65" i="5"/>
  <c r="R65" i="5"/>
  <c r="O65" i="5"/>
  <c r="R101" i="5"/>
  <c r="P101" i="5"/>
  <c r="M101" i="5"/>
  <c r="O101" i="5"/>
  <c r="Q101" i="5"/>
  <c r="F38" i="5"/>
  <c r="H38" i="5"/>
  <c r="I38" i="5"/>
  <c r="D38" i="5"/>
  <c r="G38" i="5"/>
  <c r="N27" i="5"/>
  <c r="AP27" i="20" s="1"/>
  <c r="M45" i="5"/>
  <c r="O45" i="5"/>
  <c r="P45" i="5"/>
  <c r="Q45" i="5"/>
  <c r="R45" i="5"/>
  <c r="N91" i="5"/>
  <c r="AP91" i="20" s="1"/>
  <c r="N107" i="5"/>
  <c r="AP107" i="20" s="1"/>
  <c r="N87" i="5"/>
  <c r="AP87" i="20" s="1"/>
  <c r="N71" i="5"/>
  <c r="AP71" i="20" s="1"/>
  <c r="N55" i="5"/>
  <c r="AP55" i="20" s="1"/>
  <c r="N39" i="5"/>
  <c r="AP39" i="20" s="1"/>
  <c r="N23" i="5"/>
  <c r="AP23" i="20" s="1"/>
  <c r="R67" i="5"/>
  <c r="Q20" i="5"/>
  <c r="E22" i="7"/>
  <c r="N22" i="7" s="1"/>
  <c r="AJ4" i="5"/>
  <c r="BH18" i="20"/>
  <c r="BI18" i="20"/>
  <c r="BI37" i="20"/>
  <c r="BH37" i="20"/>
  <c r="BI41" i="20"/>
  <c r="BH41" i="20"/>
  <c r="BH49" i="20"/>
  <c r="BI49" i="20"/>
  <c r="BH22" i="20"/>
  <c r="BI22" i="20"/>
  <c r="M75" i="5"/>
  <c r="R75" i="5"/>
  <c r="P75" i="5"/>
  <c r="Q75" i="5"/>
  <c r="O75" i="5"/>
  <c r="N51" i="5"/>
  <c r="AP51" i="20" s="1"/>
  <c r="P69" i="5"/>
  <c r="R69" i="5"/>
  <c r="O69" i="5"/>
  <c r="Q69" i="5"/>
  <c r="M69" i="5"/>
  <c r="D102" i="5"/>
  <c r="I102" i="5"/>
  <c r="H102" i="5"/>
  <c r="G102" i="5"/>
  <c r="F102" i="5"/>
  <c r="P48" i="5"/>
  <c r="R48" i="5"/>
  <c r="O48" i="5"/>
  <c r="M48" i="5"/>
  <c r="Q48" i="5"/>
  <c r="R73" i="5"/>
  <c r="P73" i="5"/>
  <c r="O73" i="5"/>
  <c r="M73" i="5"/>
  <c r="Q73" i="5"/>
  <c r="P96" i="5"/>
  <c r="R96" i="5"/>
  <c r="Q96" i="5"/>
  <c r="O96" i="5"/>
  <c r="M96" i="5"/>
  <c r="Q112" i="5"/>
  <c r="M112" i="5"/>
  <c r="O112" i="5"/>
  <c r="R112" i="5"/>
  <c r="P112" i="5"/>
  <c r="O84" i="5"/>
  <c r="Q84" i="5"/>
  <c r="P84" i="5"/>
  <c r="R84" i="5"/>
  <c r="M84" i="5"/>
  <c r="O68" i="5"/>
  <c r="P68" i="5"/>
  <c r="R68" i="5"/>
  <c r="Q68" i="5"/>
  <c r="M68" i="5"/>
  <c r="P52" i="5"/>
  <c r="M52" i="5"/>
  <c r="Q52" i="5"/>
  <c r="O52" i="5"/>
  <c r="R52" i="5"/>
  <c r="R36" i="5"/>
  <c r="Q36" i="5"/>
  <c r="O36" i="5"/>
  <c r="P36" i="5"/>
  <c r="M36" i="5"/>
  <c r="O20" i="5"/>
  <c r="P20" i="5"/>
  <c r="M20" i="5"/>
  <c r="G22" i="5"/>
  <c r="F22" i="5"/>
  <c r="I22" i="5"/>
  <c r="D22" i="5"/>
  <c r="H22" i="5"/>
  <c r="R20" i="5"/>
  <c r="BH42" i="20"/>
  <c r="BI42" i="20"/>
  <c r="BH54" i="20"/>
  <c r="BI54" i="20"/>
  <c r="BH30" i="20"/>
  <c r="BI30" i="20"/>
  <c r="BH34" i="20"/>
  <c r="BI34" i="20"/>
  <c r="BH45" i="20"/>
  <c r="BI45" i="20"/>
  <c r="BH17" i="20"/>
  <c r="BI17" i="20"/>
  <c r="O95" i="5"/>
  <c r="AN39" i="16"/>
  <c r="AN25" i="16"/>
  <c r="Q33" i="5"/>
  <c r="M33" i="5"/>
  <c r="P33" i="5"/>
  <c r="R33" i="5"/>
  <c r="O33" i="5"/>
  <c r="O72" i="5"/>
  <c r="P72" i="5"/>
  <c r="M72" i="5"/>
  <c r="R72" i="5"/>
  <c r="Q72" i="5"/>
  <c r="P93" i="5"/>
  <c r="R93" i="5"/>
  <c r="O93" i="5"/>
  <c r="Q93" i="5"/>
  <c r="M93" i="5"/>
  <c r="M109" i="5"/>
  <c r="P109" i="5"/>
  <c r="R109" i="5"/>
  <c r="O109" i="5"/>
  <c r="Q109" i="5"/>
  <c r="E106" i="5"/>
  <c r="AO106" i="20" s="1"/>
  <c r="N59" i="5"/>
  <c r="AP59" i="20" s="1"/>
  <c r="Q77" i="5"/>
  <c r="M77" i="5"/>
  <c r="R77" i="5"/>
  <c r="O77" i="5"/>
  <c r="P77" i="5"/>
  <c r="N99" i="5"/>
  <c r="AP99" i="20" s="1"/>
  <c r="AQ31" i="7"/>
  <c r="N79" i="5"/>
  <c r="AP79" i="20" s="1"/>
  <c r="N63" i="5"/>
  <c r="AP63" i="20" s="1"/>
  <c r="N47" i="5"/>
  <c r="AP47" i="20" s="1"/>
  <c r="N31" i="5"/>
  <c r="AP31" i="20" s="1"/>
  <c r="G114" i="5"/>
  <c r="I114" i="5"/>
  <c r="H114" i="5"/>
  <c r="F114" i="5"/>
  <c r="D114" i="5"/>
  <c r="G54" i="5"/>
  <c r="D54" i="5"/>
  <c r="I54" i="5"/>
  <c r="H54" i="5"/>
  <c r="F54" i="5"/>
  <c r="AP17" i="20"/>
  <c r="G94" i="5"/>
  <c r="F94" i="5"/>
  <c r="I94" i="5"/>
  <c r="H94" i="5"/>
  <c r="D94" i="5"/>
  <c r="R50" i="5"/>
  <c r="O50" i="5"/>
  <c r="P50" i="5"/>
  <c r="Q50" i="5"/>
  <c r="M50" i="5"/>
  <c r="M22" i="5"/>
  <c r="P22" i="5"/>
  <c r="R22" i="5"/>
  <c r="Q22" i="5"/>
  <c r="O22" i="5"/>
  <c r="R54" i="5"/>
  <c r="M54" i="5"/>
  <c r="O54" i="5"/>
  <c r="P54" i="5"/>
  <c r="Q54" i="5"/>
  <c r="R86" i="5"/>
  <c r="M86" i="5"/>
  <c r="O86" i="5"/>
  <c r="P86" i="5"/>
  <c r="Q86" i="5"/>
  <c r="O18" i="5"/>
  <c r="R18" i="5"/>
  <c r="Q18" i="5"/>
  <c r="M18" i="5"/>
  <c r="P18" i="5"/>
  <c r="H78" i="5"/>
  <c r="I78" i="5"/>
  <c r="D78" i="5"/>
  <c r="F78" i="5"/>
  <c r="G78" i="5"/>
  <c r="P26" i="5"/>
  <c r="Q26" i="5"/>
  <c r="M26" i="5"/>
  <c r="R26" i="5"/>
  <c r="O26" i="5"/>
  <c r="R58" i="5"/>
  <c r="P58" i="5"/>
  <c r="M58" i="5"/>
  <c r="Q58" i="5"/>
  <c r="O58" i="5"/>
  <c r="O90" i="5"/>
  <c r="Q90" i="5"/>
  <c r="R90" i="5"/>
  <c r="M90" i="5"/>
  <c r="P90" i="5"/>
  <c r="D30" i="5"/>
  <c r="G30" i="5"/>
  <c r="I30" i="5"/>
  <c r="H30" i="5"/>
  <c r="F30" i="5"/>
  <c r="O30" i="5"/>
  <c r="R30" i="5"/>
  <c r="M30" i="5"/>
  <c r="Q30" i="5"/>
  <c r="P30" i="5"/>
  <c r="P46" i="5"/>
  <c r="R46" i="5"/>
  <c r="O46" i="5"/>
  <c r="M46" i="5"/>
  <c r="Q46" i="5"/>
  <c r="P62" i="5"/>
  <c r="M62" i="5"/>
  <c r="O62" i="5"/>
  <c r="R62" i="5"/>
  <c r="Q62" i="5"/>
  <c r="Q78" i="5"/>
  <c r="O78" i="5"/>
  <c r="M78" i="5"/>
  <c r="R78" i="5"/>
  <c r="P78" i="5"/>
  <c r="O94" i="5"/>
  <c r="Q94" i="5"/>
  <c r="R94" i="5"/>
  <c r="M94" i="5"/>
  <c r="P94" i="5"/>
  <c r="R110" i="5"/>
  <c r="M110" i="5"/>
  <c r="O110" i="5"/>
  <c r="Q110" i="5"/>
  <c r="P110" i="5"/>
  <c r="D46" i="5"/>
  <c r="G46" i="5"/>
  <c r="I46" i="5"/>
  <c r="F46" i="5"/>
  <c r="H46" i="5"/>
  <c r="Q34" i="5"/>
  <c r="R34" i="5"/>
  <c r="M34" i="5"/>
  <c r="P34" i="5"/>
  <c r="O34" i="5"/>
  <c r="O66" i="5"/>
  <c r="P66" i="5"/>
  <c r="Q66" i="5"/>
  <c r="M66" i="5"/>
  <c r="R66" i="5"/>
  <c r="M82" i="5"/>
  <c r="P82" i="5"/>
  <c r="O82" i="5"/>
  <c r="Q82" i="5"/>
  <c r="R82" i="5"/>
  <c r="O98" i="5"/>
  <c r="P98" i="5"/>
  <c r="M98" i="5"/>
  <c r="R98" i="5"/>
  <c r="Q98" i="5"/>
  <c r="M114" i="5"/>
  <c r="Q114" i="5"/>
  <c r="P114" i="5"/>
  <c r="O114" i="5"/>
  <c r="R114" i="5"/>
  <c r="BH32" i="20"/>
  <c r="BI32" i="20"/>
  <c r="F34" i="20"/>
  <c r="H34" i="20" s="1"/>
  <c r="H15" i="20"/>
  <c r="J15" i="20" s="1"/>
  <c r="K31" i="20"/>
  <c r="N31" i="20" s="1"/>
  <c r="H31" i="20"/>
  <c r="J31" i="20" s="1"/>
  <c r="K26" i="20"/>
  <c r="N26" i="20" s="1"/>
  <c r="I26" i="20"/>
  <c r="J26" i="20" s="1"/>
  <c r="E103" i="5"/>
  <c r="AO103" i="20" s="1"/>
  <c r="E87" i="5"/>
  <c r="AO87" i="20" s="1"/>
  <c r="E71" i="5"/>
  <c r="AO71" i="20" s="1"/>
  <c r="E55" i="5"/>
  <c r="AO55" i="20" s="1"/>
  <c r="E39" i="5"/>
  <c r="AO39" i="20" s="1"/>
  <c r="E23" i="5"/>
  <c r="AO23" i="20" s="1"/>
  <c r="I45" i="5"/>
  <c r="H45" i="5"/>
  <c r="F45" i="5"/>
  <c r="D45" i="5"/>
  <c r="G45" i="5"/>
  <c r="I109" i="5"/>
  <c r="F109" i="5"/>
  <c r="D109" i="5"/>
  <c r="H109" i="5"/>
  <c r="G109" i="5"/>
  <c r="E24" i="5"/>
  <c r="AO24" i="20" s="1"/>
  <c r="E40" i="5"/>
  <c r="AO40" i="20" s="1"/>
  <c r="E56" i="5"/>
  <c r="AO56" i="20" s="1"/>
  <c r="E72" i="5"/>
  <c r="AO72" i="20" s="1"/>
  <c r="E88" i="5"/>
  <c r="AO88" i="20" s="1"/>
  <c r="H69" i="5"/>
  <c r="F69" i="5"/>
  <c r="G69" i="5"/>
  <c r="D69" i="5"/>
  <c r="I69" i="5"/>
  <c r="E18" i="5"/>
  <c r="AO18" i="20" s="1"/>
  <c r="E32" i="5"/>
  <c r="AO32" i="20" s="1"/>
  <c r="D60" i="5"/>
  <c r="E73" i="5"/>
  <c r="AO73" i="20" s="1"/>
  <c r="E82" i="5"/>
  <c r="AO82" i="20" s="1"/>
  <c r="G105" i="5"/>
  <c r="D105" i="5"/>
  <c r="I105" i="5"/>
  <c r="F105" i="5"/>
  <c r="H105" i="5"/>
  <c r="G110" i="5"/>
  <c r="I110" i="5"/>
  <c r="D110" i="5"/>
  <c r="H110" i="5"/>
  <c r="F110" i="5"/>
  <c r="AO17" i="20"/>
  <c r="BH47" i="20"/>
  <c r="BI47" i="20"/>
  <c r="BH15" i="20"/>
  <c r="BI15" i="20" s="1"/>
  <c r="AP16" i="16"/>
  <c r="AX16" i="16"/>
  <c r="Y16" i="16" s="1"/>
  <c r="Z16" i="16"/>
  <c r="D34" i="20"/>
  <c r="B35" i="20"/>
  <c r="I35" i="20"/>
  <c r="J35" i="20" s="1"/>
  <c r="BH43" i="20"/>
  <c r="BI43" i="20"/>
  <c r="BH44" i="20"/>
  <c r="BI44" i="20"/>
  <c r="AN28" i="16"/>
  <c r="BH23" i="20"/>
  <c r="BI23" i="20"/>
  <c r="BH24" i="20"/>
  <c r="BI24" i="20"/>
  <c r="K19" i="20"/>
  <c r="N19" i="20" s="1"/>
  <c r="H19" i="20"/>
  <c r="J19" i="20" s="1"/>
  <c r="I14" i="20"/>
  <c r="J14" i="20" s="1"/>
  <c r="K30" i="20"/>
  <c r="N30" i="20" s="1"/>
  <c r="I30" i="20"/>
  <c r="J30" i="20" s="1"/>
  <c r="G34" i="20"/>
  <c r="N16" i="5"/>
  <c r="C16" i="15" s="1"/>
  <c r="E16" i="15" s="1"/>
  <c r="E99" i="5"/>
  <c r="AO99" i="20" s="1"/>
  <c r="E83" i="5"/>
  <c r="AO83" i="20" s="1"/>
  <c r="E67" i="5"/>
  <c r="AO67" i="20" s="1"/>
  <c r="E51" i="5"/>
  <c r="AO51" i="20" s="1"/>
  <c r="E35" i="5"/>
  <c r="AO35" i="20" s="1"/>
  <c r="E19" i="5"/>
  <c r="AO19" i="20" s="1"/>
  <c r="H61" i="5"/>
  <c r="I61" i="5"/>
  <c r="F61" i="5"/>
  <c r="D61" i="5"/>
  <c r="G61" i="5"/>
  <c r="E26" i="5"/>
  <c r="AO26" i="20" s="1"/>
  <c r="E42" i="5"/>
  <c r="AO42" i="20" s="1"/>
  <c r="E58" i="5"/>
  <c r="AO58" i="20" s="1"/>
  <c r="E74" i="5"/>
  <c r="AO74" i="20" s="1"/>
  <c r="D97" i="5"/>
  <c r="H97" i="5"/>
  <c r="I97" i="5"/>
  <c r="G97" i="5"/>
  <c r="F97" i="5"/>
  <c r="F21" i="5"/>
  <c r="H85" i="5"/>
  <c r="G85" i="5"/>
  <c r="F85" i="5"/>
  <c r="D85" i="5"/>
  <c r="I85" i="5"/>
  <c r="E25" i="5"/>
  <c r="AO25" i="20" s="1"/>
  <c r="E34" i="5"/>
  <c r="AO34" i="20" s="1"/>
  <c r="E48" i="5"/>
  <c r="AO48" i="20" s="1"/>
  <c r="D76" i="5"/>
  <c r="H76" i="5"/>
  <c r="F76" i="5"/>
  <c r="G76" i="5"/>
  <c r="I76" i="5"/>
  <c r="E89" i="5"/>
  <c r="AO89" i="20" s="1"/>
  <c r="G108" i="5"/>
  <c r="I108" i="5"/>
  <c r="D108" i="5"/>
  <c r="F108" i="5"/>
  <c r="H108" i="5"/>
  <c r="AA42" i="7"/>
  <c r="AA28" i="7"/>
  <c r="BH31" i="20"/>
  <c r="BI31" i="20"/>
  <c r="BH16" i="20"/>
  <c r="BI16" i="20"/>
  <c r="AN32" i="16"/>
  <c r="AN26" i="16"/>
  <c r="BH27" i="20"/>
  <c r="BI27" i="20"/>
  <c r="BI28" i="20"/>
  <c r="BH28" i="20"/>
  <c r="AN22" i="16"/>
  <c r="BH39" i="20"/>
  <c r="BI39" i="20"/>
  <c r="BH40" i="20"/>
  <c r="BI40" i="20"/>
  <c r="AX17" i="16"/>
  <c r="Y17" i="16" s="1"/>
  <c r="BH21" i="20"/>
  <c r="BI21" i="20"/>
  <c r="BH51" i="20"/>
  <c r="BI51" i="20"/>
  <c r="BH35" i="20"/>
  <c r="BI35" i="20"/>
  <c r="BH19" i="20"/>
  <c r="BI19" i="20"/>
  <c r="BH36" i="20"/>
  <c r="BI36" i="20"/>
  <c r="BH20" i="20"/>
  <c r="BI20" i="20"/>
  <c r="AN20" i="16"/>
  <c r="W20" i="16"/>
  <c r="AN36" i="16"/>
  <c r="AW16" i="16"/>
  <c r="V16" i="16" s="1"/>
  <c r="AN19" i="16"/>
  <c r="AN30" i="16"/>
  <c r="K23" i="20"/>
  <c r="N23" i="20" s="1"/>
  <c r="H23" i="20"/>
  <c r="J23" i="20" s="1"/>
  <c r="I18" i="20"/>
  <c r="J18" i="20" s="1"/>
  <c r="R13" i="15"/>
  <c r="E111" i="5"/>
  <c r="AO111" i="20" s="1"/>
  <c r="E95" i="5"/>
  <c r="AO95" i="20" s="1"/>
  <c r="E79" i="5"/>
  <c r="AO79" i="20" s="1"/>
  <c r="E63" i="5"/>
  <c r="AO63" i="20" s="1"/>
  <c r="E47" i="5"/>
  <c r="AO47" i="20" s="1"/>
  <c r="E31" i="5"/>
  <c r="AO31" i="20" s="1"/>
  <c r="E15" i="5"/>
  <c r="AO15" i="20" s="1"/>
  <c r="I77" i="5"/>
  <c r="E33" i="5"/>
  <c r="AO33" i="20" s="1"/>
  <c r="E49" i="5"/>
  <c r="AO49" i="20" s="1"/>
  <c r="E65" i="5"/>
  <c r="AO65" i="20" s="1"/>
  <c r="E81" i="5"/>
  <c r="AO81" i="20" s="1"/>
  <c r="D100" i="5"/>
  <c r="I100" i="5"/>
  <c r="H100" i="5"/>
  <c r="G100" i="5"/>
  <c r="F100" i="5"/>
  <c r="G37" i="5"/>
  <c r="H37" i="5"/>
  <c r="I37" i="5"/>
  <c r="F37" i="5"/>
  <c r="D37" i="5"/>
  <c r="F101" i="5"/>
  <c r="H28" i="5"/>
  <c r="E41" i="5"/>
  <c r="AO41" i="20" s="1"/>
  <c r="E50" i="5"/>
  <c r="AO50" i="20" s="1"/>
  <c r="E64" i="5"/>
  <c r="AO64" i="20" s="1"/>
  <c r="I9" i="5"/>
  <c r="AA30" i="7"/>
  <c r="K27" i="20"/>
  <c r="N27" i="20" s="1"/>
  <c r="H27" i="20"/>
  <c r="J27" i="20" s="1"/>
  <c r="K22" i="20"/>
  <c r="N22" i="20" s="1"/>
  <c r="I22" i="20"/>
  <c r="J22" i="20" s="1"/>
  <c r="BK8" i="4"/>
  <c r="BK6" i="4" s="1"/>
  <c r="BF5" i="5"/>
  <c r="AB21" i="7"/>
  <c r="Q21" i="7" s="1"/>
  <c r="Q48" i="7" s="1"/>
  <c r="X33" i="15"/>
  <c r="E107" i="5"/>
  <c r="AO107" i="20" s="1"/>
  <c r="E91" i="5"/>
  <c r="AO91" i="20" s="1"/>
  <c r="E75" i="5"/>
  <c r="AO75" i="20" s="1"/>
  <c r="E59" i="5"/>
  <c r="AO59" i="20" s="1"/>
  <c r="E43" i="5"/>
  <c r="AO43" i="20" s="1"/>
  <c r="E27" i="5"/>
  <c r="AO27" i="20" s="1"/>
  <c r="D29" i="5"/>
  <c r="H29" i="5"/>
  <c r="F29" i="5"/>
  <c r="I29" i="5"/>
  <c r="G29" i="5"/>
  <c r="G93" i="5"/>
  <c r="D93" i="5"/>
  <c r="I93" i="5"/>
  <c r="F93" i="5"/>
  <c r="H93" i="5"/>
  <c r="F20" i="5"/>
  <c r="H20" i="5"/>
  <c r="G20" i="5"/>
  <c r="G36" i="5"/>
  <c r="I68" i="5"/>
  <c r="F68" i="5"/>
  <c r="G68" i="5"/>
  <c r="D68" i="5"/>
  <c r="H68" i="5"/>
  <c r="G84" i="5"/>
  <c r="H84" i="5"/>
  <c r="F84" i="5"/>
  <c r="D84" i="5"/>
  <c r="I84" i="5"/>
  <c r="I113" i="5"/>
  <c r="D113" i="5"/>
  <c r="H113" i="5"/>
  <c r="G113" i="5"/>
  <c r="F113" i="5"/>
  <c r="F53" i="5"/>
  <c r="D53" i="5"/>
  <c r="G53" i="5"/>
  <c r="H53" i="5"/>
  <c r="I53" i="5"/>
  <c r="E16" i="5"/>
  <c r="C13" i="15" s="1"/>
  <c r="E13" i="15" s="1"/>
  <c r="I44" i="5"/>
  <c r="H44" i="5"/>
  <c r="G44" i="5"/>
  <c r="F44" i="5"/>
  <c r="D44" i="5"/>
  <c r="E57" i="5"/>
  <c r="AO57" i="20" s="1"/>
  <c r="E66" i="5"/>
  <c r="AO66" i="20" s="1"/>
  <c r="E80" i="5"/>
  <c r="AO80" i="20" s="1"/>
  <c r="I62" i="5"/>
  <c r="D62" i="5"/>
  <c r="H62" i="5"/>
  <c r="F62" i="5"/>
  <c r="G62" i="5"/>
  <c r="M38" i="5"/>
  <c r="O38" i="5"/>
  <c r="P38" i="5"/>
  <c r="R38" i="5"/>
  <c r="Q38" i="5"/>
  <c r="M70" i="5"/>
  <c r="Q70" i="5"/>
  <c r="R70" i="5"/>
  <c r="O70" i="5"/>
  <c r="P70" i="5"/>
  <c r="O102" i="5"/>
  <c r="R102" i="5"/>
  <c r="Q102" i="5"/>
  <c r="P102" i="5"/>
  <c r="M102" i="5"/>
  <c r="P42" i="5"/>
  <c r="Q42" i="5"/>
  <c r="M42" i="5"/>
  <c r="R42" i="5"/>
  <c r="O42" i="5"/>
  <c r="Q74" i="5"/>
  <c r="M74" i="5"/>
  <c r="R74" i="5"/>
  <c r="O74" i="5"/>
  <c r="P74" i="5"/>
  <c r="O106" i="5"/>
  <c r="P106" i="5"/>
  <c r="R106" i="5"/>
  <c r="Q106" i="5"/>
  <c r="M106" i="5"/>
  <c r="AP15" i="20"/>
  <c r="AA39" i="7"/>
  <c r="AA40" i="7"/>
  <c r="AA32" i="7"/>
  <c r="AA26" i="7"/>
  <c r="AA27" i="7"/>
  <c r="AA24" i="7"/>
  <c r="AA25" i="7"/>
  <c r="AA38" i="7"/>
  <c r="AA37" i="7"/>
  <c r="AA36" i="7"/>
  <c r="AA46" i="7"/>
  <c r="AA31" i="7"/>
  <c r="AA33" i="7"/>
  <c r="AA44" i="7"/>
  <c r="AA45" i="7"/>
  <c r="AA47" i="7"/>
  <c r="AA43" i="7"/>
  <c r="AA23" i="7"/>
  <c r="AA22" i="7" s="1"/>
  <c r="AA41" i="7"/>
  <c r="AN18" i="16" l="1"/>
  <c r="AN17" i="16"/>
  <c r="Z15" i="16"/>
  <c r="AW15" i="16"/>
  <c r="V15" i="16" s="1"/>
  <c r="D28" i="5"/>
  <c r="W15" i="16"/>
  <c r="W18" i="16"/>
  <c r="I60" i="5"/>
  <c r="H60" i="5"/>
  <c r="AX15" i="16"/>
  <c r="Y15" i="16" s="1"/>
  <c r="F96" i="5"/>
  <c r="Q111" i="5"/>
  <c r="R111" i="5"/>
  <c r="H36" i="5"/>
  <c r="D36" i="5"/>
  <c r="I36" i="5"/>
  <c r="F28" i="5"/>
  <c r="W17" i="16"/>
  <c r="F60" i="5"/>
  <c r="D96" i="5"/>
  <c r="P111" i="5"/>
  <c r="G28" i="5"/>
  <c r="I52" i="5"/>
  <c r="I20" i="5"/>
  <c r="O67" i="5"/>
  <c r="M67" i="5"/>
  <c r="G92" i="5"/>
  <c r="Z18" i="16"/>
  <c r="Q67" i="5"/>
  <c r="O103" i="5"/>
  <c r="H92" i="5"/>
  <c r="H77" i="5"/>
  <c r="R35" i="5"/>
  <c r="H52" i="5"/>
  <c r="D92" i="5"/>
  <c r="H101" i="5"/>
  <c r="I101" i="5"/>
  <c r="G77" i="5"/>
  <c r="Z17" i="16"/>
  <c r="O35" i="5"/>
  <c r="M103" i="5"/>
  <c r="D52" i="5"/>
  <c r="I92" i="5"/>
  <c r="D101" i="5"/>
  <c r="F77" i="5"/>
  <c r="AP18" i="16"/>
  <c r="AN16" i="16"/>
  <c r="Q35" i="5"/>
  <c r="R103" i="5"/>
  <c r="Q103" i="5"/>
  <c r="F52" i="5"/>
  <c r="M35" i="5"/>
  <c r="P43" i="5"/>
  <c r="AQ7" i="16"/>
  <c r="Y7" i="16" s="1"/>
  <c r="AQ6" i="16"/>
  <c r="W8" i="16" s="1"/>
  <c r="D21" i="5"/>
  <c r="Q95" i="5"/>
  <c r="M43" i="5"/>
  <c r="Q43" i="5"/>
  <c r="H21" i="5"/>
  <c r="G21" i="5"/>
  <c r="R95" i="5"/>
  <c r="P95" i="5"/>
  <c r="O43" i="5"/>
  <c r="AQ21" i="7"/>
  <c r="AP20" i="7" s="1"/>
  <c r="I34" i="20"/>
  <c r="J34" i="20" s="1"/>
  <c r="K14" i="20"/>
  <c r="N14" i="20" s="1"/>
  <c r="K18" i="20"/>
  <c r="N18" i="20" s="1"/>
  <c r="AP16" i="20"/>
  <c r="Q16" i="5" s="1"/>
  <c r="Q47" i="5"/>
  <c r="R47" i="5"/>
  <c r="O47" i="5"/>
  <c r="M47" i="5"/>
  <c r="P47" i="5"/>
  <c r="Q59" i="5"/>
  <c r="P59" i="5"/>
  <c r="R59" i="5"/>
  <c r="M59" i="5"/>
  <c r="O59" i="5"/>
  <c r="Q51" i="5"/>
  <c r="O51" i="5"/>
  <c r="M51" i="5"/>
  <c r="R51" i="5"/>
  <c r="P51" i="5"/>
  <c r="R23" i="5"/>
  <c r="P23" i="5"/>
  <c r="O23" i="5"/>
  <c r="M23" i="5"/>
  <c r="Q23" i="5"/>
  <c r="Q87" i="5"/>
  <c r="R87" i="5"/>
  <c r="P87" i="5"/>
  <c r="M87" i="5"/>
  <c r="O87" i="5"/>
  <c r="G106" i="5"/>
  <c r="D106" i="5"/>
  <c r="I106" i="5"/>
  <c r="F106" i="5"/>
  <c r="H106" i="5"/>
  <c r="O39" i="5"/>
  <c r="M39" i="5"/>
  <c r="Q39" i="5"/>
  <c r="P39" i="5"/>
  <c r="R39" i="5"/>
  <c r="Q107" i="5"/>
  <c r="M107" i="5"/>
  <c r="P107" i="5"/>
  <c r="R107" i="5"/>
  <c r="O107" i="5"/>
  <c r="I112" i="5"/>
  <c r="F112" i="5"/>
  <c r="D112" i="5"/>
  <c r="G112" i="5"/>
  <c r="H112" i="5"/>
  <c r="R99" i="5"/>
  <c r="O99" i="5"/>
  <c r="Q99" i="5"/>
  <c r="M99" i="5"/>
  <c r="P99" i="5"/>
  <c r="Q55" i="5"/>
  <c r="R55" i="5"/>
  <c r="O55" i="5"/>
  <c r="P55" i="5"/>
  <c r="M55" i="5"/>
  <c r="R91" i="5"/>
  <c r="P91" i="5"/>
  <c r="Q91" i="5"/>
  <c r="M91" i="5"/>
  <c r="O91" i="5"/>
  <c r="R79" i="5"/>
  <c r="O79" i="5"/>
  <c r="P79" i="5"/>
  <c r="Q79" i="5"/>
  <c r="M79" i="5"/>
  <c r="O71" i="5"/>
  <c r="R71" i="5"/>
  <c r="M71" i="5"/>
  <c r="P71" i="5"/>
  <c r="Q71" i="5"/>
  <c r="Q83" i="5"/>
  <c r="P83" i="5"/>
  <c r="R83" i="5"/>
  <c r="M83" i="5"/>
  <c r="O83" i="5"/>
  <c r="AO16" i="20"/>
  <c r="I16" i="5" s="1"/>
  <c r="O41" i="7"/>
  <c r="AY17" i="16"/>
  <c r="BP17" i="20"/>
  <c r="AM7" i="4" s="1"/>
  <c r="T7" i="4"/>
  <c r="BM17" i="20"/>
  <c r="BN17" i="20" s="1"/>
  <c r="BO17" i="20" s="1"/>
  <c r="J17" i="16" s="1"/>
  <c r="AY34" i="16"/>
  <c r="BP34" i="20"/>
  <c r="BM34" i="20"/>
  <c r="BN34" i="20" s="1"/>
  <c r="BO34" i="20" s="1"/>
  <c r="BM54" i="20"/>
  <c r="BN54" i="20" s="1"/>
  <c r="BO54" i="20" s="1"/>
  <c r="BP54" i="20"/>
  <c r="BM49" i="20"/>
  <c r="BN49" i="20" s="1"/>
  <c r="BO49" i="20" s="1"/>
  <c r="BP49" i="20"/>
  <c r="BJ37" i="20"/>
  <c r="BA37" i="16" s="1"/>
  <c r="BK37" i="20"/>
  <c r="BP52" i="20"/>
  <c r="BM52" i="20"/>
  <c r="BN52" i="20" s="1"/>
  <c r="BO52" i="20" s="1"/>
  <c r="BJ48" i="20"/>
  <c r="BK48" i="20"/>
  <c r="AY25" i="16"/>
  <c r="BP25" i="20"/>
  <c r="BM25" i="20"/>
  <c r="BN25" i="20" s="1"/>
  <c r="BO25" i="20" s="1"/>
  <c r="BJ50" i="20"/>
  <c r="BK50" i="20"/>
  <c r="AT1" i="4"/>
  <c r="AV1" i="4" s="1"/>
  <c r="AV4" i="4" s="1"/>
  <c r="AV3" i="4" s="1"/>
  <c r="V32" i="15" s="1"/>
  <c r="W32" i="15" s="1"/>
  <c r="O17" i="5"/>
  <c r="P17" i="5"/>
  <c r="M17" i="5"/>
  <c r="B17" i="15" s="1"/>
  <c r="Q17" i="5"/>
  <c r="O31" i="5"/>
  <c r="M31" i="5"/>
  <c r="P31" i="5"/>
  <c r="Q31" i="5"/>
  <c r="R31" i="5"/>
  <c r="R63" i="5"/>
  <c r="P63" i="5"/>
  <c r="O63" i="5"/>
  <c r="M63" i="5"/>
  <c r="Q63" i="5"/>
  <c r="BJ17" i="20"/>
  <c r="BK17" i="20"/>
  <c r="BK34" i="20"/>
  <c r="BJ34" i="20"/>
  <c r="BA34" i="16" s="1"/>
  <c r="BK54" i="20"/>
  <c r="BJ54" i="20"/>
  <c r="BK49" i="20"/>
  <c r="BJ49" i="20"/>
  <c r="AY37" i="16"/>
  <c r="BM37" i="20"/>
  <c r="BN37" i="20" s="1"/>
  <c r="BO37" i="20" s="1"/>
  <c r="BP37" i="20"/>
  <c r="C21" i="15"/>
  <c r="R27" i="5"/>
  <c r="P27" i="5"/>
  <c r="Q27" i="5"/>
  <c r="O27" i="5"/>
  <c r="M27" i="5"/>
  <c r="BJ52" i="20"/>
  <c r="BK52" i="20"/>
  <c r="BM48" i="20"/>
  <c r="BN48" i="20" s="1"/>
  <c r="BO48" i="20" s="1"/>
  <c r="BP48" i="20"/>
  <c r="AY38" i="16"/>
  <c r="BM38" i="20"/>
  <c r="BN38" i="20" s="1"/>
  <c r="BO38" i="20" s="1"/>
  <c r="BP38" i="20"/>
  <c r="BP53" i="20"/>
  <c r="BM53" i="20"/>
  <c r="BN53" i="20" s="1"/>
  <c r="BO53" i="20" s="1"/>
  <c r="AY33" i="16"/>
  <c r="BM33" i="20"/>
  <c r="BN33" i="20" s="1"/>
  <c r="BO33" i="20" s="1"/>
  <c r="BP33" i="20"/>
  <c r="BM45" i="20"/>
  <c r="BN45" i="20" s="1"/>
  <c r="BO45" i="20" s="1"/>
  <c r="BP45" i="20"/>
  <c r="AY30" i="16"/>
  <c r="BM30" i="20"/>
  <c r="BN30" i="20" s="1"/>
  <c r="BO30" i="20" s="1"/>
  <c r="BP30" i="20"/>
  <c r="AY42" i="16"/>
  <c r="BP42" i="20"/>
  <c r="BM42" i="20"/>
  <c r="BN42" i="20" s="1"/>
  <c r="BO42" i="20" s="1"/>
  <c r="AY22" i="16"/>
  <c r="BP22" i="20"/>
  <c r="BM22" i="20"/>
  <c r="BN22" i="20" s="1"/>
  <c r="BO22" i="20" s="1"/>
  <c r="BJ41" i="20"/>
  <c r="BA41" i="16" s="1"/>
  <c r="BK41" i="20"/>
  <c r="BM18" i="20"/>
  <c r="BN18" i="20" s="1"/>
  <c r="BO18" i="20" s="1"/>
  <c r="J18" i="16" s="1"/>
  <c r="T8" i="4"/>
  <c r="AY18" i="16"/>
  <c r="BP18" i="20"/>
  <c r="AM8" i="4" s="1"/>
  <c r="AK4" i="5"/>
  <c r="F4" i="4" s="1"/>
  <c r="AL22" i="7"/>
  <c r="H9" i="4" s="1"/>
  <c r="AY29" i="16"/>
  <c r="BM29" i="20"/>
  <c r="BN29" i="20" s="1"/>
  <c r="BO29" i="20" s="1"/>
  <c r="BP29" i="20"/>
  <c r="BM46" i="20"/>
  <c r="BN46" i="20" s="1"/>
  <c r="BO46" i="20" s="1"/>
  <c r="BP46" i="20"/>
  <c r="AY26" i="16"/>
  <c r="BP26" i="20"/>
  <c r="BM26" i="20"/>
  <c r="BN26" i="20" s="1"/>
  <c r="BO26" i="20" s="1"/>
  <c r="R19" i="5"/>
  <c r="M19" i="5"/>
  <c r="Q19" i="5"/>
  <c r="P19" i="5"/>
  <c r="O19" i="5"/>
  <c r="BK38" i="20"/>
  <c r="BJ38" i="20"/>
  <c r="BA38" i="16" s="1"/>
  <c r="BK53" i="20"/>
  <c r="BJ53" i="20"/>
  <c r="BK33" i="20"/>
  <c r="BJ33" i="20"/>
  <c r="BA33" i="16" s="1"/>
  <c r="K15" i="20"/>
  <c r="N15" i="20" s="1"/>
  <c r="O14" i="20" s="1"/>
  <c r="BK45" i="20"/>
  <c r="BJ45" i="20"/>
  <c r="BK30" i="20"/>
  <c r="BJ30" i="20"/>
  <c r="BA30" i="16" s="1"/>
  <c r="BK42" i="20"/>
  <c r="BJ42" i="20"/>
  <c r="BA42" i="16" s="1"/>
  <c r="BK22" i="20"/>
  <c r="BJ22" i="20"/>
  <c r="BA22" i="16" s="1"/>
  <c r="AY41" i="16"/>
  <c r="BM41" i="20"/>
  <c r="BN41" i="20" s="1"/>
  <c r="BO41" i="20" s="1"/>
  <c r="BP41" i="20"/>
  <c r="BK18" i="20"/>
  <c r="BJ18" i="20"/>
  <c r="R17" i="5"/>
  <c r="BK29" i="20"/>
  <c r="BJ29" i="20"/>
  <c r="BA29" i="16" s="1"/>
  <c r="BK46" i="20"/>
  <c r="BJ46" i="20"/>
  <c r="BK26" i="20"/>
  <c r="BJ26" i="20"/>
  <c r="BA26" i="16" s="1"/>
  <c r="BJ25" i="20"/>
  <c r="BA25" i="16" s="1"/>
  <c r="BK25" i="20"/>
  <c r="BM50" i="20"/>
  <c r="BN50" i="20" s="1"/>
  <c r="BO50" i="20" s="1"/>
  <c r="BP50" i="20"/>
  <c r="G41" i="5"/>
  <c r="I41" i="5"/>
  <c r="F41" i="5"/>
  <c r="H41" i="5"/>
  <c r="D41" i="5"/>
  <c r="H33" i="5"/>
  <c r="D33" i="5"/>
  <c r="G33" i="5"/>
  <c r="I33" i="5"/>
  <c r="F33" i="5"/>
  <c r="H79" i="5"/>
  <c r="D79" i="5"/>
  <c r="I79" i="5"/>
  <c r="F79" i="5"/>
  <c r="G79" i="5"/>
  <c r="G25" i="5"/>
  <c r="D25" i="5"/>
  <c r="H25" i="5"/>
  <c r="I25" i="5"/>
  <c r="F25" i="5"/>
  <c r="D74" i="5"/>
  <c r="G74" i="5"/>
  <c r="F74" i="5"/>
  <c r="H74" i="5"/>
  <c r="I74" i="5"/>
  <c r="BP15" i="20"/>
  <c r="AM5" i="4" s="1"/>
  <c r="AY15" i="16"/>
  <c r="T5" i="4"/>
  <c r="BM15" i="20"/>
  <c r="BN15" i="20" s="1"/>
  <c r="BO15" i="20" s="1"/>
  <c r="J15" i="16" s="1"/>
  <c r="H103" i="5"/>
  <c r="F103" i="5"/>
  <c r="I103" i="5"/>
  <c r="G103" i="5"/>
  <c r="D103" i="5"/>
  <c r="H75" i="5"/>
  <c r="G75" i="5"/>
  <c r="D75" i="5"/>
  <c r="F75" i="5"/>
  <c r="I75" i="5"/>
  <c r="F81" i="5"/>
  <c r="I81" i="5"/>
  <c r="G81" i="5"/>
  <c r="H81" i="5"/>
  <c r="D81" i="5"/>
  <c r="D47" i="5"/>
  <c r="I47" i="5"/>
  <c r="G47" i="5"/>
  <c r="H47" i="5"/>
  <c r="F47" i="5"/>
  <c r="I24" i="5"/>
  <c r="H24" i="5"/>
  <c r="D24" i="5"/>
  <c r="F24" i="5"/>
  <c r="G24" i="5"/>
  <c r="D71" i="5"/>
  <c r="H71" i="5"/>
  <c r="G71" i="5"/>
  <c r="I71" i="5"/>
  <c r="F71" i="5"/>
  <c r="F107" i="5"/>
  <c r="I107" i="5"/>
  <c r="H107" i="5"/>
  <c r="D107" i="5"/>
  <c r="G107" i="5"/>
  <c r="H43" i="5"/>
  <c r="I43" i="5"/>
  <c r="F43" i="5"/>
  <c r="D43" i="5"/>
  <c r="G43" i="5"/>
  <c r="G65" i="5"/>
  <c r="H65" i="5"/>
  <c r="D65" i="5"/>
  <c r="I65" i="5"/>
  <c r="F65" i="5"/>
  <c r="I15" i="5"/>
  <c r="D15" i="5"/>
  <c r="B12" i="15" s="1"/>
  <c r="H15" i="5"/>
  <c r="F15" i="5"/>
  <c r="G15" i="5"/>
  <c r="I56" i="5"/>
  <c r="G56" i="5"/>
  <c r="D56" i="5"/>
  <c r="F56" i="5"/>
  <c r="H56" i="5"/>
  <c r="I39" i="5"/>
  <c r="H39" i="5"/>
  <c r="G39" i="5"/>
  <c r="D39" i="5"/>
  <c r="F39" i="5"/>
  <c r="G80" i="5"/>
  <c r="F80" i="5"/>
  <c r="D80" i="5"/>
  <c r="H80" i="5"/>
  <c r="I80" i="5"/>
  <c r="D49" i="5"/>
  <c r="G49" i="5"/>
  <c r="H49" i="5"/>
  <c r="F49" i="5"/>
  <c r="I49" i="5"/>
  <c r="D111" i="5"/>
  <c r="G111" i="5"/>
  <c r="I111" i="5"/>
  <c r="F111" i="5"/>
  <c r="H111" i="5"/>
  <c r="H42" i="5"/>
  <c r="G42" i="5"/>
  <c r="D42" i="5"/>
  <c r="I42" i="5"/>
  <c r="F42" i="5"/>
  <c r="I32" i="5"/>
  <c r="F32" i="5"/>
  <c r="G32" i="5"/>
  <c r="H32" i="5"/>
  <c r="D32" i="5"/>
  <c r="I88" i="5"/>
  <c r="D88" i="5"/>
  <c r="H88" i="5"/>
  <c r="F88" i="5"/>
  <c r="G88" i="5"/>
  <c r="E40" i="15"/>
  <c r="Y33" i="15"/>
  <c r="H31" i="5"/>
  <c r="F31" i="5"/>
  <c r="G31" i="5"/>
  <c r="D31" i="5"/>
  <c r="I31" i="5"/>
  <c r="I63" i="5"/>
  <c r="F63" i="5"/>
  <c r="G63" i="5"/>
  <c r="D63" i="5"/>
  <c r="H63" i="5"/>
  <c r="F95" i="5"/>
  <c r="G95" i="5"/>
  <c r="I95" i="5"/>
  <c r="D95" i="5"/>
  <c r="H95" i="5"/>
  <c r="AY20" i="16"/>
  <c r="BM20" i="20"/>
  <c r="BN20" i="20" s="1"/>
  <c r="BO20" i="20" s="1"/>
  <c r="BP20" i="20"/>
  <c r="BP19" i="20"/>
  <c r="AM9" i="4" s="1"/>
  <c r="AY19" i="16"/>
  <c r="T9" i="4"/>
  <c r="BM19" i="20"/>
  <c r="BN19" i="20" s="1"/>
  <c r="BO19" i="20" s="1"/>
  <c r="BP51" i="20"/>
  <c r="BM51" i="20"/>
  <c r="BN51" i="20" s="1"/>
  <c r="BO51" i="20" s="1"/>
  <c r="AY40" i="16"/>
  <c r="BP40" i="20"/>
  <c r="BM40" i="20"/>
  <c r="BN40" i="20" s="1"/>
  <c r="BO40" i="20" s="1"/>
  <c r="AY27" i="16"/>
  <c r="BP27" i="20"/>
  <c r="BM27" i="20"/>
  <c r="BN27" i="20" s="1"/>
  <c r="BO27" i="20" s="1"/>
  <c r="BJ16" i="20"/>
  <c r="BK16" i="20"/>
  <c r="D58" i="5"/>
  <c r="H58" i="5"/>
  <c r="G58" i="5"/>
  <c r="I58" i="5"/>
  <c r="F58" i="5"/>
  <c r="F26" i="5"/>
  <c r="D26" i="5"/>
  <c r="G26" i="5"/>
  <c r="I26" i="5"/>
  <c r="H26" i="5"/>
  <c r="O17" i="20"/>
  <c r="O23" i="20"/>
  <c r="O33" i="20"/>
  <c r="O20" i="20"/>
  <c r="O27" i="20"/>
  <c r="O29" i="20"/>
  <c r="AY24" i="16"/>
  <c r="BP24" i="20"/>
  <c r="BM24" i="20"/>
  <c r="BN24" i="20" s="1"/>
  <c r="BO24" i="20" s="1"/>
  <c r="BP44" i="20"/>
  <c r="AY44" i="16"/>
  <c r="BM44" i="20"/>
  <c r="BN44" i="20" s="1"/>
  <c r="BO44" i="20" s="1"/>
  <c r="BK47" i="20"/>
  <c r="BJ47" i="20"/>
  <c r="H82" i="5"/>
  <c r="D82" i="5"/>
  <c r="I82" i="5"/>
  <c r="F82" i="5"/>
  <c r="G82" i="5"/>
  <c r="G72" i="5"/>
  <c r="H72" i="5"/>
  <c r="F72" i="5"/>
  <c r="D72" i="5"/>
  <c r="I72" i="5"/>
  <c r="G40" i="5"/>
  <c r="I40" i="5"/>
  <c r="D40" i="5"/>
  <c r="F40" i="5"/>
  <c r="H40" i="5"/>
  <c r="I57" i="5"/>
  <c r="F57" i="5"/>
  <c r="G57" i="5"/>
  <c r="D57" i="5"/>
  <c r="H57" i="5"/>
  <c r="F66" i="5"/>
  <c r="I66" i="5"/>
  <c r="G66" i="5"/>
  <c r="D66" i="5"/>
  <c r="H66" i="5"/>
  <c r="D59" i="5"/>
  <c r="F59" i="5"/>
  <c r="H59" i="5"/>
  <c r="G59" i="5"/>
  <c r="I59" i="5"/>
  <c r="F50" i="5"/>
  <c r="H50" i="5"/>
  <c r="D50" i="5"/>
  <c r="G50" i="5"/>
  <c r="I50" i="5"/>
  <c r="BJ20" i="20"/>
  <c r="BA20" i="16" s="1"/>
  <c r="BK20" i="20"/>
  <c r="BK19" i="20"/>
  <c r="BJ19" i="20"/>
  <c r="BK51" i="20"/>
  <c r="BJ51" i="20"/>
  <c r="BJ40" i="20"/>
  <c r="BA40" i="16" s="1"/>
  <c r="BK40" i="20"/>
  <c r="BK27" i="20"/>
  <c r="BJ27" i="20"/>
  <c r="BA27" i="16" s="1"/>
  <c r="AY31" i="16"/>
  <c r="BP31" i="20"/>
  <c r="BM31" i="20"/>
  <c r="BN31" i="20" s="1"/>
  <c r="BO31" i="20" s="1"/>
  <c r="F48" i="5"/>
  <c r="H48" i="5"/>
  <c r="G48" i="5"/>
  <c r="I48" i="5"/>
  <c r="D48" i="5"/>
  <c r="G35" i="5"/>
  <c r="D35" i="5"/>
  <c r="H35" i="5"/>
  <c r="I35" i="5"/>
  <c r="F35" i="5"/>
  <c r="H67" i="5"/>
  <c r="I67" i="5"/>
  <c r="G67" i="5"/>
  <c r="D67" i="5"/>
  <c r="F67" i="5"/>
  <c r="F99" i="5"/>
  <c r="I99" i="5"/>
  <c r="D99" i="5"/>
  <c r="G99" i="5"/>
  <c r="H99" i="5"/>
  <c r="BJ24" i="20"/>
  <c r="BA24" i="16" s="1"/>
  <c r="BK24" i="20"/>
  <c r="BJ44" i="20"/>
  <c r="BA44" i="16" s="1"/>
  <c r="BK44" i="20"/>
  <c r="B34" i="20"/>
  <c r="E35" i="20"/>
  <c r="D48" i="15" s="1"/>
  <c r="C48" i="15"/>
  <c r="D17" i="5"/>
  <c r="B14" i="15" s="1"/>
  <c r="I17" i="5"/>
  <c r="H17" i="5"/>
  <c r="G17" i="5"/>
  <c r="F17" i="5"/>
  <c r="I64" i="5"/>
  <c r="H64" i="5"/>
  <c r="F64" i="5"/>
  <c r="D64" i="5"/>
  <c r="G64" i="5"/>
  <c r="H27" i="5"/>
  <c r="G27" i="5"/>
  <c r="I27" i="5"/>
  <c r="F27" i="5"/>
  <c r="D27" i="5"/>
  <c r="G91" i="5"/>
  <c r="F91" i="5"/>
  <c r="D91" i="5"/>
  <c r="I91" i="5"/>
  <c r="H91" i="5"/>
  <c r="G16" i="5"/>
  <c r="AP5" i="5"/>
  <c r="O15" i="5"/>
  <c r="Q15" i="5"/>
  <c r="P15" i="5"/>
  <c r="R15" i="5"/>
  <c r="M15" i="5"/>
  <c r="B15" i="15" s="1"/>
  <c r="BJ5" i="4"/>
  <c r="V28" i="15" s="1"/>
  <c r="BH4" i="4"/>
  <c r="BJ4" i="4"/>
  <c r="V27" i="15" s="1"/>
  <c r="BH5" i="4"/>
  <c r="AY36" i="16"/>
  <c r="BP36" i="20"/>
  <c r="BM36" i="20"/>
  <c r="BN36" i="20" s="1"/>
  <c r="BO36" i="20" s="1"/>
  <c r="AY35" i="16"/>
  <c r="BP35" i="20"/>
  <c r="BM35" i="20"/>
  <c r="BN35" i="20" s="1"/>
  <c r="BO35" i="20" s="1"/>
  <c r="AY21" i="16"/>
  <c r="BP21" i="20"/>
  <c r="BM21" i="20"/>
  <c r="BN21" i="20" s="1"/>
  <c r="BO21" i="20" s="1"/>
  <c r="AY39" i="16"/>
  <c r="BP39" i="20"/>
  <c r="BM39" i="20"/>
  <c r="BN39" i="20" s="1"/>
  <c r="BO39" i="20" s="1"/>
  <c r="BJ28" i="20"/>
  <c r="BA28" i="16" s="1"/>
  <c r="BK28" i="20"/>
  <c r="BK31" i="20"/>
  <c r="BJ31" i="20"/>
  <c r="BA31" i="16" s="1"/>
  <c r="AY23" i="16"/>
  <c r="BM23" i="20"/>
  <c r="BN23" i="20" s="1"/>
  <c r="BO23" i="20" s="1"/>
  <c r="BP23" i="20"/>
  <c r="BM43" i="20"/>
  <c r="BN43" i="20" s="1"/>
  <c r="BO43" i="20" s="1"/>
  <c r="AY43" i="16"/>
  <c r="BP43" i="20"/>
  <c r="BK15" i="20"/>
  <c r="BJ15" i="20"/>
  <c r="AY32" i="16"/>
  <c r="BP32" i="20"/>
  <c r="BM32" i="20"/>
  <c r="BN32" i="20" s="1"/>
  <c r="BO32" i="20" s="1"/>
  <c r="O13" i="15"/>
  <c r="BI5" i="5"/>
  <c r="BF10" i="5"/>
  <c r="I38" i="15" s="1"/>
  <c r="BF8" i="5"/>
  <c r="BF7" i="5"/>
  <c r="Q15" i="15" s="1"/>
  <c r="BF9" i="5"/>
  <c r="C5" i="5"/>
  <c r="C12" i="15"/>
  <c r="E12" i="15" s="1"/>
  <c r="BJ36" i="20"/>
  <c r="BA36" i="16" s="1"/>
  <c r="BK36" i="20"/>
  <c r="BK35" i="20"/>
  <c r="BJ35" i="20"/>
  <c r="BA35" i="16" s="1"/>
  <c r="BJ21" i="20"/>
  <c r="BA21" i="16" s="1"/>
  <c r="BK21" i="20"/>
  <c r="BK39" i="20"/>
  <c r="BJ39" i="20"/>
  <c r="BA39" i="16" s="1"/>
  <c r="AY28" i="16"/>
  <c r="BP28" i="20"/>
  <c r="BM28" i="20"/>
  <c r="BN28" i="20" s="1"/>
  <c r="BO28" i="20" s="1"/>
  <c r="BM16" i="20"/>
  <c r="BN16" i="20" s="1"/>
  <c r="BO16" i="20" s="1"/>
  <c r="J16" i="16" s="1"/>
  <c r="AY16" i="16"/>
  <c r="BP16" i="20"/>
  <c r="AM6" i="4" s="1"/>
  <c r="T6" i="4"/>
  <c r="G89" i="5"/>
  <c r="F89" i="5"/>
  <c r="H89" i="5"/>
  <c r="I89" i="5"/>
  <c r="D89" i="5"/>
  <c r="I34" i="5"/>
  <c r="F34" i="5"/>
  <c r="D34" i="5"/>
  <c r="G34" i="5"/>
  <c r="H34" i="5"/>
  <c r="I19" i="5"/>
  <c r="D19" i="5"/>
  <c r="G19" i="5"/>
  <c r="H19" i="5"/>
  <c r="F19" i="5"/>
  <c r="D51" i="5"/>
  <c r="F51" i="5"/>
  <c r="I51" i="5"/>
  <c r="G51" i="5"/>
  <c r="H51" i="5"/>
  <c r="G83" i="5"/>
  <c r="F83" i="5"/>
  <c r="H83" i="5"/>
  <c r="I83" i="5"/>
  <c r="D83" i="5"/>
  <c r="R16" i="5"/>
  <c r="BK23" i="20"/>
  <c r="BJ23" i="20"/>
  <c r="BA23" i="16" s="1"/>
  <c r="BK43" i="20"/>
  <c r="BJ43" i="20"/>
  <c r="BA43" i="16" s="1"/>
  <c r="BP47" i="20"/>
  <c r="BM47" i="20"/>
  <c r="BN47" i="20" s="1"/>
  <c r="BO47" i="20" s="1"/>
  <c r="H73" i="5"/>
  <c r="G73" i="5"/>
  <c r="I73" i="5"/>
  <c r="F73" i="5"/>
  <c r="D73" i="5"/>
  <c r="D18" i="5"/>
  <c r="H18" i="5"/>
  <c r="I18" i="5"/>
  <c r="G18" i="5"/>
  <c r="F18" i="5"/>
  <c r="H23" i="5"/>
  <c r="I23" i="5"/>
  <c r="F23" i="5"/>
  <c r="D23" i="5"/>
  <c r="G23" i="5"/>
  <c r="I55" i="5"/>
  <c r="D55" i="5"/>
  <c r="H55" i="5"/>
  <c r="F55" i="5"/>
  <c r="G55" i="5"/>
  <c r="I87" i="5"/>
  <c r="H87" i="5"/>
  <c r="D87" i="5"/>
  <c r="F87" i="5"/>
  <c r="G87" i="5"/>
  <c r="Y6" i="16"/>
  <c r="AR7" i="16"/>
  <c r="Z8" i="16"/>
  <c r="BJ32" i="20"/>
  <c r="BA32" i="16" s="1"/>
  <c r="BK32" i="20"/>
  <c r="V7" i="16" l="1"/>
  <c r="V6" i="16"/>
  <c r="AR6" i="16"/>
  <c r="BL50" i="20"/>
  <c r="H16" i="5"/>
  <c r="F16" i="5"/>
  <c r="AP21" i="7"/>
  <c r="S8" i="7" s="1"/>
  <c r="M16" i="5"/>
  <c r="B16" i="15" s="1"/>
  <c r="D16" i="5"/>
  <c r="B13" i="15" s="1"/>
  <c r="R42" i="15"/>
  <c r="AP4" i="5"/>
  <c r="O16" i="5"/>
  <c r="P16" i="5"/>
  <c r="O25" i="20"/>
  <c r="O26" i="20"/>
  <c r="O16" i="20"/>
  <c r="P16" i="20" s="1"/>
  <c r="S16" i="20" s="1"/>
  <c r="D52" i="15" s="1"/>
  <c r="O22" i="20"/>
  <c r="O32" i="20"/>
  <c r="O18" i="20"/>
  <c r="O15" i="20"/>
  <c r="P15" i="20" s="1"/>
  <c r="S15" i="20" s="1"/>
  <c r="D51" i="15" s="1"/>
  <c r="O19" i="20"/>
  <c r="O21" i="20"/>
  <c r="O34" i="20"/>
  <c r="O35" i="20"/>
  <c r="R35" i="20" s="1"/>
  <c r="O28" i="20"/>
  <c r="O24" i="20"/>
  <c r="O31" i="20"/>
  <c r="O30" i="20"/>
  <c r="S30" i="20" s="1"/>
  <c r="BL53" i="20"/>
  <c r="BL52" i="20"/>
  <c r="BL45" i="20"/>
  <c r="BA6" i="4"/>
  <c r="AZ18" i="16"/>
  <c r="U8" i="4"/>
  <c r="BG30" i="16"/>
  <c r="BI30" i="16" s="1"/>
  <c r="BF30" i="16"/>
  <c r="BH30" i="16" s="1"/>
  <c r="BK30" i="16"/>
  <c r="BJ30" i="16" s="1"/>
  <c r="AL4" i="5"/>
  <c r="E21" i="15" s="1"/>
  <c r="BG37" i="16"/>
  <c r="BI37" i="16" s="1"/>
  <c r="BK37" i="16"/>
  <c r="BJ37" i="16" s="1"/>
  <c r="BF37" i="16"/>
  <c r="BH37" i="16" s="1"/>
  <c r="BL54" i="20"/>
  <c r="V7" i="4"/>
  <c r="BA17" i="16"/>
  <c r="BL47" i="20"/>
  <c r="AZ26" i="16"/>
  <c r="BL26" i="20"/>
  <c r="BL29" i="20"/>
  <c r="AZ29" i="16"/>
  <c r="AZ22" i="16"/>
  <c r="BL22" i="20"/>
  <c r="AZ30" i="16"/>
  <c r="BL30" i="20"/>
  <c r="H5" i="4"/>
  <c r="H4" i="4"/>
  <c r="H8" i="4"/>
  <c r="H6" i="4"/>
  <c r="F7" i="4"/>
  <c r="H7" i="4" s="1"/>
  <c r="BF42" i="16"/>
  <c r="BH42" i="16" s="1"/>
  <c r="BK42" i="16"/>
  <c r="BJ42" i="16" s="1"/>
  <c r="BG42" i="16"/>
  <c r="BI42" i="16" s="1"/>
  <c r="BF33" i="16"/>
  <c r="BH33" i="16" s="1"/>
  <c r="BG33" i="16"/>
  <c r="BI33" i="16" s="1"/>
  <c r="BK33" i="16"/>
  <c r="BJ33" i="16" s="1"/>
  <c r="BG25" i="16"/>
  <c r="BI25" i="16" s="1"/>
  <c r="BK25" i="16"/>
  <c r="BJ25" i="16" s="1"/>
  <c r="BF25" i="16"/>
  <c r="BH25" i="16" s="1"/>
  <c r="AA7" i="4"/>
  <c r="AB7" i="4"/>
  <c r="AZ25" i="16"/>
  <c r="BL25" i="20"/>
  <c r="BL46" i="20"/>
  <c r="BL33" i="20"/>
  <c r="AZ33" i="16"/>
  <c r="AZ38" i="16"/>
  <c r="BL38" i="20"/>
  <c r="BG26" i="16"/>
  <c r="BI26" i="16" s="1"/>
  <c r="BF26" i="16"/>
  <c r="BH26" i="16" s="1"/>
  <c r="BK26" i="16"/>
  <c r="BJ26" i="16" s="1"/>
  <c r="AB8" i="4"/>
  <c r="AA8" i="4"/>
  <c r="BL41" i="20"/>
  <c r="AZ41" i="16"/>
  <c r="BF22" i="16"/>
  <c r="BH22" i="16" s="1"/>
  <c r="BG22" i="16"/>
  <c r="BI22" i="16" s="1"/>
  <c r="BK22" i="16"/>
  <c r="BJ22" i="16" s="1"/>
  <c r="BG38" i="16"/>
  <c r="BI38" i="16" s="1"/>
  <c r="BF38" i="16"/>
  <c r="BH38" i="16" s="1"/>
  <c r="BK38" i="16"/>
  <c r="BJ38" i="16" s="1"/>
  <c r="BL49" i="20"/>
  <c r="AZ34" i="16"/>
  <c r="BL34" i="20"/>
  <c r="BL48" i="20"/>
  <c r="BL37" i="20"/>
  <c r="AZ37" i="16"/>
  <c r="BG34" i="16"/>
  <c r="BI34" i="16" s="1"/>
  <c r="BK34" i="16"/>
  <c r="BJ34" i="16" s="1"/>
  <c r="BF34" i="16"/>
  <c r="BH34" i="16" s="1"/>
  <c r="BF17" i="16"/>
  <c r="BH17" i="16" s="1"/>
  <c r="BK17" i="16"/>
  <c r="BJ17" i="16" s="1"/>
  <c r="BG17" i="16"/>
  <c r="BI17" i="16" s="1"/>
  <c r="BL18" i="20"/>
  <c r="V8" i="4"/>
  <c r="BA18" i="16"/>
  <c r="BK41" i="16"/>
  <c r="BJ41" i="16" s="1"/>
  <c r="BG41" i="16"/>
  <c r="BI41" i="16" s="1"/>
  <c r="BF41" i="16"/>
  <c r="BH41" i="16" s="1"/>
  <c r="AZ42" i="16"/>
  <c r="BL42" i="20"/>
  <c r="BF29" i="16"/>
  <c r="BH29" i="16" s="1"/>
  <c r="BK29" i="16"/>
  <c r="BJ29" i="16" s="1"/>
  <c r="BG29" i="16"/>
  <c r="BI29" i="16" s="1"/>
  <c r="BG18" i="16"/>
  <c r="BI18" i="16" s="1"/>
  <c r="BK18" i="16"/>
  <c r="BJ18" i="16" s="1"/>
  <c r="BF18" i="16"/>
  <c r="BH18" i="16" s="1"/>
  <c r="BL17" i="20"/>
  <c r="U7" i="4"/>
  <c r="AZ17" i="16"/>
  <c r="I40" i="15"/>
  <c r="V49" i="15" s="1"/>
  <c r="AO5" i="12"/>
  <c r="AQ5" i="12" s="1"/>
  <c r="AS5" i="12" s="1"/>
  <c r="O15" i="15"/>
  <c r="S21" i="7"/>
  <c r="U30" i="15"/>
  <c r="BL28" i="20"/>
  <c r="AZ28" i="16"/>
  <c r="BG39" i="16"/>
  <c r="BI39" i="16" s="1"/>
  <c r="BF39" i="16"/>
  <c r="BH39" i="16" s="1"/>
  <c r="BK39" i="16"/>
  <c r="BJ39" i="16" s="1"/>
  <c r="BL24" i="20"/>
  <c r="AZ24" i="16"/>
  <c r="BL27" i="20"/>
  <c r="AZ27" i="16"/>
  <c r="BL40" i="20"/>
  <c r="AZ40" i="16"/>
  <c r="V9" i="4"/>
  <c r="BA19" i="16"/>
  <c r="S25" i="20"/>
  <c r="P25" i="20"/>
  <c r="Q25" i="20"/>
  <c r="T25" i="20"/>
  <c r="U25" i="20"/>
  <c r="R25" i="20"/>
  <c r="S26" i="20"/>
  <c r="U26" i="20"/>
  <c r="R26" i="20"/>
  <c r="P26" i="20"/>
  <c r="T26" i="20"/>
  <c r="Q26" i="20"/>
  <c r="T22" i="20"/>
  <c r="P22" i="20"/>
  <c r="Q22" i="20"/>
  <c r="R22" i="20"/>
  <c r="S22" i="20"/>
  <c r="U22" i="20"/>
  <c r="Q32" i="20"/>
  <c r="R32" i="20"/>
  <c r="P32" i="20"/>
  <c r="S32" i="20"/>
  <c r="T32" i="20"/>
  <c r="U32" i="20"/>
  <c r="P18" i="20"/>
  <c r="U18" i="20" s="1"/>
  <c r="E54" i="15" s="1"/>
  <c r="V6" i="4"/>
  <c r="BA16" i="16"/>
  <c r="AB9" i="4"/>
  <c r="AA9" i="4"/>
  <c r="BL35" i="20"/>
  <c r="AZ35" i="16"/>
  <c r="BL43" i="20"/>
  <c r="AZ43" i="16"/>
  <c r="BG36" i="16"/>
  <c r="BI36" i="16" s="1"/>
  <c r="BF36" i="16"/>
  <c r="BH36" i="16" s="1"/>
  <c r="BK36" i="16"/>
  <c r="BJ36" i="16" s="1"/>
  <c r="BL19" i="20"/>
  <c r="U9" i="4"/>
  <c r="AZ19" i="16"/>
  <c r="Q19" i="20"/>
  <c r="B55" i="15" s="1"/>
  <c r="P19" i="20"/>
  <c r="S19" i="20"/>
  <c r="D55" i="15" s="1"/>
  <c r="R19" i="20"/>
  <c r="C55" i="15" s="1"/>
  <c r="U19" i="20"/>
  <c r="E55" i="15" s="1"/>
  <c r="T19" i="20"/>
  <c r="R34" i="20"/>
  <c r="U34" i="20"/>
  <c r="T34" i="20"/>
  <c r="P34" i="20"/>
  <c r="Q34" i="20"/>
  <c r="S34" i="20"/>
  <c r="S35" i="20"/>
  <c r="V36" i="15"/>
  <c r="K39" i="15" s="1"/>
  <c r="K35" i="15"/>
  <c r="V35" i="15"/>
  <c r="Y29" i="15" s="1"/>
  <c r="K34" i="15"/>
  <c r="K36" i="15"/>
  <c r="K37" i="15"/>
  <c r="AP1" i="5"/>
  <c r="AP6" i="5" s="1"/>
  <c r="BF15" i="16"/>
  <c r="BH15" i="16" s="1"/>
  <c r="BK15" i="16"/>
  <c r="BJ15" i="16" s="1"/>
  <c r="BG15" i="16"/>
  <c r="BI15" i="16" s="1"/>
  <c r="BL36" i="20"/>
  <c r="AZ36" i="16"/>
  <c r="Q13" i="15"/>
  <c r="I41" i="15" s="1"/>
  <c r="BI7" i="5"/>
  <c r="R15" i="15" s="1"/>
  <c r="BI8" i="5"/>
  <c r="BI9" i="5"/>
  <c r="BF32" i="16"/>
  <c r="BH32" i="16" s="1"/>
  <c r="BK32" i="16"/>
  <c r="BJ32" i="16" s="1"/>
  <c r="BG32" i="16"/>
  <c r="BI32" i="16" s="1"/>
  <c r="BK43" i="16"/>
  <c r="BJ43" i="16" s="1"/>
  <c r="BG43" i="16"/>
  <c r="BI43" i="16" s="1"/>
  <c r="BF43" i="16"/>
  <c r="BH43" i="16" s="1"/>
  <c r="BG23" i="16"/>
  <c r="BI23" i="16" s="1"/>
  <c r="BK23" i="16"/>
  <c r="BJ23" i="16" s="1"/>
  <c r="BF23" i="16"/>
  <c r="BH23" i="16" s="1"/>
  <c r="C49" i="15"/>
  <c r="E34" i="20"/>
  <c r="D49" i="15" s="1"/>
  <c r="S21" i="20"/>
  <c r="D57" i="15" s="1"/>
  <c r="T21" i="20"/>
  <c r="R21" i="20"/>
  <c r="C57" i="15" s="1"/>
  <c r="U21" i="20"/>
  <c r="E57" i="15" s="1"/>
  <c r="P21" i="20"/>
  <c r="Q21" i="20"/>
  <c r="B57" i="15" s="1"/>
  <c r="BF16" i="16"/>
  <c r="BH16" i="16" s="1"/>
  <c r="BK16" i="16"/>
  <c r="BJ16" i="16" s="1"/>
  <c r="BG16" i="16"/>
  <c r="BI16" i="16" s="1"/>
  <c r="BF28" i="16"/>
  <c r="BH28" i="16" s="1"/>
  <c r="BG28" i="16"/>
  <c r="BI28" i="16" s="1"/>
  <c r="BK28" i="16"/>
  <c r="BJ28" i="16" s="1"/>
  <c r="E39" i="15"/>
  <c r="P43" i="15"/>
  <c r="V5" i="4"/>
  <c r="BA15" i="16"/>
  <c r="BF35" i="16"/>
  <c r="BH35" i="16" s="1"/>
  <c r="BG35" i="16"/>
  <c r="BI35" i="16" s="1"/>
  <c r="BK35" i="16"/>
  <c r="BJ35" i="16" s="1"/>
  <c r="K35" i="20"/>
  <c r="E48" i="15" s="1"/>
  <c r="BL44" i="20"/>
  <c r="AZ44" i="16"/>
  <c r="BF31" i="16"/>
  <c r="BH31" i="16" s="1"/>
  <c r="BK31" i="16"/>
  <c r="BJ31" i="16" s="1"/>
  <c r="BG31" i="16"/>
  <c r="BI31" i="16" s="1"/>
  <c r="BL20" i="20"/>
  <c r="AZ20" i="16"/>
  <c r="BB8" i="5"/>
  <c r="O10" i="5" s="1"/>
  <c r="U41" i="15"/>
  <c r="R43" i="15" s="1"/>
  <c r="U40" i="15"/>
  <c r="Q43" i="15" s="1"/>
  <c r="BG44" i="16"/>
  <c r="BI44" i="16" s="1"/>
  <c r="BK44" i="16"/>
  <c r="BJ44" i="16" s="1"/>
  <c r="BF44" i="16"/>
  <c r="BH44" i="16" s="1"/>
  <c r="BK24" i="16"/>
  <c r="BJ24" i="16" s="1"/>
  <c r="BG24" i="16"/>
  <c r="BI24" i="16" s="1"/>
  <c r="BF24" i="16"/>
  <c r="BH24" i="16" s="1"/>
  <c r="U28" i="20"/>
  <c r="S28" i="20"/>
  <c r="Q28" i="20"/>
  <c r="R28" i="20"/>
  <c r="P28" i="20"/>
  <c r="T28" i="20"/>
  <c r="P24" i="20"/>
  <c r="R24" i="20"/>
  <c r="T24" i="20"/>
  <c r="S24" i="20"/>
  <c r="Q24" i="20"/>
  <c r="U24" i="20"/>
  <c r="P31" i="20"/>
  <c r="T31" i="20"/>
  <c r="U31" i="20"/>
  <c r="Q31" i="20"/>
  <c r="S31" i="20"/>
  <c r="R31" i="20"/>
  <c r="R30" i="20"/>
  <c r="P14" i="20"/>
  <c r="R14" i="20" s="1"/>
  <c r="C50" i="15" s="1"/>
  <c r="BK40" i="16"/>
  <c r="BJ40" i="16" s="1"/>
  <c r="BF40" i="16"/>
  <c r="BH40" i="16" s="1"/>
  <c r="BG40" i="16"/>
  <c r="BI40" i="16" s="1"/>
  <c r="BL39" i="20"/>
  <c r="AZ39" i="16"/>
  <c r="AB6" i="4"/>
  <c r="AA6" i="4"/>
  <c r="BL21" i="20"/>
  <c r="AZ21" i="16"/>
  <c r="BL32" i="20"/>
  <c r="AZ32" i="16"/>
  <c r="BL23" i="20"/>
  <c r="AZ23" i="16"/>
  <c r="I33" i="15"/>
  <c r="R21" i="7"/>
  <c r="BL15" i="20"/>
  <c r="U5" i="4"/>
  <c r="AZ15" i="16"/>
  <c r="BL31" i="20"/>
  <c r="AZ31" i="16"/>
  <c r="BK21" i="16"/>
  <c r="BJ21" i="16" s="1"/>
  <c r="BG21" i="16"/>
  <c r="BI21" i="16" s="1"/>
  <c r="BF21" i="16"/>
  <c r="BH21" i="16" s="1"/>
  <c r="AT8" i="4"/>
  <c r="M20" i="15" s="1"/>
  <c r="BL51" i="20"/>
  <c r="U29" i="20"/>
  <c r="S29" i="20"/>
  <c r="Q29" i="20"/>
  <c r="R29" i="20"/>
  <c r="T29" i="20"/>
  <c r="P29" i="20"/>
  <c r="S27" i="20"/>
  <c r="T27" i="20"/>
  <c r="P27" i="20"/>
  <c r="Q27" i="20"/>
  <c r="U27" i="20"/>
  <c r="R27" i="20"/>
  <c r="T20" i="20"/>
  <c r="S20" i="20"/>
  <c r="D56" i="15" s="1"/>
  <c r="U20" i="20"/>
  <c r="E56" i="15" s="1"/>
  <c r="R20" i="20"/>
  <c r="C56" i="15" s="1"/>
  <c r="P20" i="20"/>
  <c r="Q20" i="20"/>
  <c r="B56" i="15" s="1"/>
  <c r="U33" i="20"/>
  <c r="P33" i="20"/>
  <c r="T33" i="20"/>
  <c r="S33" i="20"/>
  <c r="R33" i="20"/>
  <c r="Q33" i="20"/>
  <c r="P23" i="20"/>
  <c r="U23" i="20"/>
  <c r="T23" i="20"/>
  <c r="R23" i="20"/>
  <c r="Q23" i="20"/>
  <c r="S23" i="20"/>
  <c r="P17" i="20"/>
  <c r="R17" i="20" s="1"/>
  <c r="C53" i="15" s="1"/>
  <c r="BL16" i="20"/>
  <c r="U6" i="4"/>
  <c r="AZ16" i="16"/>
  <c r="BF27" i="16"/>
  <c r="BH27" i="16" s="1"/>
  <c r="BK27" i="16"/>
  <c r="BJ27" i="16" s="1"/>
  <c r="BG27" i="16"/>
  <c r="BI27" i="16" s="1"/>
  <c r="BF19" i="16"/>
  <c r="BH19" i="16" s="1"/>
  <c r="BK19" i="16"/>
  <c r="BJ19" i="16" s="1"/>
  <c r="BG19" i="16"/>
  <c r="BI19" i="16" s="1"/>
  <c r="BK20" i="16"/>
  <c r="BJ20" i="16" s="1"/>
  <c r="BF20" i="16"/>
  <c r="BH20" i="16" s="1"/>
  <c r="BG20" i="16"/>
  <c r="BI20" i="16" s="1"/>
  <c r="Q14" i="20" l="1"/>
  <c r="B50" i="15" s="1"/>
  <c r="T14" i="20"/>
  <c r="S14" i="20"/>
  <c r="D50" i="15" s="1"/>
  <c r="U14" i="20"/>
  <c r="E50" i="15" s="1"/>
  <c r="P35" i="20"/>
  <c r="Q35" i="20"/>
  <c r="T35" i="20"/>
  <c r="T30" i="20"/>
  <c r="Q30" i="20"/>
  <c r="U30" i="20"/>
  <c r="P30" i="20"/>
  <c r="U35" i="20"/>
  <c r="R16" i="20"/>
  <c r="C52" i="15" s="1"/>
  <c r="Q16" i="20"/>
  <c r="B52" i="15" s="1"/>
  <c r="U16" i="20"/>
  <c r="E52" i="15" s="1"/>
  <c r="Q15" i="20"/>
  <c r="B51" i="15" s="1"/>
  <c r="U17" i="20"/>
  <c r="E53" i="15" s="1"/>
  <c r="T15" i="20"/>
  <c r="U15" i="20"/>
  <c r="E51" i="15" s="1"/>
  <c r="R18" i="20"/>
  <c r="C54" i="15" s="1"/>
  <c r="Z8" i="4"/>
  <c r="BN8" i="4" s="1"/>
  <c r="Z7" i="4"/>
  <c r="BN7" i="4" s="1"/>
  <c r="T17" i="20"/>
  <c r="K38" i="15"/>
  <c r="AO6" i="12" s="1"/>
  <c r="R15" i="20"/>
  <c r="C51" i="15" s="1"/>
  <c r="T18" i="20"/>
  <c r="Q18" i="20"/>
  <c r="B54" i="15" s="1"/>
  <c r="S17" i="20"/>
  <c r="D53" i="15" s="1"/>
  <c r="Q17" i="20"/>
  <c r="B53" i="15" s="1"/>
  <c r="S18" i="20"/>
  <c r="D54" i="15" s="1"/>
  <c r="M39" i="15"/>
  <c r="AP6" i="12"/>
  <c r="L39" i="15"/>
  <c r="AP8" i="5"/>
  <c r="F10" i="4" s="1"/>
  <c r="W11" i="5"/>
  <c r="AA1" i="15"/>
  <c r="V19" i="15" s="1"/>
  <c r="V18" i="15"/>
  <c r="AR5" i="12"/>
  <c r="Z5" i="4"/>
  <c r="BM5" i="4" s="1"/>
  <c r="K34" i="20"/>
  <c r="M37" i="15"/>
  <c r="L37" i="15"/>
  <c r="M35" i="15"/>
  <c r="L35" i="15"/>
  <c r="Y30" i="15"/>
  <c r="K41" i="15" s="1"/>
  <c r="T16" i="20"/>
  <c r="E41" i="15"/>
  <c r="V43" i="15" s="1"/>
  <c r="L36" i="15"/>
  <c r="M36" i="15"/>
  <c r="Z9" i="4"/>
  <c r="BM9" i="4" s="1"/>
  <c r="M34" i="15"/>
  <c r="L34" i="15"/>
  <c r="O21" i="7"/>
  <c r="O48" i="7" s="1"/>
  <c r="U32" i="15"/>
  <c r="Z6" i="4"/>
  <c r="BN6" i="4" s="1"/>
  <c r="V50" i="15"/>
  <c r="V51" i="15"/>
  <c r="O32" i="15" l="1"/>
  <c r="M38" i="15"/>
  <c r="BM7" i="4"/>
  <c r="K40" i="15"/>
  <c r="M40" i="15" s="1"/>
  <c r="L38" i="15"/>
  <c r="E42" i="15"/>
  <c r="BO7" i="4"/>
  <c r="BP7" i="4"/>
  <c r="BN5" i="4"/>
  <c r="BO8" i="4"/>
  <c r="BP8" i="4"/>
  <c r="U43" i="15"/>
  <c r="R37" i="15" s="1"/>
  <c r="Q38" i="15" s="1"/>
  <c r="E43" i="15"/>
  <c r="BM8" i="4"/>
  <c r="L41" i="15"/>
  <c r="M41" i="15"/>
  <c r="BO6" i="4"/>
  <c r="BP6" i="4"/>
  <c r="I6" i="4"/>
  <c r="L40" i="15"/>
  <c r="G8" i="16"/>
  <c r="AL1" i="15"/>
  <c r="AF9" i="4"/>
  <c r="AK4" i="4" s="1"/>
  <c r="H10" i="4"/>
  <c r="I43" i="15"/>
  <c r="P17" i="15"/>
  <c r="U21" i="7" s="1"/>
  <c r="I42" i="15"/>
  <c r="R17" i="15"/>
  <c r="BP9" i="4"/>
  <c r="BO9" i="4"/>
  <c r="I9" i="4"/>
  <c r="N34" i="20"/>
  <c r="E49" i="15"/>
  <c r="AQ6" i="12"/>
  <c r="AS6" i="12" s="1"/>
  <c r="U33" i="15"/>
  <c r="K43" i="15" s="1"/>
  <c r="K33" i="15"/>
  <c r="BM6" i="4"/>
  <c r="BD7" i="4"/>
  <c r="BN9" i="4"/>
  <c r="BO5" i="4"/>
  <c r="BP5" i="4"/>
  <c r="I5" i="4"/>
  <c r="AE9" i="4"/>
  <c r="AJ4" i="4" s="1"/>
  <c r="I7" i="4"/>
  <c r="I8" i="4"/>
  <c r="BQ6" i="4" l="1"/>
  <c r="BQ9" i="4"/>
  <c r="BQ5" i="4"/>
  <c r="AB5" i="4" s="1"/>
  <c r="BQ8" i="4"/>
  <c r="BQ7" i="4"/>
  <c r="L43" i="15"/>
  <c r="M43" i="15"/>
  <c r="E32" i="15"/>
  <c r="BD6" i="4"/>
  <c r="C32" i="15" s="1"/>
  <c r="L9" i="16"/>
  <c r="V9" i="16"/>
  <c r="Y9" i="16"/>
  <c r="K42" i="15"/>
  <c r="M33" i="15"/>
  <c r="AR6" i="12"/>
  <c r="L33" i="15"/>
  <c r="AA5" i="4" l="1"/>
  <c r="BC10" i="4"/>
  <c r="C36" i="15" s="1"/>
  <c r="M42" i="15"/>
  <c r="L42" i="15"/>
  <c r="BD10" i="4" l="1"/>
  <c r="E36" i="15" s="1"/>
  <c r="BC11" i="4"/>
  <c r="C35" i="15" l="1"/>
  <c r="BD11" i="4"/>
  <c r="E35" i="15" s="1"/>
  <c r="BC8" i="4"/>
  <c r="E34" i="15" s="1"/>
  <c r="BC9" i="4"/>
  <c r="BF20" i="4" l="1"/>
  <c r="BF21" i="4"/>
  <c r="BF22" i="4"/>
  <c r="BF23" i="4"/>
  <c r="BF24" i="4"/>
  <c r="BF25" i="4"/>
  <c r="BF26" i="4"/>
  <c r="BF27" i="4"/>
  <c r="BF28" i="4"/>
  <c r="BF29" i="4"/>
  <c r="BF30" i="4"/>
  <c r="BF31" i="4"/>
  <c r="BF32" i="4"/>
  <c r="BF33" i="4"/>
  <c r="BF34" i="4"/>
  <c r="BF35" i="4"/>
  <c r="BF36" i="4"/>
  <c r="BF37" i="4"/>
  <c r="BF38" i="4"/>
  <c r="BF39" i="4"/>
  <c r="BF40" i="4"/>
  <c r="BF41" i="4"/>
  <c r="BF42" i="4"/>
  <c r="BF43" i="4"/>
  <c r="BF44" i="4"/>
  <c r="BF45" i="4"/>
  <c r="BF46" i="4"/>
  <c r="BF47" i="4"/>
  <c r="BF48" i="4"/>
  <c r="BF49" i="4"/>
  <c r="BF50" i="4"/>
  <c r="BF51" i="4"/>
  <c r="BF52" i="4"/>
  <c r="BF53" i="4"/>
  <c r="BF54" i="4"/>
  <c r="BF55" i="4"/>
  <c r="BF56" i="4"/>
  <c r="BF57" i="4"/>
  <c r="BF58" i="4"/>
  <c r="BF59" i="4"/>
  <c r="BF60" i="4"/>
  <c r="BF61" i="4"/>
  <c r="BF62" i="4"/>
  <c r="BF63" i="4"/>
  <c r="BF64" i="4"/>
  <c r="BF16" i="4"/>
  <c r="BF18" i="4"/>
  <c r="BF17" i="4"/>
  <c r="BF19" i="4"/>
  <c r="E33" i="15"/>
  <c r="BF15" i="4"/>
  <c r="BF13" i="4"/>
  <c r="BD9" i="4" l="1"/>
  <c r="C33" i="15" s="1"/>
  <c r="BD8" i="4"/>
  <c r="C34" i="15" s="1"/>
  <c r="A42" i="7" l="1"/>
  <c r="F42" i="7" s="1"/>
  <c r="AG42" i="7" l="1"/>
  <c r="E47" i="7"/>
  <c r="J47" i="7" l="1"/>
  <c r="N47" i="7"/>
  <c r="AE47" i="7" l="1"/>
  <c r="AL47" i="7"/>
  <c r="E46" i="7"/>
  <c r="J46" i="7" l="1"/>
  <c r="N46" i="7"/>
  <c r="AK10" i="5"/>
  <c r="AL10" i="5" s="1"/>
  <c r="E27" i="15" s="1"/>
  <c r="AL46" i="7" l="1"/>
  <c r="E45" i="7"/>
  <c r="AE46" i="7"/>
  <c r="J45" i="7" l="1"/>
  <c r="N45" i="7"/>
  <c r="AE45" i="7" l="1"/>
  <c r="AL45" i="7"/>
  <c r="E44" i="7"/>
  <c r="J44" i="7" l="1"/>
  <c r="N44" i="7"/>
  <c r="AL44" i="7" l="1"/>
  <c r="E43" i="7"/>
  <c r="AE44" i="7"/>
  <c r="N43" i="7" l="1"/>
  <c r="J43" i="7"/>
  <c r="AE43" i="7" l="1"/>
  <c r="AL43" i="7"/>
  <c r="E42" i="7"/>
  <c r="J42" i="7" l="1"/>
  <c r="N42" i="7"/>
  <c r="E41" i="7" l="1"/>
  <c r="AL42" i="7"/>
  <c r="AE42" i="7"/>
  <c r="J41" i="7" l="1"/>
  <c r="N41" i="7"/>
  <c r="AL41" i="7" l="1"/>
  <c r="AE41" i="7"/>
  <c r="E40" i="7"/>
  <c r="J40" i="7" l="1"/>
  <c r="N40" i="7"/>
  <c r="E39" i="7" l="1"/>
  <c r="AE40" i="7"/>
  <c r="AL40" i="7"/>
  <c r="J39" i="7" l="1"/>
  <c r="N39" i="7"/>
  <c r="AE39" i="7" l="1"/>
  <c r="AL39" i="7"/>
  <c r="E38" i="7"/>
  <c r="A38" i="7" s="1"/>
  <c r="F38" i="7" l="1"/>
  <c r="J38" i="7" s="1"/>
  <c r="AG38" i="7"/>
  <c r="N38" i="7"/>
  <c r="E37" i="7" l="1"/>
  <c r="AL38" i="7"/>
  <c r="AE38" i="7"/>
  <c r="J37" i="7" l="1"/>
  <c r="N37" i="7"/>
  <c r="AL37" i="7" l="1"/>
  <c r="AE37" i="7"/>
  <c r="E36" i="7"/>
  <c r="J36" i="7" l="1"/>
  <c r="N36" i="7"/>
  <c r="E35" i="7" l="1"/>
  <c r="AE36" i="7"/>
  <c r="AL36" i="7"/>
  <c r="J35" i="7" l="1"/>
  <c r="N35" i="7"/>
  <c r="AE35" i="7" l="1"/>
  <c r="AL35" i="7"/>
  <c r="E34" i="7"/>
  <c r="J34" i="7" l="1"/>
  <c r="N34" i="7"/>
  <c r="E33" i="7" l="1"/>
  <c r="AE34" i="7"/>
  <c r="AL34" i="7"/>
  <c r="J33" i="7" l="1"/>
  <c r="N33" i="7"/>
  <c r="AL33" i="7" l="1"/>
  <c r="AE33" i="7"/>
  <c r="E32" i="7"/>
  <c r="J32" i="7" l="1"/>
  <c r="N32" i="7"/>
  <c r="E31" i="7" l="1"/>
  <c r="AE32" i="7"/>
  <c r="AL32" i="7"/>
  <c r="J31" i="7" l="1"/>
  <c r="N31" i="7"/>
  <c r="AE31" i="7" l="1"/>
  <c r="AL31" i="7"/>
  <c r="E30" i="7"/>
  <c r="J30" i="7" l="1"/>
  <c r="N30" i="7"/>
  <c r="AL30" i="7" l="1"/>
  <c r="E29" i="7"/>
  <c r="AE30" i="7"/>
  <c r="J29" i="7" l="1"/>
  <c r="N29" i="7"/>
  <c r="AE29" i="7" l="1"/>
  <c r="AL29" i="7"/>
  <c r="E28" i="7"/>
  <c r="J28" i="7" l="1"/>
  <c r="N28" i="7"/>
  <c r="E27" i="7" l="1"/>
  <c r="AE28" i="7"/>
  <c r="AL28" i="7"/>
  <c r="N27" i="7" l="1"/>
  <c r="J27" i="7"/>
  <c r="AE27" i="7" l="1"/>
  <c r="E26" i="7"/>
  <c r="AL27" i="7"/>
  <c r="J26" i="7" l="1"/>
  <c r="N26" i="7"/>
  <c r="E25" i="7" l="1"/>
  <c r="AL26" i="7"/>
  <c r="AE26" i="7"/>
  <c r="N25" i="7" l="1"/>
  <c r="J25" i="7"/>
  <c r="AK8" i="5"/>
  <c r="AL8" i="5" s="1"/>
  <c r="E25" i="15" s="1"/>
  <c r="AL25" i="7" l="1"/>
  <c r="AE25" i="7"/>
  <c r="E24" i="7"/>
  <c r="A24" i="7" l="1"/>
  <c r="AM5" i="5"/>
  <c r="AK5" i="5" s="1"/>
  <c r="AK6" i="5"/>
  <c r="AL6" i="5" s="1"/>
  <c r="E23" i="15" s="1"/>
  <c r="AK7" i="5"/>
  <c r="AL7" i="5" s="1"/>
  <c r="E24" i="15" s="1"/>
  <c r="N24" i="7"/>
  <c r="AL5" i="5" l="1"/>
  <c r="E22" i="15" s="1"/>
  <c r="AK9" i="5"/>
  <c r="AL9" i="5" s="1"/>
  <c r="E26" i="15" s="1"/>
  <c r="AG24" i="7"/>
  <c r="F24" i="7"/>
  <c r="F48" i="7" l="1"/>
  <c r="J48" i="7" s="1"/>
  <c r="E48" i="7" s="1"/>
  <c r="N48" i="7" s="1"/>
  <c r="J24" i="7"/>
  <c r="AE24" i="7" l="1"/>
  <c r="E23" i="7"/>
  <c r="AL24" i="7"/>
  <c r="AE23" i="7"/>
  <c r="J23" i="7" l="1"/>
  <c r="AL23" i="7" s="1"/>
  <c r="N23" i="7"/>
  <c r="AE22" i="7"/>
  <c r="X10" i="7"/>
  <c r="X9" i="7"/>
</calcChain>
</file>

<file path=xl/sharedStrings.xml><?xml version="1.0" encoding="utf-8"?>
<sst xmlns="http://schemas.openxmlformats.org/spreadsheetml/2006/main" count="1304" uniqueCount="767">
  <si>
    <t>X</t>
  </si>
  <si>
    <t>Date</t>
  </si>
  <si>
    <t>Value</t>
  </si>
  <si>
    <t>Stock Code</t>
  </si>
  <si>
    <t>Stock</t>
  </si>
  <si>
    <t>Account Name:</t>
  </si>
  <si>
    <t>Commission</t>
  </si>
  <si>
    <t>Total Shares</t>
  </si>
  <si>
    <t>Ave. Price</t>
  </si>
  <si>
    <t>Amount</t>
  </si>
  <si>
    <t>Cash Balance:</t>
  </si>
  <si>
    <t>Average 
Price</t>
  </si>
  <si>
    <t>BUY</t>
  </si>
  <si>
    <t>#</t>
  </si>
  <si>
    <t>Action</t>
  </si>
  <si>
    <t>Price</t>
  </si>
  <si>
    <t>Gross Amount</t>
  </si>
  <si>
    <t>COMM+
VAT (0.25% , min=P20)</t>
  </si>
  <si>
    <t>VAT 
(0.03% , min=P2.4)</t>
  </si>
  <si>
    <t>OTHER (0.015%)</t>
  </si>
  <si>
    <t>DST/
SALES TAX (0.5%)</t>
  </si>
  <si>
    <t>%</t>
  </si>
  <si>
    <t>SELL</t>
  </si>
  <si>
    <t>Trade Win:</t>
  </si>
  <si>
    <t>Trade Loss:</t>
  </si>
  <si>
    <t>Win/Loss Ratio:</t>
  </si>
  <si>
    <t>Profit/Loss Ratio:</t>
  </si>
  <si>
    <t>STOCK POSITION</t>
  </si>
  <si>
    <t>Total 
Shares</t>
  </si>
  <si>
    <t>Ave.
Price</t>
  </si>
  <si>
    <t>Gain/
Loss</t>
  </si>
  <si>
    <t>Current 
Amount</t>
  </si>
  <si>
    <t>Symbol</t>
  </si>
  <si>
    <t>Month</t>
  </si>
  <si>
    <t>Loss</t>
  </si>
  <si>
    <t>beg</t>
  </si>
  <si>
    <t>end</t>
  </si>
  <si>
    <t>deposit</t>
  </si>
  <si>
    <t>withdraw</t>
  </si>
  <si>
    <t>div</t>
  </si>
  <si>
    <t>Deposit</t>
  </si>
  <si>
    <t>Fees</t>
  </si>
  <si>
    <t>Cash</t>
  </si>
  <si>
    <t>Total Bought Value:</t>
  </si>
  <si>
    <t>Total Portfolio Trade Value:</t>
  </si>
  <si>
    <t>Total Equities Gain/Loss:</t>
  </si>
  <si>
    <t>Total Account Equity Value:</t>
  </si>
  <si>
    <t/>
  </si>
  <si>
    <t>Market Price</t>
  </si>
  <si>
    <t>code</t>
  </si>
  <si>
    <t>No.</t>
  </si>
  <si>
    <t>Trend Follow</t>
  </si>
  <si>
    <t>Win</t>
  </si>
  <si>
    <t xml:space="preserve">  Total Shares</t>
  </si>
  <si>
    <t xml:space="preserve"> Stock Code</t>
  </si>
  <si>
    <t>Additional 
Deposits</t>
  </si>
  <si>
    <t>Withdrawals</t>
  </si>
  <si>
    <t>current</t>
  </si>
  <si>
    <t>previous</t>
  </si>
  <si>
    <t>YTD</t>
  </si>
  <si>
    <t>PYTD</t>
  </si>
  <si>
    <t>Q4</t>
  </si>
  <si>
    <t>Q3</t>
  </si>
  <si>
    <t>Q2</t>
  </si>
  <si>
    <t>Q1</t>
  </si>
  <si>
    <t>.</t>
  </si>
  <si>
    <t xml:space="preserve"> </t>
  </si>
  <si>
    <t>Monthly Capital 
Growth Rate</t>
  </si>
  <si>
    <t>Professional Journaling Solution</t>
  </si>
  <si>
    <t>How to Enable Macro:</t>
  </si>
  <si>
    <t>open</t>
  </si>
  <si>
    <t>loss</t>
  </si>
  <si>
    <t>Period</t>
  </si>
  <si>
    <t>Total Gain:</t>
  </si>
  <si>
    <t>Total Loss:</t>
  </si>
  <si>
    <t>End Capital:</t>
  </si>
  <si>
    <t>Profit Factor:</t>
  </si>
  <si>
    <t>Realized Gain/Loss</t>
  </si>
  <si>
    <t>Realized + Unrealized Gain/Loss</t>
  </si>
  <si>
    <t>DATE</t>
  </si>
  <si>
    <t>This Week:</t>
  </si>
  <si>
    <t>gain/loss</t>
  </si>
  <si>
    <t>FEAR</t>
  </si>
  <si>
    <t>HOPE</t>
  </si>
  <si>
    <t>GREED</t>
  </si>
  <si>
    <t>BORED</t>
  </si>
  <si>
    <t>TOO EARLY</t>
  </si>
  <si>
    <t>NOT IN PLAN</t>
  </si>
  <si>
    <t>TOO LATE</t>
  </si>
  <si>
    <t>BROKE RULES</t>
  </si>
  <si>
    <t>IMPULSE</t>
  </si>
  <si>
    <t>FOMO</t>
  </si>
  <si>
    <t>AS PLANNED</t>
  </si>
  <si>
    <t>Ave.Price</t>
  </si>
  <si>
    <t>Largest Win %:</t>
  </si>
  <si>
    <t>Largest Loss %:</t>
  </si>
  <si>
    <t>Largest Profit:</t>
  </si>
  <si>
    <t>Largest Loss:</t>
  </si>
  <si>
    <t>TAX &amp; FEES</t>
  </si>
  <si>
    <t>VOLUME</t>
  </si>
  <si>
    <t>P</t>
  </si>
  <si>
    <t>L</t>
  </si>
  <si>
    <t>Gain/loss</t>
  </si>
  <si>
    <t>Beg. Capital</t>
  </si>
  <si>
    <t>from</t>
  </si>
  <si>
    <t>to</t>
  </si>
  <si>
    <t>profit</t>
  </si>
  <si>
    <t>%change</t>
  </si>
  <si>
    <t>helper match</t>
  </si>
  <si>
    <t>If sheets did'nt appear, macro is disabled. Follow steps below.</t>
  </si>
  <si>
    <t>SHORT</t>
  </si>
  <si>
    <t>BROKER FEE SETTINGS</t>
  </si>
  <si>
    <t>VAT</t>
  </si>
  <si>
    <t>Tax</t>
  </si>
  <si>
    <t>Sales Tax</t>
  </si>
  <si>
    <t>From</t>
  </si>
  <si>
    <t>Multiply by</t>
  </si>
  <si>
    <t>Minimum</t>
  </si>
  <si>
    <t>Maximum</t>
  </si>
  <si>
    <t>Per Trade</t>
  </si>
  <si>
    <t xml:space="preserve">Stock Trading Journal </t>
  </si>
  <si>
    <t>Kelly Criterion %:</t>
  </si>
  <si>
    <t>Position Size To Bet:</t>
  </si>
  <si>
    <t>win trade</t>
  </si>
  <si>
    <t>EQUITY CURVE</t>
  </si>
  <si>
    <t>PROFIT/LOSS</t>
  </si>
  <si>
    <t>PERFORMANCE CURVE</t>
  </si>
  <si>
    <t>Win Trades</t>
  </si>
  <si>
    <t>Loss Trades</t>
  </si>
  <si>
    <t>Ave. Loss</t>
  </si>
  <si>
    <t>1st Quarter:</t>
  </si>
  <si>
    <t>2nd Quarter:</t>
  </si>
  <si>
    <t>3rd Quarter:</t>
  </si>
  <si>
    <t>4th Quarter:</t>
  </si>
  <si>
    <t>This Month:</t>
  </si>
  <si>
    <t>Year To Date:</t>
  </si>
  <si>
    <t>Previous YTD:</t>
  </si>
  <si>
    <t xml:space="preserve">    PERFORMANCE PER PERIOD</t>
  </si>
  <si>
    <t xml:space="preserve">      DISTRIBUTION OF GAINS AND LOSSES</t>
  </si>
  <si>
    <t xml:space="preserve">     OVERALL PERFORMANCE</t>
  </si>
  <si>
    <t xml:space="preserve">     OVERALL TRADE STATISTICS</t>
  </si>
  <si>
    <t xml:space="preserve">     MONEY MANAGEMENT</t>
  </si>
  <si>
    <t xml:space="preserve">     WEEKLY PERFORMANCE CURVE</t>
  </si>
  <si>
    <t>shares</t>
  </si>
  <si>
    <t>cum.shares</t>
  </si>
  <si>
    <t>rem.shares</t>
  </si>
  <si>
    <t>Expectancy:</t>
  </si>
  <si>
    <t>CONFIDENT</t>
  </si>
  <si>
    <t>base</t>
  </si>
  <si>
    <t>row</t>
  </si>
  <si>
    <t>cum</t>
  </si>
  <si>
    <t>total row</t>
  </si>
  <si>
    <t xml:space="preserve">     TRADE EVALUATION</t>
  </si>
  <si>
    <t>Average Loss:</t>
  </si>
  <si>
    <t>Ave. Profit</t>
  </si>
  <si>
    <t>Average Profit:</t>
  </si>
  <si>
    <t>LONG</t>
  </si>
  <si>
    <t xml:space="preserve">   UNREALIZED GAIN/LOSS</t>
  </si>
  <si>
    <t>R-Multiple</t>
  </si>
  <si>
    <t>MARKET PRICE</t>
  </si>
  <si>
    <t>%P&amp;L</t>
  </si>
  <si>
    <t>Total Cum. Score:</t>
  </si>
  <si>
    <t>Prev. Week:</t>
  </si>
  <si>
    <t>W/L Ratio</t>
  </si>
  <si>
    <t xml:space="preserve">      TRADE SETUP STATISTICS</t>
  </si>
  <si>
    <t>sum amount</t>
  </si>
  <si>
    <t>C</t>
  </si>
  <si>
    <t>T</t>
  </si>
  <si>
    <t>Score</t>
  </si>
  <si>
    <t>unique amount</t>
  </si>
  <si>
    <t>1R g&amp;l</t>
  </si>
  <si>
    <t>total fees</t>
  </si>
  <si>
    <t>capital</t>
  </si>
  <si>
    <t>total</t>
  </si>
  <si>
    <t>fee</t>
  </si>
  <si>
    <t>AR</t>
  </si>
  <si>
    <t>open position</t>
  </si>
  <si>
    <t>aep</t>
  </si>
  <si>
    <t>stop</t>
  </si>
  <si>
    <t>tp</t>
  </si>
  <si>
    <t>lookup</t>
  </si>
  <si>
    <t>Gain/Loss Preview Option:</t>
  </si>
  <si>
    <t>TRADE PLAN UNREALIZED GAIN/LOSS</t>
  </si>
  <si>
    <t>STOP - R</t>
  </si>
  <si>
    <t>TARGET - R</t>
  </si>
  <si>
    <t>last row</t>
  </si>
  <si>
    <t>POSITION</t>
  </si>
  <si>
    <t>GAIN</t>
  </si>
  <si>
    <t>LOSS</t>
  </si>
  <si>
    <t>winning streak</t>
  </si>
  <si>
    <t>losing streak</t>
  </si>
  <si>
    <t xml:space="preserve">     DRAWDOWN AND LOSING STREAK</t>
  </si>
  <si>
    <t>loss streak</t>
  </si>
  <si>
    <t>win streak</t>
  </si>
  <si>
    <t xml:space="preserve">    PERFORMANCE CURVE</t>
  </si>
  <si>
    <t>max</t>
  </si>
  <si>
    <t>min</t>
  </si>
  <si>
    <t>DEPOSIT</t>
  </si>
  <si>
    <t>HELPER</t>
  </si>
  <si>
    <t>WITHDRAW</t>
  </si>
  <si>
    <t>FEES</t>
  </si>
  <si>
    <t>chart y max</t>
  </si>
  <si>
    <t>chart y min</t>
  </si>
  <si>
    <t>Ave. Win%:</t>
  </si>
  <si>
    <t>Ave. Loss%:</t>
  </si>
  <si>
    <t>Average Profit (+):</t>
  </si>
  <si>
    <t>Average Loss (-):</t>
  </si>
  <si>
    <t xml:space="preserve">    TRADE EVALUATION CURVE</t>
  </si>
  <si>
    <t>AB</t>
  </si>
  <si>
    <t>score</t>
  </si>
  <si>
    <t>Edit Setup ►</t>
  </si>
  <si>
    <t>Review Monthly Report ►</t>
  </si>
  <si>
    <t>TOTAL</t>
  </si>
  <si>
    <t>sum</t>
  </si>
  <si>
    <t>helper</t>
  </si>
  <si>
    <t>no setup</t>
  </si>
  <si>
    <t>Evaluate Trades ►</t>
  </si>
  <si>
    <t>Assign Setup ►</t>
  </si>
  <si>
    <t>More Details ►</t>
  </si>
  <si>
    <t>Ave. Win (R):</t>
  </si>
  <si>
    <t>Ave. Loss (R):</t>
  </si>
  <si>
    <t>Edit R-Multiple ►</t>
  </si>
  <si>
    <t>b1sm1ll4h</t>
  </si>
  <si>
    <t>BSMLH-0107</t>
  </si>
  <si>
    <t>SDF</t>
  </si>
  <si>
    <t>equity</t>
  </si>
  <si>
    <t>pre week</t>
  </si>
  <si>
    <t>this week</t>
  </si>
  <si>
    <t>to date</t>
  </si>
  <si>
    <t>transfer</t>
  </si>
  <si>
    <t>dividend</t>
  </si>
  <si>
    <t>Target
Price</t>
  </si>
  <si>
    <t>Allocation</t>
  </si>
  <si>
    <t>Weight %</t>
  </si>
  <si>
    <t>helper loss</t>
  </si>
  <si>
    <t>allocation%</t>
  </si>
  <si>
    <t>datecode</t>
  </si>
  <si>
    <t>sort large</t>
  </si>
  <si>
    <t>Swing Trade</t>
  </si>
  <si>
    <t>Momentum</t>
  </si>
  <si>
    <t>Bounce</t>
  </si>
  <si>
    <t>Bottom fishing</t>
  </si>
  <si>
    <t>Insert 100x100 pixels, max 20kb</t>
  </si>
  <si>
    <t>Format : .jpg / .gif / .png</t>
  </si>
  <si>
    <t>r-mul</t>
  </si>
  <si>
    <t>2nd</t>
  </si>
  <si>
    <t>1st</t>
  </si>
  <si>
    <t>2nd column</t>
  </si>
  <si>
    <t>1st col</t>
  </si>
  <si>
    <t>NEWS</t>
  </si>
  <si>
    <t>FUNDA</t>
  </si>
  <si>
    <t>Consecutive Losses:</t>
  </si>
  <si>
    <t>Consecutive Wins:</t>
  </si>
  <si>
    <t>P E R F O R M A N C E</t>
  </si>
  <si>
    <t>I</t>
  </si>
  <si>
    <t>END BALANCE</t>
  </si>
  <si>
    <t>BEG. BALANCE</t>
  </si>
  <si>
    <t>NET PROFIT</t>
  </si>
  <si>
    <t xml:space="preserve">   TRADE LOG</t>
  </si>
  <si>
    <t>R-MUL.</t>
  </si>
  <si>
    <t xml:space="preserve">   PORTFOLIO</t>
  </si>
  <si>
    <t>MONTH</t>
  </si>
  <si>
    <t>PROFIT</t>
  </si>
  <si>
    <t>DIVIDENDS</t>
  </si>
  <si>
    <t>TRANSFERS</t>
  </si>
  <si>
    <t>% PROFIT</t>
  </si>
  <si>
    <t xml:space="preserve">   STOCK POSITION</t>
  </si>
  <si>
    <t>STOCK CODE</t>
  </si>
  <si>
    <t>ACTION</t>
  </si>
  <si>
    <t>PRICE</t>
  </si>
  <si>
    <t>NET AMOUNT</t>
  </si>
  <si>
    <t>AVE. PRICE</t>
  </si>
  <si>
    <t xml:space="preserve">   BANK TRANSFER</t>
  </si>
  <si>
    <t>STOCK ID</t>
  </si>
  <si>
    <t>SHARES</t>
  </si>
  <si>
    <t>% P&amp;L</t>
  </si>
  <si>
    <t>CAUSE-OF-ERROR</t>
  </si>
  <si>
    <t>Contact Us at:</t>
  </si>
  <si>
    <t>info@rocketsheets.com</t>
  </si>
  <si>
    <t>aaespreadsheets@gmail.com</t>
  </si>
  <si>
    <t>Website:</t>
  </si>
  <si>
    <t>rocketsheets.com</t>
  </si>
  <si>
    <t>R4</t>
  </si>
  <si>
    <t>HM</t>
  </si>
  <si>
    <t>4A</t>
  </si>
  <si>
    <t>N4</t>
  </si>
  <si>
    <t>RR</t>
  </si>
  <si>
    <t>H3</t>
  </si>
  <si>
    <t>3M</t>
  </si>
  <si>
    <t>4L</t>
  </si>
  <si>
    <t>M4</t>
  </si>
  <si>
    <t>L1</t>
  </si>
  <si>
    <t>K4</t>
  </si>
  <si>
    <t>LQ</t>
  </si>
  <si>
    <t>UD</t>
  </si>
  <si>
    <t>DU</t>
  </si>
  <si>
    <t>SA</t>
  </si>
  <si>
    <t>SS</t>
  </si>
  <si>
    <t>AL</t>
  </si>
  <si>
    <t>MU</t>
  </si>
  <si>
    <t>MI</t>
  </si>
  <si>
    <t>MH</t>
  </si>
  <si>
    <t>AY</t>
  </si>
  <si>
    <t>MN</t>
  </si>
  <si>
    <t>AZ</t>
  </si>
  <si>
    <t>EE</t>
  </si>
  <si>
    <t>Z4</t>
  </si>
  <si>
    <t>LJ</t>
  </si>
  <si>
    <t>BA</t>
  </si>
  <si>
    <t>RM</t>
  </si>
  <si>
    <t>UT</t>
  </si>
  <si>
    <t>KB</t>
  </si>
  <si>
    <t>BI</t>
  </si>
  <si>
    <t>RL</t>
  </si>
  <si>
    <t>KH</t>
  </si>
  <si>
    <t>LL</t>
  </si>
  <si>
    <t>IQ</t>
  </si>
  <si>
    <t>B4</t>
  </si>
  <si>
    <t>4R</t>
  </si>
  <si>
    <t>RI</t>
  </si>
  <si>
    <t>IL</t>
  </si>
  <si>
    <t>A</t>
  </si>
  <si>
    <t>B</t>
  </si>
  <si>
    <t>D</t>
  </si>
  <si>
    <t>E</t>
  </si>
  <si>
    <t>F</t>
  </si>
  <si>
    <t>G</t>
  </si>
  <si>
    <t>H</t>
  </si>
  <si>
    <t>J</t>
  </si>
  <si>
    <t>K</t>
  </si>
  <si>
    <t>M</t>
  </si>
  <si>
    <t>N</t>
  </si>
  <si>
    <t>O</t>
  </si>
  <si>
    <t>Q</t>
  </si>
  <si>
    <t>R</t>
  </si>
  <si>
    <t>S</t>
  </si>
  <si>
    <t>U</t>
  </si>
  <si>
    <t>V</t>
  </si>
  <si>
    <t>W</t>
  </si>
  <si>
    <t>Y</t>
  </si>
  <si>
    <t>Z</t>
  </si>
  <si>
    <t>-</t>
  </si>
  <si>
    <t>@</t>
  </si>
  <si>
    <t>1</t>
  </si>
  <si>
    <t>2</t>
  </si>
  <si>
    <t>3</t>
  </si>
  <si>
    <t>4</t>
  </si>
  <si>
    <t>5</t>
  </si>
  <si>
    <t>6</t>
  </si>
  <si>
    <t>7</t>
  </si>
  <si>
    <t>8</t>
  </si>
  <si>
    <t>9</t>
  </si>
  <si>
    <t>0</t>
  </si>
  <si>
    <t>_</t>
  </si>
  <si>
    <t>date</t>
  </si>
  <si>
    <t>TRADES</t>
  </si>
  <si>
    <t>AVE.WIN%</t>
  </si>
  <si>
    <t>AVE.LOSS%</t>
  </si>
  <si>
    <t>WIN RATE%</t>
  </si>
  <si>
    <t>JAN</t>
  </si>
  <si>
    <t>FEB</t>
  </si>
  <si>
    <t>MAR</t>
  </si>
  <si>
    <t>APR</t>
  </si>
  <si>
    <t>MAY</t>
  </si>
  <si>
    <t>JUN</t>
  </si>
  <si>
    <t>JUL</t>
  </si>
  <si>
    <t>AUG</t>
  </si>
  <si>
    <t>SEP</t>
  </si>
  <si>
    <t>OCT</t>
  </si>
  <si>
    <t>NOV</t>
  </si>
  <si>
    <t>DEC</t>
  </si>
  <si>
    <t>SYMBOL</t>
  </si>
  <si>
    <t xml:space="preserve">   ADDITIONAL NOTE</t>
  </si>
  <si>
    <t>NOTES</t>
  </si>
  <si>
    <t>REASON FOR BUYING / SELLING</t>
  </si>
  <si>
    <t xml:space="preserve">       DATE FILTER</t>
  </si>
  <si>
    <t>TRADE FILTER</t>
  </si>
  <si>
    <t xml:space="preserve">  EVALUATION SETTINGS</t>
  </si>
  <si>
    <t xml:space="preserve">   ENTRY/EXIT</t>
  </si>
  <si>
    <t xml:space="preserve">   EMOTION</t>
  </si>
  <si>
    <t>FROM</t>
  </si>
  <si>
    <t>MULTIPLY BY</t>
  </si>
  <si>
    <t>MINIMUM</t>
  </si>
  <si>
    <t>MAXIMUM</t>
  </si>
  <si>
    <t xml:space="preserve"> CURRENCY SETTINGS</t>
  </si>
  <si>
    <t xml:space="preserve">  STATS SETTINGS</t>
  </si>
  <si>
    <t>CUMULATIVE PROFIT</t>
  </si>
  <si>
    <t>CUMULATIVE LOSS</t>
  </si>
  <si>
    <t>performance</t>
  </si>
  <si>
    <t>Gain/Loss:</t>
  </si>
  <si>
    <t xml:space="preserve">1R Value (VAR)  : </t>
  </si>
  <si>
    <t>sold all</t>
  </si>
  <si>
    <t>winloss</t>
  </si>
  <si>
    <t>w&amp;L stats</t>
  </si>
  <si>
    <t>Total-Time-Weighted-Return:</t>
  </si>
  <si>
    <t>ADDITIONAL NOTES</t>
  </si>
  <si>
    <t>R-MUL SUM</t>
  </si>
  <si>
    <t>tally</t>
  </si>
  <si>
    <t>last trade action</t>
  </si>
  <si>
    <t>action code</t>
  </si>
  <si>
    <t>total trades</t>
  </si>
  <si>
    <t>match symbol</t>
  </si>
  <si>
    <t>max drawdown cost</t>
  </si>
  <si>
    <t>max drawdown %</t>
  </si>
  <si>
    <t>loss cost</t>
  </si>
  <si>
    <t>win cost</t>
  </si>
  <si>
    <t>Max streak</t>
  </si>
  <si>
    <t>streak cost</t>
  </si>
  <si>
    <t>cons. Losses</t>
  </si>
  <si>
    <t>cons profit</t>
  </si>
  <si>
    <t>Max Drawdown:</t>
  </si>
  <si>
    <t>Max Consecutive Profit:</t>
  </si>
  <si>
    <t>Max Consecutive Loss:</t>
  </si>
  <si>
    <t>drawdown%</t>
  </si>
  <si>
    <t>Stop-Loss 
or Trail Stop</t>
  </si>
  <si>
    <t>GROSS AMOUNT</t>
  </si>
  <si>
    <t>DIVIDEND TYPE</t>
  </si>
  <si>
    <t>DIVIDEND DESCRIPTION</t>
  </si>
  <si>
    <t>TYPE</t>
  </si>
  <si>
    <t>WT%</t>
  </si>
  <si>
    <t>AVERAGE PRICE</t>
  </si>
  <si>
    <t>TOTAL SHARES</t>
  </si>
  <si>
    <t>MARKET VALUE</t>
  </si>
  <si>
    <t xml:space="preserve">   NOTES</t>
  </si>
  <si>
    <t xml:space="preserve">          Total Bought Value:</t>
  </si>
  <si>
    <t xml:space="preserve">          Total Equities Gain/Loss:</t>
  </si>
  <si>
    <t xml:space="preserve">          Total Account Equity Value:</t>
  </si>
  <si>
    <t xml:space="preserve">          Total Portfolio Trade Value:</t>
  </si>
  <si>
    <t xml:space="preserve">   SETTINGS</t>
  </si>
  <si>
    <t>WIN %</t>
  </si>
  <si>
    <t xml:space="preserve">  DESCRIPTION</t>
  </si>
  <si>
    <t xml:space="preserve"> SETUP</t>
  </si>
  <si>
    <t xml:space="preserve"> DEFINITION AND RULES</t>
  </si>
  <si>
    <t xml:space="preserve"> SETUP SETTINGS</t>
  </si>
  <si>
    <t xml:space="preserve">          Total Equities Gain/Loss% :</t>
  </si>
  <si>
    <t xml:space="preserve">          PORTFOLIO</t>
  </si>
  <si>
    <t xml:space="preserve"> PORTFOLIO FORECAST</t>
  </si>
  <si>
    <t xml:space="preserve">                   TRADING JOURNAL</t>
  </si>
  <si>
    <t>Enter your setup definition here</t>
  </si>
  <si>
    <t>OVERALL TRADE STATISTICS</t>
  </si>
  <si>
    <t>archieve</t>
  </si>
  <si>
    <t xml:space="preserve">      OVERALL PROFIT/LOSS</t>
  </si>
  <si>
    <t>EXPECTANCY</t>
  </si>
  <si>
    <t>Rocketsheets</t>
  </si>
  <si>
    <t>Equity% to risk per trade (1R):</t>
  </si>
  <si>
    <t>Value At Risk per trade (VAR):</t>
  </si>
  <si>
    <t xml:space="preserve">    TOP 5 STOCK POSITION BY ALLOCATION</t>
  </si>
  <si>
    <t>ñ</t>
  </si>
  <si>
    <t>YL</t>
  </si>
  <si>
    <t>MDY</t>
  </si>
  <si>
    <t>DMY</t>
  </si>
  <si>
    <t>YMD</t>
  </si>
  <si>
    <t>m</t>
  </si>
  <si>
    <t>d</t>
  </si>
  <si>
    <t>y</t>
  </si>
  <si>
    <t xml:space="preserve">   Last No.of Trades</t>
  </si>
  <si>
    <t>trade count</t>
  </si>
  <si>
    <t>ave.profit</t>
  </si>
  <si>
    <t>ave.loss</t>
  </si>
  <si>
    <t>cum profit per trade</t>
  </si>
  <si>
    <t>position</t>
  </si>
  <si>
    <t>win</t>
  </si>
  <si>
    <t>profit with count stats settings</t>
  </si>
  <si>
    <t>symbol no.</t>
  </si>
  <si>
    <t>profit %</t>
  </si>
  <si>
    <t>performance%</t>
  </si>
  <si>
    <t>helper,tick change</t>
  </si>
  <si>
    <t>sort latest to old</t>
  </si>
  <si>
    <t>Curve chart</t>
  </si>
  <si>
    <t>stock name list limit</t>
  </si>
  <si>
    <t>gross Amount</t>
  </si>
  <si>
    <t>cum.buy amount</t>
  </si>
  <si>
    <t>risk %</t>
  </si>
  <si>
    <t>var</t>
  </si>
  <si>
    <t>amount loss</t>
  </si>
  <si>
    <t>total names</t>
  </si>
  <si>
    <t>weekly chart axis</t>
  </si>
  <si>
    <t>OPEN POSITION</t>
  </si>
  <si>
    <t>current date</t>
  </si>
  <si>
    <t>currency format</t>
  </si>
  <si>
    <t>row no.</t>
  </si>
  <si>
    <t>stats settings</t>
  </si>
  <si>
    <t xml:space="preserve">   W/L Count:</t>
  </si>
  <si>
    <t>SCORE</t>
  </si>
  <si>
    <t>winrate</t>
  </si>
  <si>
    <t>all trades</t>
  </si>
  <si>
    <t>losss</t>
  </si>
  <si>
    <t>expectancy</t>
  </si>
  <si>
    <t>sorted expectancy</t>
  </si>
  <si>
    <t>match</t>
  </si>
  <si>
    <t>No setup</t>
  </si>
  <si>
    <t>setup</t>
  </si>
  <si>
    <t>Profit Ratio</t>
  </si>
  <si>
    <t>PROFIT RATIO</t>
  </si>
  <si>
    <t>All Trades</t>
  </si>
  <si>
    <t>entry exit</t>
  </si>
  <si>
    <t>emotion</t>
  </si>
  <si>
    <t>NOTE DEFAULT SETTINGS</t>
  </si>
  <si>
    <t>sorted note</t>
  </si>
  <si>
    <t>sorted score</t>
  </si>
  <si>
    <t>emo</t>
  </si>
  <si>
    <t>ee</t>
  </si>
  <si>
    <t>emo match</t>
  </si>
  <si>
    <t>ee match</t>
  </si>
  <si>
    <t>p&amp;L</t>
  </si>
  <si>
    <t>TREND</t>
  </si>
  <si>
    <t xml:space="preserve"> LOG SETTINGS</t>
  </si>
  <si>
    <t>Time-stop</t>
  </si>
  <si>
    <t>Breakout entry Hit</t>
  </si>
  <si>
    <t>BO+Volume+RSI</t>
  </si>
  <si>
    <t>Tranche Buy</t>
  </si>
  <si>
    <t>Lock in Profit</t>
  </si>
  <si>
    <t>Rows to Add:</t>
  </si>
  <si>
    <t>Retain Formula</t>
  </si>
  <si>
    <t>uniq</t>
  </si>
  <si>
    <t>sort</t>
  </si>
  <si>
    <t>DATE RECEIVED</t>
  </si>
  <si>
    <t>AMOUNT RECEIVED</t>
  </si>
  <si>
    <t>Total</t>
  </si>
  <si>
    <t>COUNT</t>
  </si>
  <si>
    <t>TOTAL AMOUNT</t>
  </si>
  <si>
    <t>back</t>
  </si>
  <si>
    <t>forward</t>
  </si>
  <si>
    <t>note drop down</t>
  </si>
  <si>
    <t>Chart MA</t>
  </si>
  <si>
    <t xml:space="preserve">  Stock Trading Journal Copyright © 2016, rocketsheets.com. All Rights Reserved.</t>
  </si>
  <si>
    <t>max axis</t>
  </si>
  <si>
    <t>min axis</t>
  </si>
  <si>
    <t>transfers</t>
  </si>
  <si>
    <t>chart x max</t>
  </si>
  <si>
    <t>chart x min</t>
  </si>
  <si>
    <t>x</t>
  </si>
  <si>
    <t>max formula retained</t>
  </si>
  <si>
    <t>minformula retained</t>
  </si>
  <si>
    <t>DAYS</t>
  </si>
  <si>
    <t>UNI COUNT</t>
  </si>
  <si>
    <t>Column7</t>
  </si>
  <si>
    <t>Column8</t>
  </si>
  <si>
    <t>trade code</t>
  </si>
  <si>
    <t>days</t>
  </si>
  <si>
    <t>DAYS HOLD</t>
  </si>
  <si>
    <t>RETRIEVE</t>
  </si>
  <si>
    <t>STOCK</t>
  </si>
  <si>
    <t>MV</t>
  </si>
  <si>
    <t xml:space="preserve">   Currency Symbol : </t>
  </si>
  <si>
    <t xml:space="preserve">   Preview :</t>
  </si>
  <si>
    <t>Stop Loss</t>
  </si>
  <si>
    <t>Target Price</t>
  </si>
  <si>
    <t>O.WRITE FEES</t>
  </si>
  <si>
    <t>PREVIOUS CUMULATIVE</t>
  </si>
  <si>
    <t>THIS PERIOD</t>
  </si>
  <si>
    <t>CUMULATIVE</t>
  </si>
  <si>
    <t>Total Equities Gain/Loss% :</t>
  </si>
  <si>
    <t xml:space="preserve">   SL &amp; TP CALCULATOR          </t>
  </si>
  <si>
    <t>Stock ID</t>
  </si>
  <si>
    <t>Setup</t>
  </si>
  <si>
    <t>Execution</t>
  </si>
  <si>
    <t>Emotion</t>
  </si>
  <si>
    <t>theme</t>
  </si>
  <si>
    <t>count</t>
  </si>
  <si>
    <t>id</t>
  </si>
  <si>
    <t>WIN</t>
  </si>
  <si>
    <t>RATE</t>
  </si>
  <si>
    <t>Trades (Win%)</t>
  </si>
  <si>
    <t xml:space="preserve">          Realized Loss</t>
  </si>
  <si>
    <t xml:space="preserve">          Realized Profit</t>
  </si>
  <si>
    <t xml:space="preserve">          Cash Dividend</t>
  </si>
  <si>
    <t xml:space="preserve">          Realized P&amp;L</t>
  </si>
  <si>
    <t>Profit</t>
  </si>
  <si>
    <t>Profit %</t>
  </si>
  <si>
    <t xml:space="preserve">   No.of Trades</t>
  </si>
  <si>
    <t xml:space="preserve">   Y Axis Gap:</t>
  </si>
  <si>
    <t xml:space="preserve">    TRADE STATISTICS</t>
  </si>
  <si>
    <t>Windows (32-bit) NT 10.00</t>
  </si>
  <si>
    <t xml:space="preserve">   </t>
  </si>
  <si>
    <t>D:\00-SPREADSHEET\00- LOGO\RocketSheets\2021\rocketsheets-LOGO.png</t>
  </si>
  <si>
    <t>rng</t>
  </si>
  <si>
    <t>rng3</t>
  </si>
  <si>
    <t xml:space="preserve">    Copyright © 2016, rocketsheets.com. All Rights Reserved.</t>
  </si>
  <si>
    <t>Licensed to:</t>
  </si>
  <si>
    <t>year</t>
  </si>
  <si>
    <t>month</t>
  </si>
  <si>
    <t>Column1</t>
  </si>
  <si>
    <t>Column2</t>
  </si>
  <si>
    <t>Column3</t>
  </si>
  <si>
    <t>Column4</t>
  </si>
  <si>
    <t>Column5</t>
  </si>
  <si>
    <t>Column6</t>
  </si>
  <si>
    <t>WLCON</t>
  </si>
  <si>
    <t>CHP</t>
  </si>
  <si>
    <t>TUGS</t>
  </si>
  <si>
    <t>PXP</t>
  </si>
  <si>
    <t>MAC</t>
  </si>
  <si>
    <t>APX</t>
  </si>
  <si>
    <t>IMI</t>
  </si>
  <si>
    <t>MEG</t>
  </si>
  <si>
    <t>MRP</t>
  </si>
  <si>
    <t>EDC</t>
  </si>
  <si>
    <t>EW</t>
  </si>
  <si>
    <t>JGS</t>
  </si>
  <si>
    <t>BCOR</t>
  </si>
  <si>
    <t>SMPH</t>
  </si>
  <si>
    <t xml:space="preserve">      Month</t>
  </si>
  <si>
    <t xml:space="preserve">      Year</t>
  </si>
  <si>
    <t xml:space="preserve">      Select a Month &amp; Year:</t>
  </si>
  <si>
    <t>Paste the Activation Code below to proceed:</t>
  </si>
  <si>
    <t>Enter your prefer Name (This will be displayed in the file interface)</t>
  </si>
  <si>
    <t>Name</t>
  </si>
  <si>
    <t>namecode</t>
  </si>
  <si>
    <t>name</t>
  </si>
  <si>
    <t>ID</t>
  </si>
  <si>
    <t>Inputs</t>
  </si>
  <si>
    <t>CODE2</t>
  </si>
  <si>
    <t>Starting Month</t>
  </si>
  <si>
    <t>Year</t>
  </si>
  <si>
    <t>SUN</t>
  </si>
  <si>
    <t>MON</t>
  </si>
  <si>
    <t>TUE</t>
  </si>
  <si>
    <t>WED</t>
  </si>
  <si>
    <t>THU</t>
  </si>
  <si>
    <t>FRI</t>
  </si>
  <si>
    <t>SAT</t>
  </si>
  <si>
    <t>September</t>
  </si>
  <si>
    <t xml:space="preserve">    PROFILE SETTINGS</t>
  </si>
  <si>
    <t>next to last</t>
  </si>
  <si>
    <t>las row</t>
  </si>
  <si>
    <t>add row</t>
  </si>
  <si>
    <t>last data</t>
  </si>
  <si>
    <t>NET LOSS</t>
  </si>
  <si>
    <t>Open position amount</t>
  </si>
  <si>
    <t>pnl</t>
  </si>
  <si>
    <t>unique</t>
  </si>
  <si>
    <t>execution</t>
  </si>
  <si>
    <t>P.FACTOR</t>
  </si>
  <si>
    <t>TOP SYMBOL</t>
  </si>
  <si>
    <t>WORST SYMBOL</t>
  </si>
  <si>
    <t>PROFIT FACTOR</t>
  </si>
  <si>
    <t>ave.profitxwin%</t>
  </si>
  <si>
    <t>profit factor</t>
  </si>
  <si>
    <t>WIN RATE %</t>
  </si>
  <si>
    <t>Profitable</t>
  </si>
  <si>
    <t>Non-Profitable</t>
  </si>
  <si>
    <t xml:space="preserve">     TOP 3 CUMULATIVE P&amp;L PER SYMBOL</t>
  </si>
  <si>
    <t>Ave.Win%</t>
  </si>
  <si>
    <t>Ave.Loss%</t>
  </si>
  <si>
    <t>P/L Ratio</t>
  </si>
  <si>
    <t>win rate%</t>
  </si>
  <si>
    <t>loss rate%</t>
  </si>
  <si>
    <t>profit rate%</t>
  </si>
  <si>
    <t>Loss rate%</t>
  </si>
  <si>
    <t>ave win%</t>
  </si>
  <si>
    <t>ave. loss%</t>
  </si>
  <si>
    <t>Win Rate%:</t>
  </si>
  <si>
    <t>Loss Rate%:</t>
  </si>
  <si>
    <t>Expectancy per trade:</t>
  </si>
  <si>
    <t xml:space="preserve">     RISK MULTIPLE</t>
  </si>
  <si>
    <t>R-Expectancy Per Trade :</t>
  </si>
  <si>
    <t>R-Profit Factor:</t>
  </si>
  <si>
    <t>R-Risk Reward Ratio:</t>
  </si>
  <si>
    <t>On Winners</t>
  </si>
  <si>
    <t>Overall</t>
  </si>
  <si>
    <t xml:space="preserve">     OTHER STATISTICS</t>
  </si>
  <si>
    <t>On Losers</t>
  </si>
  <si>
    <t>Ave. Allocation</t>
  </si>
  <si>
    <t>Ave. Duration</t>
  </si>
  <si>
    <t xml:space="preserve">     TRADE STATISTICS</t>
  </si>
  <si>
    <t>Remarks</t>
  </si>
  <si>
    <t>All Trades Stats</t>
  </si>
  <si>
    <t>Metrics</t>
  </si>
  <si>
    <t>Change %</t>
  </si>
  <si>
    <t>total % gain</t>
  </si>
  <si>
    <t>ave.gain</t>
  </si>
  <si>
    <t>weighted return</t>
  </si>
  <si>
    <t>Max equity</t>
  </si>
  <si>
    <t xml:space="preserve">      BEG. BALANCE</t>
  </si>
  <si>
    <t xml:space="preserve">                      NET PROFIT &amp; DIVIDEND</t>
  </si>
  <si>
    <t xml:space="preserve">      WITHDRAWALS</t>
  </si>
  <si>
    <t xml:space="preserve">   END BALANCE</t>
  </si>
  <si>
    <t xml:space="preserve">     CASH BALANCE</t>
  </si>
  <si>
    <t>ave.win</t>
  </si>
  <si>
    <t>breakeven</t>
  </si>
  <si>
    <t>win%</t>
  </si>
  <si>
    <t>All trades</t>
  </si>
  <si>
    <t xml:space="preserve">    SUMMARY</t>
  </si>
  <si>
    <t>irc</t>
  </si>
  <si>
    <t>ave.duration</t>
  </si>
  <si>
    <t>ave.allocation</t>
  </si>
  <si>
    <t>Average Days</t>
  </si>
  <si>
    <t>Average Allocation</t>
  </si>
  <si>
    <t>Average Win%</t>
  </si>
  <si>
    <t>Average Loss %</t>
  </si>
  <si>
    <t>ave loss%</t>
  </si>
  <si>
    <t>Most Trades</t>
  </si>
  <si>
    <t>Top Symbol</t>
  </si>
  <si>
    <t>Bottom Symbol</t>
  </si>
  <si>
    <t>filter</t>
  </si>
  <si>
    <t>Win Rate %</t>
  </si>
  <si>
    <t>Best Case Scenario</t>
  </si>
  <si>
    <t>Worst Case Scenario</t>
  </si>
  <si>
    <t xml:space="preserve">           Total Deposits</t>
  </si>
  <si>
    <t xml:space="preserve">           Total Withdrawals</t>
  </si>
  <si>
    <t xml:space="preserve">           Dividend</t>
  </si>
  <si>
    <t xml:space="preserve">           Total Profit/Loss:</t>
  </si>
  <si>
    <t xml:space="preserve">           Total Equity: </t>
  </si>
  <si>
    <t>winrate% BE</t>
  </si>
  <si>
    <t>2x win</t>
  </si>
  <si>
    <t>Reward to Risk Ratio</t>
  </si>
  <si>
    <t>Profit Loss (Edge) Ratio</t>
  </si>
  <si>
    <t>Profit Factor</t>
  </si>
  <si>
    <t>selection</t>
  </si>
  <si>
    <t xml:space="preserve">     REQUIRED WIN RATE</t>
  </si>
  <si>
    <t>Php</t>
  </si>
  <si>
    <t xml:space="preserve">   DISTRIBUTION CHART SETTINGS</t>
  </si>
  <si>
    <t xml:space="preserve">    Interval %:</t>
  </si>
  <si>
    <t xml:space="preserve">  REPORT DATE SETTINGS</t>
  </si>
  <si>
    <t xml:space="preserve">   Report Date:</t>
  </si>
  <si>
    <t>log</t>
  </si>
  <si>
    <t>div&amp;dep</t>
  </si>
  <si>
    <t>STJ-Ver.10</t>
  </si>
  <si>
    <t>System Requirements: MS Excel</t>
  </si>
  <si>
    <t>Recommended: At least Excel 2010</t>
  </si>
  <si>
    <t>Excel 365 autosave should be turned-off</t>
  </si>
  <si>
    <t>Its recommended to save the file in folder that are not linked to Onedrive.</t>
  </si>
  <si>
    <t>Enabling Macros in Excel for Mac:</t>
  </si>
  <si>
    <t>1. Open Excel on your Mac.</t>
  </si>
  <si>
    <t>2. Click on "Excel" in the menu bar at the top of the screen.</t>
  </si>
  <si>
    <t>3. Select "Preferences" from the drop-down menu.</t>
  </si>
  <si>
    <t>4. In the Preferences window, click on "Security &amp; Privacy" in the "Authoring" section.</t>
  </si>
  <si>
    <t>5. Check the box next to "Enable all macros under the "Macro Security" section.</t>
  </si>
  <si>
    <t>6. Close the Preferences window and restart Excel.</t>
  </si>
  <si>
    <t>Enabling Macros in Excel for Windows:</t>
  </si>
  <si>
    <t>1. Open Excel on your Windows computer.</t>
  </si>
  <si>
    <t>2. Click on the "File" tab in the ribbon at the top of the screen.</t>
  </si>
  <si>
    <t>3. Click on "Options" in the left-hand menu.</t>
  </si>
  <si>
    <t>4. In the Excel Options window, click on "Trust Center" in the left-hand menu.</t>
  </si>
  <si>
    <t>5. Click on the "Trust Center Settings" button.</t>
  </si>
  <si>
    <t>6. In the Trust Center window, click on "Macro Settings" in the left-hand menu.</t>
  </si>
  <si>
    <t>7. Check the box next to "Enable all macros under the "Macro Settings" section.</t>
  </si>
  <si>
    <t>8. Click the "OK" button and save your changes.</t>
  </si>
  <si>
    <t>9. Close the Excel Options window and restart Excel.</t>
  </si>
  <si>
    <t>If Macro is blocked and the above did not work, Here's a step-by-step guide on how to add a trusted location in Excel for both Mac and Windows:</t>
  </si>
  <si>
    <t>For Excel on Windows:</t>
  </si>
  <si>
    <t>1. Open Excel and click on "File" in the top-left corner of the screen.</t>
  </si>
  <si>
    <t>2. Select "Options" from the menu that appears.</t>
  </si>
  <si>
    <t>3. In the Excel Options window, click on "Trust Center" on the left-hand side.</t>
  </si>
  <si>
    <t>4. Click on the "Trust Center Settings" button.</t>
  </si>
  <si>
    <t>5. In the Trust Center window, click on "Trusted Locations" on the left-hand side.</t>
  </si>
  <si>
    <t>6. You can now view the trusted location on your computer, you can either put the excel file in an existing location or add a new location.</t>
  </si>
  <si>
    <t>7. Click on the "Add new location" button.</t>
  </si>
  <si>
    <t>8. Browse to the folder that you want to add as a trusted location.</t>
  </si>
  <si>
    <t>9. Click "OK" to add the folder to the list of trusted locations.</t>
  </si>
  <si>
    <t>10. Click "OK" again to close the Trust Center window.</t>
  </si>
  <si>
    <t>11. Click "OK" once more to close the Excel Options window.</t>
  </si>
  <si>
    <t>For Excel on Mac:</t>
  </si>
  <si>
    <t>1. Open Excel and click on "Excel" in the top-left corner of the screen.</t>
  </si>
  <si>
    <t>2. Select "Preferences" from the menu that appears.</t>
  </si>
  <si>
    <t>3. In the Excel Preferences window, click on "Security &amp; Privacy" on the left-hand side.</t>
  </si>
  <si>
    <t>4. Under the "Macro Security" section, select "Enable all macros" or "Enable macros for all workbooks" (depending on your preference).</t>
  </si>
  <si>
    <t>5. You can now view the trusted location on your computer, you can either put the excel file in an existing location or add a new location.</t>
  </si>
  <si>
    <t>6. Click on "Add Folder" under the "Trusted Locations" section.</t>
  </si>
  <si>
    <t>7. Browse to the folder that you want to add as a trusted location.</t>
  </si>
  <si>
    <t>8. Click "Choose" to add the folder to the list of trusted locations.</t>
  </si>
  <si>
    <t>9. Close the Excel Preferences window.</t>
  </si>
  <si>
    <t>Once you've added a folder as a trusted location, any files that are located in that folder should be able to run macros without triggering any security warnings or errors.</t>
  </si>
  <si>
    <t>Last Trade Data</t>
  </si>
  <si>
    <t>Per Tranche</t>
  </si>
  <si>
    <t xml:space="preserve">  PERFORMANCE CHART SETTINGS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</si>
</sst>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6">
    <numFmt numFmtId="44" formatCode="_(&quot;$&quot;* #,##0.00_);_(&quot;$&quot;* \(#,##0.00\);_(&quot;$&quot;* &quot;-&quot;??_);_(@_)"/>
    <numFmt numFmtId="43" formatCode="_(* #,##0.00_);_(* \(#,##0.00\);_(* &quot;-&quot;??_);_(@_)"/>
    <numFmt numFmtId="164" formatCode="_(* #,##0.0000_);_(* \(#,##0.0000\);_(* &quot;-&quot;??_);_(@_)"/>
    <numFmt numFmtId="165" formatCode="_(* #,##0.000_);_(* \(#,##0.000\);_(* &quot;-&quot;??_);_(@_)"/>
    <numFmt numFmtId="166" formatCode="_([$PHP]\ * #,##0.00_);_([$PHP]\ * \(#,##0.00\);_([$PHP]\ * &quot;-&quot;??_);_(@_)"/>
    <numFmt numFmtId="167" formatCode="#,##0.000"/>
    <numFmt numFmtId="168" formatCode="0.000"/>
    <numFmt numFmtId="169" formatCode="0.0&quot; : 1&quot;"/>
    <numFmt numFmtId="170" formatCode="#,##0.0"/>
    <numFmt numFmtId="171" formatCode="0.0%"/>
    <numFmt numFmtId="172" formatCode="mm\-yyyy"/>
    <numFmt numFmtId="173" formatCode="_(* #,##0_);_(* \(#,##0\);_(* &quot;-&quot;??_);_(@_)"/>
    <numFmt numFmtId="174" formatCode="[$-F800]dddd\,\ mmmm\ dd\,\ yyyy"/>
    <numFmt numFmtId="175" formatCode="#,##0.00000_);\(#,##0.00000\)"/>
    <numFmt numFmtId="176" formatCode="#,##0.0_);\(#,##0.0\)"/>
    <numFmt numFmtId="177" formatCode="0.00&quot;R&quot;"/>
    <numFmt numFmtId="178" formatCode="#,##0.0000_);\(#,##0.0000\)"/>
    <numFmt numFmtId="179" formatCode="0.00\ &quot;days&quot;"/>
    <numFmt numFmtId="180" formatCode="0.0&quot; R&quot;"/>
    <numFmt numFmtId="181" formatCode="0.00&quot; R&quot;"/>
    <numFmt numFmtId="182" formatCode="0\ &quot;d&quot;"/>
    <numFmt numFmtId="183" formatCode="_-[$₱-464]* #,##0.00_-;\-[$₱-464]* #,##0.00_-;_-[$₱-464]* &quot;-&quot;??_-;_-@_-"/>
    <numFmt numFmtId="184" formatCode="&quot;▲ &quot;* 0.00%\ \ ;&quot;▼ &quot;* \-0.00%\ \ ;;"/>
    <numFmt numFmtId="185" formatCode="0.00&quot; R  &quot;"/>
    <numFmt numFmtId="186" formatCode="0.00%\ \ "/>
    <numFmt numFmtId="187" formatCode="0.00\ \ "/>
    <numFmt numFmtId="188" formatCode="_(* #,##0_);_(* \-#,##0\ ;_(* &quot;-&quot;??_);_(@_)"/>
    <numFmt numFmtId="189" formatCode="_(* #,##0.00_);_(* \(#,##0.00\);_(* &quot;&quot;??_)"/>
    <numFmt numFmtId="190" formatCode="_(* #,##0.0000_);_(* \(#,##0.0000\);_(* &quot;&quot;??_)"/>
    <numFmt numFmtId="191" formatCode="0\ &quot;Trades&quot;"/>
    <numFmt numFmtId="192" formatCode="_(* #,##0.00_);_(* \(#,##0.00\);_(* &quot;&quot;??_);_(@_)"/>
    <numFmt numFmtId="193" formatCode="_(* #,##0.00_);_(* \-#,##0.00;_(* &quot;-&quot;??_);_(@_)"/>
    <numFmt numFmtId="194" formatCode="[$-409]d\-mmm;@"/>
    <numFmt numFmtId="195" formatCode="[$P]* #,##0.00_);[$P]* \-#,##0.00_);[$P]\ * &quot;-&quot;??_);_(@_)"/>
    <numFmt numFmtId="196" formatCode="[$₱]* #,##0.00_);[$₱]* \-#,##0.00_);[$₱]\ * &quot;-&quot;??_);_(@_)"/>
    <numFmt numFmtId="197" formatCode="_(* #,##0.00\ \ \ \ _);_(* \-#,##0.00\ \ \ \ \ ;_(* &quot;-&quot;??_);_(@_)"/>
    <numFmt numFmtId="198" formatCode="##\ &quot;Rows&quot;"/>
    <numFmt numFmtId="199" formatCode="0.00\ \ &quot;: 1&quot;\ "/>
    <numFmt numFmtId="200" formatCode="&quot;▲ &quot;\ 0.00%\ \ ;&quot;▼ &quot;\ \-0.00%\ \ ;;"/>
    <numFmt numFmtId="201" formatCode="[$$]* #,##0.00_);[$$]* \-#,##0.00_);[$$]\ * &quot;-&quot;??_);_(@_)"/>
    <numFmt numFmtId="202" formatCode="0.0"/>
    <numFmt numFmtId="203" formatCode="ddd\,\ mmm\ dd\,\ yyyy"/>
    <numFmt numFmtId="204" formatCode="[$Php]* #,##0.00_);[$Php]* \-#,##0.00_);[$Php]\ * &quot;-&quot;??_);_(@_)"/>
    <numFmt numFmtId="205" formatCode="_(* #,##0.0_);_(* \(#,##0.0\);_(* &quot;-&quot;??_);_(@_)"/>
    <numFmt numFmtId="206" formatCode="mmmm\ yyyy"/>
    <numFmt numFmtId="207" formatCode="dd"/>
    <numFmt numFmtId="208" formatCode="[$$]\ #,##0.0_);[$$]\ \-#,##0.0_);[$$]\ &quot;-&quot;??_);_(@_)"/>
    <numFmt numFmtId="209" formatCode="##\ &quot;Trade(s)&quot;"/>
    <numFmt numFmtId="210" formatCode="[$₱]* #,##0.0_);[$₱]* \-#,##0.0_);[$₱]\ * &quot;-&quot;??_);_(@_)"/>
    <numFmt numFmtId="211" formatCode="0.00\ &quot;d  &quot;"/>
    <numFmt numFmtId="212" formatCode="&quot;Improving ▲ &quot;;&quot;Declining ▼ &quot;;"/>
    <numFmt numFmtId="213" formatCode="&quot;Improved ▲ &quot;;&quot;Declined ▼ &quot;;"/>
    <numFmt numFmtId="214" formatCode="[$$]\ #,##0.00_);[$$]\ \-#,##0.00_);[$$]\ &quot;-&quot;??_);_(@_)"/>
    <numFmt numFmtId="215" formatCode="[$Php]\ #,##0.00_);[$Php]\ \-#,##0.00_);[$Php]\ &quot;-&quot;??_);_(@_)"/>
    <numFmt numFmtId="216" formatCode="[$Php]* #,##0_);[$Php]* \-#,##0_);[$Php]\ * &quot;-&quot;??_);_(@_)"/>
    <numFmt numFmtId="217" formatCode="_(* #,##0.000000_);_(* \(#,##0.000000\);_(* &quot;-&quot;??_);_(@_)"/>
  </numFmts>
  <fonts count="334">
    <font>
      <sz val="11"/>
      <color theme="1"/>
      <name val="Calibri"/>
      <family val="2"/>
      <scheme val="minor"/>
    </font>
    <font>
      <sz val="11"/>
      <color theme="1"/>
      <name val="Calibri"/>
      <family val="2"/>
      <scheme val="minor"/>
    </font>
    <font>
      <sz val="11"/>
      <color theme="1"/>
      <name val="Century Gothic"/>
      <family val="2"/>
    </font>
    <font>
      <sz val="10"/>
      <name val="Arial"/>
      <family val="2"/>
    </font>
    <font>
      <sz val="10"/>
      <color theme="1" tint="0.34998626667073579"/>
      <name val="Century Gothic"/>
      <family val="2"/>
    </font>
    <font>
      <sz val="10"/>
      <name val="Arial"/>
      <family val="2"/>
    </font>
    <font>
      <sz val="10"/>
      <name val="Century Gothic"/>
      <family val="2"/>
    </font>
    <font>
      <b/>
      <sz val="11"/>
      <color theme="0"/>
      <name val="Century Gothic"/>
      <family val="2"/>
    </font>
    <font>
      <sz val="8"/>
      <color theme="1" tint="0.34998626667073579"/>
      <name val="Century Gothic"/>
      <family val="2"/>
    </font>
    <font>
      <sz val="9"/>
      <color theme="1" tint="0.249977111117893"/>
      <name val="Century Gothic"/>
      <family val="2"/>
    </font>
    <font>
      <u/>
      <sz val="10"/>
      <color theme="10"/>
      <name val="Arial"/>
      <family val="2"/>
    </font>
    <font>
      <sz val="8"/>
      <color theme="1" tint="0.499984740745262"/>
      <name val="Century Gothic"/>
      <family val="2"/>
    </font>
    <font>
      <b/>
      <sz val="8"/>
      <color theme="0" tint="-4.9989318521683403E-2"/>
      <name val="Century Gothic"/>
      <family val="2"/>
    </font>
    <font>
      <sz val="8"/>
      <color theme="6" tint="0.39997558519241921"/>
      <name val="Arial Unicode MS"/>
      <family val="2"/>
    </font>
    <font>
      <b/>
      <i/>
      <sz val="8"/>
      <color rgb="FF00B050"/>
      <name val="Century Gothic"/>
      <family val="2"/>
    </font>
    <font>
      <sz val="8"/>
      <color rgb="FFFFC000"/>
      <name val="Courier New"/>
      <family val="3"/>
    </font>
    <font>
      <sz val="8"/>
      <color theme="0" tint="-0.249977111117893"/>
      <name val="Courier New"/>
      <family val="3"/>
    </font>
    <font>
      <b/>
      <i/>
      <sz val="10"/>
      <color theme="1" tint="0.34998626667073579"/>
      <name val="Century Gothic"/>
      <family val="2"/>
    </font>
    <font>
      <sz val="10"/>
      <color theme="0" tint="-0.14999847407452621"/>
      <name val="Century Gothic"/>
      <family val="2"/>
    </font>
    <font>
      <sz val="9"/>
      <color theme="0" tint="-0.249977111117893"/>
      <name val="Century Gothic"/>
      <family val="2"/>
    </font>
    <font>
      <b/>
      <sz val="9"/>
      <color theme="1" tint="0.499984740745262"/>
      <name val="Century Gothic"/>
      <family val="2"/>
    </font>
    <font>
      <sz val="10"/>
      <color theme="2"/>
      <name val="Arial"/>
      <family val="2"/>
    </font>
    <font>
      <sz val="8"/>
      <color rgb="FF757574"/>
      <name val="Century Gothic"/>
      <family val="2"/>
    </font>
    <font>
      <sz val="8"/>
      <color theme="5"/>
      <name val="Arial"/>
      <family val="2"/>
    </font>
    <font>
      <b/>
      <sz val="10"/>
      <color theme="0" tint="-4.9989318521683403E-2"/>
      <name val="Century Gothic"/>
      <family val="2"/>
    </font>
    <font>
      <sz val="9"/>
      <name val="Arial"/>
      <family val="2"/>
    </font>
    <font>
      <sz val="10"/>
      <color theme="1" tint="0.34998626667073579"/>
      <name val="Century Gothic"/>
      <family val="2"/>
    </font>
    <font>
      <b/>
      <sz val="8"/>
      <color theme="1" tint="0.499984740745262"/>
      <name val="Century Gothic"/>
      <family val="2"/>
    </font>
    <font>
      <i/>
      <sz val="9"/>
      <color theme="1" tint="0.499984740745262"/>
      <name val="Calibri"/>
      <family val="2"/>
    </font>
    <font>
      <sz val="10"/>
      <color theme="1" tint="0.34998626667073579"/>
      <name val="Century Gothic"/>
      <family val="2"/>
    </font>
    <font>
      <sz val="10"/>
      <name val="Century Gothic"/>
      <family val="2"/>
    </font>
    <font>
      <b/>
      <sz val="11"/>
      <color theme="0"/>
      <name val="Century Gothic"/>
      <family val="2"/>
    </font>
    <font>
      <sz val="9"/>
      <color theme="0" tint="-0.34998626667073579"/>
      <name val="Century Gothic"/>
      <family val="2"/>
    </font>
    <font>
      <sz val="8"/>
      <color theme="1" tint="0.34998626667073579"/>
      <name val="Century Gothic"/>
      <family val="2"/>
    </font>
    <font>
      <sz val="9"/>
      <color theme="1" tint="0.34998626667073579"/>
      <name val="Century Gothic"/>
      <family val="2"/>
    </font>
    <font>
      <sz val="9"/>
      <color rgb="FF00B050"/>
      <name val="Century Gothic"/>
      <family val="2"/>
    </font>
    <font>
      <sz val="9"/>
      <color rgb="FFC00000"/>
      <name val="Century Gothic"/>
      <family val="2"/>
    </font>
    <font>
      <b/>
      <sz val="10"/>
      <color theme="1" tint="0.34998626667073579"/>
      <name val="Century Gothic"/>
      <family val="2"/>
    </font>
    <font>
      <b/>
      <sz val="10"/>
      <color theme="8"/>
      <name val="Century Gothic"/>
      <family val="2"/>
    </font>
    <font>
      <b/>
      <sz val="10"/>
      <color theme="5"/>
      <name val="Century Gothic"/>
      <family val="2"/>
    </font>
    <font>
      <sz val="8"/>
      <color theme="1" tint="0.499984740745262"/>
      <name val="Century Gothic"/>
      <family val="2"/>
    </font>
    <font>
      <sz val="11"/>
      <color theme="1"/>
      <name val="Calibri"/>
      <family val="2"/>
      <scheme val="minor"/>
    </font>
    <font>
      <b/>
      <sz val="10"/>
      <color theme="0" tint="-0.14999847407452621"/>
      <name val="Century Gothic"/>
      <family val="2"/>
    </font>
    <font>
      <b/>
      <i/>
      <sz val="10"/>
      <color theme="0" tint="-0.14999847407452621"/>
      <name val="Century Gothic"/>
      <family val="2"/>
    </font>
    <font>
      <sz val="8"/>
      <color theme="0" tint="-0.14999847407452621"/>
      <name val="Century Gothic"/>
      <family val="2"/>
    </font>
    <font>
      <sz val="8"/>
      <color theme="0" tint="-0.499984740745262"/>
      <name val="Century Gothic"/>
      <family val="2"/>
    </font>
    <font>
      <sz val="10"/>
      <color rgb="FF2B2B2B"/>
      <name val="Arial"/>
      <family val="2"/>
    </font>
    <font>
      <b/>
      <sz val="11"/>
      <color theme="1" tint="0.34998626667073579"/>
      <name val="Century Gothic"/>
      <family val="2"/>
    </font>
    <font>
      <b/>
      <sz val="11"/>
      <color theme="0" tint="-0.14999847407452621"/>
      <name val="Century Gothic"/>
      <family val="2"/>
    </font>
    <font>
      <b/>
      <sz val="26"/>
      <color theme="1" tint="0.34998626667073579"/>
      <name val="Century Gothic"/>
      <family val="2"/>
    </font>
    <font>
      <i/>
      <sz val="10"/>
      <color theme="1" tint="0.34998626667073579"/>
      <name val="Calibri"/>
      <family val="2"/>
      <scheme val="minor"/>
    </font>
    <font>
      <b/>
      <sz val="14"/>
      <color theme="1" tint="0.499984740745262"/>
      <name val="Century Gothic"/>
      <family val="2"/>
    </font>
    <font>
      <b/>
      <sz val="12"/>
      <color theme="1" tint="0.499984740745262"/>
      <name val="Century Gothic"/>
      <family val="2"/>
    </font>
    <font>
      <i/>
      <sz val="12"/>
      <color theme="1" tint="0.34998626667073579"/>
      <name val="Calibri"/>
      <family val="2"/>
      <scheme val="minor"/>
    </font>
    <font>
      <b/>
      <sz val="18"/>
      <color rgb="FFFF0000"/>
      <name val="Century Gothic"/>
      <family val="2"/>
    </font>
    <font>
      <sz val="11"/>
      <color theme="0" tint="-4.9989318521683403E-2"/>
      <name val="Century Gothic"/>
      <family val="2"/>
    </font>
    <font>
      <b/>
      <sz val="14"/>
      <color theme="1" tint="0.34998626667073579"/>
      <name val="Century Gothic"/>
      <family val="2"/>
    </font>
    <font>
      <i/>
      <sz val="11"/>
      <color theme="1"/>
      <name val="Century Gothic"/>
      <family val="2"/>
    </font>
    <font>
      <b/>
      <sz val="12"/>
      <color theme="1" tint="0.34998626667073579"/>
      <name val="Century Gothic"/>
      <family val="2"/>
    </font>
    <font>
      <sz val="11"/>
      <color theme="0" tint="-0.249977111117893"/>
      <name val="Century Gothic"/>
      <family val="2"/>
    </font>
    <font>
      <sz val="10"/>
      <color theme="0"/>
      <name val="Century Gothic"/>
      <family val="2"/>
    </font>
    <font>
      <b/>
      <i/>
      <sz val="8"/>
      <color theme="0"/>
      <name val="Century Gothic"/>
      <family val="2"/>
    </font>
    <font>
      <sz val="8"/>
      <color theme="0"/>
      <name val="Courier New"/>
      <family val="3"/>
    </font>
    <font>
      <sz val="8"/>
      <color theme="0" tint="-0.249977111117893"/>
      <name val="Century Gothic"/>
      <family val="2"/>
    </font>
    <font>
      <u/>
      <sz val="11"/>
      <color theme="10"/>
      <name val="Calibri"/>
      <family val="2"/>
      <scheme val="minor"/>
    </font>
    <font>
      <sz val="10"/>
      <color theme="1" tint="0.14999847407452621"/>
      <name val="Arial"/>
      <family val="2"/>
    </font>
    <font>
      <b/>
      <sz val="8"/>
      <color theme="1" tint="0.14999847407452621"/>
      <name val="Century Gothic"/>
      <family val="2"/>
    </font>
    <font>
      <b/>
      <i/>
      <sz val="11"/>
      <color theme="1" tint="0.249977111117893"/>
      <name val="Century Gothic"/>
      <family val="2"/>
    </font>
    <font>
      <b/>
      <i/>
      <sz val="10"/>
      <color theme="5"/>
      <name val="Century Gothic"/>
      <family val="2"/>
    </font>
    <font>
      <b/>
      <i/>
      <sz val="11"/>
      <color theme="5"/>
      <name val="Calibri"/>
      <family val="2"/>
      <scheme val="minor"/>
    </font>
    <font>
      <i/>
      <sz val="10"/>
      <color theme="1" tint="0.34998626667073579"/>
      <name val="Century Gothic"/>
      <family val="2"/>
    </font>
    <font>
      <b/>
      <i/>
      <sz val="20"/>
      <color theme="0" tint="-0.499984740745262"/>
      <name val="Calibri"/>
      <family val="2"/>
      <scheme val="minor"/>
    </font>
    <font>
      <b/>
      <sz val="10"/>
      <color theme="1" tint="0.249977111117893"/>
      <name val="Calibri"/>
      <family val="2"/>
    </font>
    <font>
      <sz val="9"/>
      <color theme="1" tint="0.499984740745262"/>
      <name val="Calibri"/>
      <family val="2"/>
    </font>
    <font>
      <b/>
      <sz val="8"/>
      <color rgb="FF2B2B2B"/>
      <name val="Century Gothic"/>
      <family val="2"/>
    </font>
    <font>
      <sz val="9"/>
      <color theme="0" tint="-0.499984740745262"/>
      <name val="Calibri"/>
      <family val="2"/>
    </font>
    <font>
      <sz val="11"/>
      <color theme="2" tint="-0.749992370372631"/>
      <name val="Calibri"/>
      <family val="2"/>
      <scheme val="minor"/>
    </font>
    <font>
      <sz val="10"/>
      <color theme="2" tint="-0.749992370372631"/>
      <name val="Century Gothic"/>
      <family val="2"/>
    </font>
    <font>
      <sz val="10"/>
      <color theme="2" tint="-0.749992370372631"/>
      <name val="Arial"/>
      <family val="2"/>
    </font>
    <font>
      <sz val="11"/>
      <color theme="1" tint="0.34998626667073579"/>
      <name val="Calibri"/>
      <family val="2"/>
    </font>
    <font>
      <sz val="11"/>
      <color theme="1"/>
      <name val="Calibri"/>
      <family val="2"/>
    </font>
    <font>
      <sz val="11"/>
      <color theme="2" tint="-0.749992370372631"/>
      <name val="Calibri"/>
      <family val="2"/>
    </font>
    <font>
      <b/>
      <sz val="11"/>
      <color theme="0"/>
      <name val="Calibri"/>
      <family val="2"/>
    </font>
    <font>
      <b/>
      <sz val="12"/>
      <color rgb="FFDE2D26"/>
      <name val="Calibri"/>
      <family val="2"/>
    </font>
    <font>
      <b/>
      <sz val="10"/>
      <color theme="1" tint="0.34998626667073579"/>
      <name val="Calibri"/>
      <family val="2"/>
    </font>
    <font>
      <sz val="10"/>
      <name val="Calibri"/>
      <family val="2"/>
    </font>
    <font>
      <sz val="10"/>
      <color theme="1" tint="0.34998626667073579"/>
      <name val="Calibri"/>
      <family val="2"/>
      <scheme val="minor"/>
    </font>
    <font>
      <b/>
      <sz val="12"/>
      <color theme="0" tint="-0.249977111117893"/>
      <name val="Calibri"/>
      <family val="2"/>
      <scheme val="minor"/>
    </font>
    <font>
      <b/>
      <sz val="12"/>
      <color rgb="FFDE2D26"/>
      <name val="Calibri"/>
      <family val="2"/>
      <scheme val="minor"/>
    </font>
    <font>
      <b/>
      <sz val="10"/>
      <color theme="0" tint="-0.249977111117893"/>
      <name val="Calibri"/>
      <family val="2"/>
    </font>
    <font>
      <b/>
      <sz val="8"/>
      <color theme="0" tint="-0.499984740745262"/>
      <name val="Calibri"/>
      <family val="2"/>
    </font>
    <font>
      <b/>
      <sz val="9"/>
      <color theme="0" tint="-0.499984740745262"/>
      <name val="Calibri"/>
      <family val="2"/>
    </font>
    <font>
      <sz val="8"/>
      <color theme="1" tint="0.34998626667073579"/>
      <name val="Calibri"/>
      <family val="2"/>
    </font>
    <font>
      <b/>
      <sz val="10"/>
      <color theme="1" tint="0.499984740745262"/>
      <name val="Calibri"/>
      <family val="2"/>
    </font>
    <font>
      <i/>
      <sz val="10"/>
      <color theme="1" tint="0.499984740745262"/>
      <name val="Calibri"/>
      <family val="2"/>
    </font>
    <font>
      <b/>
      <sz val="10"/>
      <color theme="0" tint="-0.499984740745262"/>
      <name val="Calibri"/>
      <family val="2"/>
    </font>
    <font>
      <b/>
      <sz val="11"/>
      <color rgb="FFFA3E3E"/>
      <name val="Century Gothic"/>
      <family val="2"/>
    </font>
    <font>
      <b/>
      <i/>
      <sz val="10"/>
      <color theme="1"/>
      <name val="Century Gothic"/>
      <family val="2"/>
    </font>
    <font>
      <b/>
      <sz val="18"/>
      <color theme="1" tint="0.249977111117893"/>
      <name val="Calibri"/>
      <family val="2"/>
    </font>
    <font>
      <sz val="10"/>
      <color theme="1" tint="0.499984740745262"/>
      <name val="Arial"/>
      <family val="2"/>
    </font>
    <font>
      <b/>
      <sz val="11"/>
      <color rgb="FFFA3E3E"/>
      <name val="Arial"/>
      <family val="2"/>
    </font>
    <font>
      <sz val="9"/>
      <color theme="1" tint="0.34998626667073579"/>
      <name val="Arial"/>
      <family val="2"/>
    </font>
    <font>
      <sz val="8"/>
      <color theme="1" tint="0.34998626667073579"/>
      <name val="Arial"/>
      <family val="2"/>
    </font>
    <font>
      <sz val="9"/>
      <color theme="1" tint="0.249977111117893"/>
      <name val="Arial"/>
      <family val="2"/>
    </font>
    <font>
      <sz val="9"/>
      <color theme="1" tint="0.499984740745262"/>
      <name val="Arial"/>
      <family val="2"/>
    </font>
    <font>
      <sz val="9"/>
      <color rgb="FF888888"/>
      <name val="Arial"/>
      <family val="2"/>
    </font>
    <font>
      <b/>
      <sz val="10"/>
      <color theme="1" tint="0.34998626667073579"/>
      <name val="Arial"/>
      <family val="2"/>
    </font>
    <font>
      <sz val="11"/>
      <color theme="1"/>
      <name val="Arial"/>
      <family val="2"/>
    </font>
    <font>
      <sz val="10"/>
      <color theme="1" tint="0.34998626667073579"/>
      <name val="Arial"/>
      <family val="2"/>
    </font>
    <font>
      <b/>
      <sz val="10"/>
      <color rgb="FFFA3E3E"/>
      <name val="Arial"/>
      <family val="2"/>
    </font>
    <font>
      <sz val="8"/>
      <color theme="0" tint="-0.14999847407452621"/>
      <name val="Arial"/>
      <family val="2"/>
    </font>
    <font>
      <sz val="8"/>
      <color theme="0" tint="-0.249977111117893"/>
      <name val="Arial"/>
      <family val="2"/>
    </font>
    <font>
      <sz val="11"/>
      <color theme="1" tint="0.499984740745262"/>
      <name val="Arial"/>
      <family val="2"/>
    </font>
    <font>
      <sz val="9"/>
      <color theme="1"/>
      <name val="Arial"/>
      <family val="2"/>
    </font>
    <font>
      <sz val="8"/>
      <color theme="1" tint="0.499984740745262"/>
      <name val="Arial"/>
      <family val="2"/>
    </font>
    <font>
      <b/>
      <sz val="8"/>
      <color rgb="FFFA3E3E"/>
      <name val="Arial"/>
      <family val="2"/>
    </font>
    <font>
      <b/>
      <sz val="12"/>
      <color theme="1" tint="0.34998626667073579"/>
      <name val="Arial"/>
      <family val="2"/>
    </font>
    <font>
      <sz val="9"/>
      <color theme="0" tint="-0.34998626667073579"/>
      <name val="Arial"/>
      <family val="2"/>
    </font>
    <font>
      <b/>
      <sz val="8"/>
      <color theme="0" tint="-0.499984740745262"/>
      <name val="Arial"/>
      <family val="2"/>
    </font>
    <font>
      <sz val="9"/>
      <color theme="0" tint="-0.249977111117893"/>
      <name val="Arial"/>
      <family val="2"/>
    </font>
    <font>
      <b/>
      <sz val="8"/>
      <color theme="0"/>
      <name val="Arial"/>
      <family val="2"/>
    </font>
    <font>
      <sz val="11"/>
      <color theme="0"/>
      <name val="Arial"/>
      <family val="2"/>
    </font>
    <font>
      <i/>
      <sz val="8"/>
      <color theme="1" tint="0.499984740745262"/>
      <name val="Arial"/>
      <family val="2"/>
    </font>
    <font>
      <i/>
      <sz val="9"/>
      <color theme="1" tint="0.499984740745262"/>
      <name val="Arial"/>
      <family val="2"/>
    </font>
    <font>
      <sz val="8"/>
      <color theme="0" tint="-0.34998626667073579"/>
      <name val="Arial"/>
      <family val="2"/>
    </font>
    <font>
      <b/>
      <sz val="9"/>
      <color theme="0" tint="-0.34998626667073579"/>
      <name val="Arial"/>
      <family val="2"/>
    </font>
    <font>
      <b/>
      <sz val="10"/>
      <color rgb="FF217346"/>
      <name val="Arial"/>
      <family val="2"/>
    </font>
    <font>
      <b/>
      <sz val="8"/>
      <color rgb="FFC83232"/>
      <name val="Arial"/>
      <family val="2"/>
    </font>
    <font>
      <sz val="9"/>
      <color rgb="FFC83232"/>
      <name val="Arial"/>
      <family val="2"/>
    </font>
    <font>
      <b/>
      <sz val="9"/>
      <color rgb="FFC83232"/>
      <name val="Arial"/>
      <family val="2"/>
    </font>
    <font>
      <b/>
      <sz val="11"/>
      <color theme="1" tint="0.249977111117893"/>
      <name val="Arial"/>
      <family val="2"/>
    </font>
    <font>
      <b/>
      <sz val="9"/>
      <color theme="0"/>
      <name val="Arial Narrow"/>
      <family val="2"/>
    </font>
    <font>
      <b/>
      <sz val="10"/>
      <color rgb="FFE1E1E1"/>
      <name val="Century Gothic"/>
      <family val="2"/>
    </font>
    <font>
      <b/>
      <sz val="9"/>
      <color rgb="FFE1E1E1"/>
      <name val="Arial"/>
      <family val="2"/>
    </font>
    <font>
      <sz val="10"/>
      <color theme="1" tint="0.249977111117893"/>
      <name val="Arial"/>
      <family val="2"/>
    </font>
    <font>
      <sz val="9"/>
      <color rgb="FF808080"/>
      <name val="Calibri"/>
      <family val="2"/>
    </font>
    <font>
      <b/>
      <i/>
      <sz val="10"/>
      <color theme="0" tint="-0.14999847407452621"/>
      <name val="Arial"/>
      <family val="2"/>
    </font>
    <font>
      <sz val="10"/>
      <color theme="5"/>
      <name val="Arial"/>
      <family val="2"/>
    </font>
    <font>
      <sz val="10"/>
      <color theme="0" tint="-0.249977111117893"/>
      <name val="Arial"/>
      <family val="2"/>
    </font>
    <font>
      <b/>
      <sz val="8"/>
      <color rgb="FF808080"/>
      <name val="Arial"/>
      <family val="2"/>
    </font>
    <font>
      <sz val="8"/>
      <name val="Calibri"/>
      <family val="2"/>
      <scheme val="minor"/>
    </font>
    <font>
      <b/>
      <sz val="10"/>
      <color rgb="FF288C55"/>
      <name val="Arial"/>
      <family val="2"/>
    </font>
    <font>
      <b/>
      <sz val="9"/>
      <color theme="0" tint="-0.34998626667073579"/>
      <name val="Arial Narrow"/>
      <family val="2"/>
    </font>
    <font>
      <sz val="8"/>
      <color theme="1" tint="0.249977111117893"/>
      <name val="Arial"/>
      <family val="2"/>
    </font>
    <font>
      <sz val="9"/>
      <color rgb="FF32AC69"/>
      <name val="Arial"/>
      <family val="2"/>
    </font>
    <font>
      <sz val="10"/>
      <color theme="0" tint="-0.249977111117893"/>
      <name val="Arial Narrow"/>
      <family val="2"/>
    </font>
    <font>
      <sz val="8"/>
      <color theme="0" tint="-0.34998626667073579"/>
      <name val="Arial Narrow"/>
      <family val="2"/>
    </font>
    <font>
      <sz val="11"/>
      <color theme="0" tint="-0.249977111117893"/>
      <name val="Calibri"/>
      <family val="2"/>
      <scheme val="minor"/>
    </font>
    <font>
      <sz val="11"/>
      <color theme="1" tint="4.9989318521683403E-2"/>
      <name val="Calibri"/>
      <family val="2"/>
      <scheme val="minor"/>
    </font>
    <font>
      <sz val="10"/>
      <color theme="1" tint="4.9989318521683403E-2"/>
      <name val="Arial"/>
      <family val="2"/>
    </font>
    <font>
      <sz val="9"/>
      <color theme="0" tint="-0.14999847407452621"/>
      <name val="Arial"/>
      <family val="2"/>
    </font>
    <font>
      <sz val="9"/>
      <color theme="1" tint="4.9989318521683403E-2"/>
      <name val="Arial Narrow"/>
      <family val="2"/>
    </font>
    <font>
      <b/>
      <sz val="10"/>
      <color theme="0" tint="-0.249977111117893"/>
      <name val="Century Gothic"/>
      <family val="2"/>
    </font>
    <font>
      <sz val="10"/>
      <color theme="0" tint="-0.499984740745262"/>
      <name val="Century Gothic"/>
      <family val="2"/>
    </font>
    <font>
      <b/>
      <sz val="8"/>
      <color rgb="FFC83232"/>
      <name val="Century Gothic"/>
      <family val="2"/>
    </font>
    <font>
      <sz val="8"/>
      <color theme="1" tint="0.14999847407452621"/>
      <name val="Century Gothic"/>
      <family val="2"/>
    </font>
    <font>
      <sz val="9"/>
      <color theme="1"/>
      <name val="Century Gothic"/>
      <family val="2"/>
    </font>
    <font>
      <sz val="10"/>
      <color theme="1"/>
      <name val="Century Gothic"/>
      <family val="2"/>
    </font>
    <font>
      <b/>
      <sz val="10"/>
      <color theme="1"/>
      <name val="Century Gothic"/>
      <family val="2"/>
    </font>
    <font>
      <b/>
      <sz val="8"/>
      <color theme="0" tint="-0.249977111117893"/>
      <name val="Arial"/>
      <family val="2"/>
    </font>
    <font>
      <sz val="8"/>
      <color theme="1" tint="0.499984740745262"/>
      <name val="Arial Narrow"/>
      <family val="2"/>
    </font>
    <font>
      <b/>
      <sz val="16"/>
      <color theme="1" tint="4.9989318521683403E-2"/>
      <name val="Arial"/>
      <family val="2"/>
    </font>
    <font>
      <sz val="11"/>
      <color theme="1" tint="4.9989318521683403E-2"/>
      <name val="Arial"/>
      <family val="2"/>
    </font>
    <font>
      <sz val="11"/>
      <color theme="2" tint="-0.89999084444715716"/>
      <name val="Arial"/>
      <family val="2"/>
    </font>
    <font>
      <b/>
      <sz val="8"/>
      <color theme="1" tint="0.249977111117893"/>
      <name val="Century Gothic"/>
      <family val="2"/>
    </font>
    <font>
      <b/>
      <sz val="8"/>
      <color theme="1" tint="0.249977111117893"/>
      <name val="Arial"/>
      <family val="2"/>
    </font>
    <font>
      <sz val="10"/>
      <color theme="0" tint="-0.249977111117893"/>
      <name val="Century Gothic"/>
      <family val="2"/>
    </font>
    <font>
      <sz val="11"/>
      <color theme="1" tint="0.34998626667073579"/>
      <name val="Calibri"/>
      <family val="2"/>
      <scheme val="minor"/>
    </font>
    <font>
      <sz val="8"/>
      <color rgb="FF32AC69"/>
      <name val="Arial"/>
      <family val="2"/>
    </font>
    <font>
      <i/>
      <sz val="8"/>
      <color theme="1" tint="0.34998626667073579"/>
      <name val="Arial"/>
      <family val="2"/>
    </font>
    <font>
      <sz val="11"/>
      <color rgb="FFFF0000"/>
      <name val="Calibri"/>
      <family val="2"/>
      <scheme val="minor"/>
    </font>
    <font>
      <sz val="10"/>
      <color rgb="FF32AC69"/>
      <name val="Century Gothic"/>
      <family val="2"/>
    </font>
    <font>
      <sz val="9"/>
      <color theme="1" tint="0.499984740745262"/>
      <name val="Calibri"/>
      <family val="2"/>
      <scheme val="minor"/>
    </font>
    <font>
      <sz val="11"/>
      <color rgb="FFC83232"/>
      <name val="Calibri"/>
      <family val="2"/>
      <scheme val="minor"/>
    </font>
    <font>
      <sz val="8"/>
      <color theme="1" tint="4.9989318521683403E-2"/>
      <name val="Arial"/>
      <family val="2"/>
    </font>
    <font>
      <b/>
      <sz val="10"/>
      <color rgb="FFF84960"/>
      <name val="Arial"/>
      <family val="2"/>
    </font>
    <font>
      <b/>
      <sz val="9"/>
      <color rgb="FFF84960"/>
      <name val="Arial"/>
      <family val="2"/>
    </font>
    <font>
      <b/>
      <sz val="9"/>
      <color rgb="FF02C076"/>
      <name val="Arial"/>
      <family val="2"/>
    </font>
    <font>
      <sz val="9"/>
      <color rgb="FFF84960"/>
      <name val="Arial"/>
      <family val="2"/>
    </font>
    <font>
      <sz val="9"/>
      <color rgb="FF02C076"/>
      <name val="Arial"/>
      <family val="2"/>
    </font>
    <font>
      <sz val="11"/>
      <color rgb="FFF84960"/>
      <name val="Calibri"/>
      <family val="2"/>
      <scheme val="minor"/>
    </font>
    <font>
      <b/>
      <i/>
      <sz val="12"/>
      <color theme="1" tint="0.249977111117893"/>
      <name val="Century Gothic"/>
      <family val="2"/>
    </font>
    <font>
      <b/>
      <sz val="26"/>
      <color theme="1" tint="0.499984740745262"/>
      <name val="Century Gothic"/>
      <family val="2"/>
    </font>
    <font>
      <b/>
      <i/>
      <sz val="11"/>
      <color rgb="FFF84960"/>
      <name val="Century Gothic"/>
      <family val="2"/>
    </font>
    <font>
      <i/>
      <sz val="10"/>
      <color rgb="FFF84960"/>
      <name val="Century Gothic"/>
      <family val="2"/>
    </font>
    <font>
      <sz val="8"/>
      <color rgb="FF67737F"/>
      <name val="Arial"/>
      <family val="2"/>
    </font>
    <font>
      <sz val="11"/>
      <color rgb="FF67737F"/>
      <name val="Calibri"/>
      <family val="2"/>
    </font>
    <font>
      <b/>
      <sz val="12"/>
      <color rgb="FF67737F"/>
      <name val="Century Gothic"/>
      <family val="2"/>
    </font>
    <font>
      <i/>
      <sz val="9"/>
      <color rgb="FF67737F"/>
      <name val="Calibri"/>
      <family val="2"/>
    </font>
    <font>
      <sz val="8"/>
      <color rgb="FF02C076"/>
      <name val="Arial"/>
      <family val="2"/>
    </font>
    <font>
      <sz val="8"/>
      <color rgb="FF181A20"/>
      <name val="Arial"/>
      <family val="2"/>
    </font>
    <font>
      <sz val="11"/>
      <color rgb="FF181A20"/>
      <name val="Calibri"/>
      <family val="2"/>
      <scheme val="minor"/>
    </font>
    <font>
      <b/>
      <sz val="9"/>
      <color rgb="FF181A20"/>
      <name val="Arial"/>
      <family val="2"/>
    </font>
    <font>
      <sz val="9"/>
      <color rgb="FF181A20"/>
      <name val="Arial"/>
      <family val="2"/>
    </font>
    <font>
      <sz val="9"/>
      <color rgb="FF181A20"/>
      <name val="Arial Narrow"/>
      <family val="2"/>
    </font>
    <font>
      <sz val="11"/>
      <color rgb="FF67737F"/>
      <name val="Calibri"/>
      <family val="2"/>
      <scheme val="minor"/>
    </font>
    <font>
      <sz val="10"/>
      <color rgb="FF67737F"/>
      <name val="Arial"/>
      <family val="2"/>
    </font>
    <font>
      <sz val="11"/>
      <color rgb="FF67737F"/>
      <name val="Arial"/>
      <family val="2"/>
    </font>
    <font>
      <sz val="8"/>
      <color rgb="FF67737F"/>
      <name val="Arial Narrow"/>
      <family val="2"/>
    </font>
    <font>
      <sz val="9"/>
      <color rgb="FF67737F"/>
      <name val="Calibri"/>
      <family val="2"/>
      <scheme val="minor"/>
    </font>
    <font>
      <b/>
      <sz val="8"/>
      <color rgb="FFB3BAC1"/>
      <name val="Century Gothic"/>
      <family val="2"/>
    </font>
    <font>
      <sz val="9"/>
      <color rgb="FFB3BAC1"/>
      <name val="Arial"/>
      <family val="2"/>
    </font>
    <font>
      <sz val="8"/>
      <color rgb="FF67737F"/>
      <name val="Century Gothic"/>
      <family val="2"/>
    </font>
    <font>
      <sz val="9"/>
      <color rgb="FF67737F"/>
      <name val="Arial"/>
      <family val="2"/>
    </font>
    <font>
      <i/>
      <sz val="8"/>
      <color rgb="FF67737F"/>
      <name val="Arial"/>
      <family val="2"/>
    </font>
    <font>
      <b/>
      <sz val="9"/>
      <color rgb="FF80CCDB"/>
      <name val="Century Gothic"/>
      <family val="2"/>
    </font>
    <font>
      <b/>
      <sz val="9"/>
      <color rgb="FF80CCDB"/>
      <name val="Arial"/>
      <family val="2"/>
    </font>
    <font>
      <b/>
      <sz val="10"/>
      <color rgb="FF80CCDB"/>
      <name val="Century Gothic"/>
      <family val="2"/>
    </font>
    <font>
      <sz val="8"/>
      <color theme="0" tint="-0.249977111117893"/>
      <name val="Arial Narrow"/>
      <family val="2"/>
    </font>
    <font>
      <b/>
      <sz val="8"/>
      <color rgb="FF67737F"/>
      <name val="Arial"/>
      <family val="2"/>
    </font>
    <font>
      <sz val="10"/>
      <color rgb="FF949FAA"/>
      <name val="Arial Narrow"/>
      <family val="2"/>
    </font>
    <font>
      <b/>
      <sz val="10"/>
      <color rgb="FF949FAA"/>
      <name val="Arial"/>
      <family val="2"/>
    </font>
    <font>
      <i/>
      <sz val="9"/>
      <color rgb="FF80CCDB"/>
      <name val="Arial"/>
      <family val="2"/>
    </font>
    <font>
      <b/>
      <sz val="9"/>
      <color rgb="FF67737F"/>
      <name val="Arial"/>
      <family val="2"/>
    </font>
    <font>
      <sz val="11"/>
      <color rgb="FF80CCDB"/>
      <name val="Arial"/>
      <family val="2"/>
    </font>
    <font>
      <b/>
      <sz val="8"/>
      <color rgb="FF67737F"/>
      <name val="Century Gothic"/>
      <family val="2"/>
    </font>
    <font>
      <b/>
      <sz val="8"/>
      <color rgb="FF80CCDB"/>
      <name val="Century Gothic"/>
      <family val="2"/>
    </font>
    <font>
      <sz val="10"/>
      <color rgb="FFF84960"/>
      <name val="Arial"/>
      <family val="2"/>
    </font>
    <font>
      <sz val="9"/>
      <color rgb="FF67737F"/>
      <name val="Arial Narrow"/>
      <family val="2"/>
    </font>
    <font>
      <sz val="9"/>
      <color rgb="FFB3BAC1"/>
      <name val="Arial Narrow"/>
      <family val="2"/>
    </font>
    <font>
      <sz val="10"/>
      <color rgb="FFB3BAC1"/>
      <name val="Arial"/>
      <family val="2"/>
    </font>
    <font>
      <b/>
      <sz val="10"/>
      <color rgb="FF181A20"/>
      <name val="Century Gothic"/>
      <family val="2"/>
    </font>
    <font>
      <b/>
      <sz val="10"/>
      <color rgb="FF67737F"/>
      <name val="Arial"/>
      <family val="2"/>
    </font>
    <font>
      <b/>
      <sz val="9"/>
      <color rgb="FF67737F"/>
      <name val="Calibri"/>
      <family val="2"/>
    </font>
    <font>
      <sz val="9"/>
      <color rgb="FF029C61"/>
      <name val="Arial"/>
      <family val="2"/>
    </font>
    <font>
      <sz val="9"/>
      <color rgb="FFF72D4A"/>
      <name val="Arial"/>
      <family val="2"/>
    </font>
    <font>
      <b/>
      <sz val="9"/>
      <color rgb="FFF72D4A"/>
      <name val="Arial"/>
      <family val="2"/>
    </font>
    <font>
      <b/>
      <sz val="9"/>
      <color rgb="FF029C61"/>
      <name val="Arial"/>
      <family val="2"/>
    </font>
    <font>
      <sz val="8"/>
      <color rgb="FF181A20"/>
      <name val="Arial Narrow"/>
      <family val="2"/>
    </font>
    <font>
      <sz val="8"/>
      <color rgb="FF181A20"/>
      <name val="Century Gothic"/>
      <family val="2"/>
    </font>
    <font>
      <sz val="10"/>
      <color rgb="FF181A20"/>
      <name val="Arial"/>
      <family val="2"/>
    </font>
    <font>
      <sz val="9"/>
      <color rgb="FF9DA7B1"/>
      <name val="Arial"/>
      <family val="2"/>
    </font>
    <font>
      <sz val="10"/>
      <color rgb="FF217346"/>
      <name val="Arial"/>
      <family val="2"/>
    </font>
    <font>
      <sz val="10"/>
      <color rgb="FFFA3E3E"/>
      <name val="Arial"/>
      <family val="2"/>
    </font>
    <font>
      <b/>
      <sz val="9"/>
      <color rgb="FFC8CDD2"/>
      <name val="Arial"/>
      <family val="2"/>
    </font>
    <font>
      <b/>
      <sz val="9"/>
      <color rgb="FF9DA7B1"/>
      <name val="Arial"/>
      <family val="2"/>
    </font>
    <font>
      <sz val="9"/>
      <color rgb="FF02C076"/>
      <name val="Calibri"/>
      <family val="2"/>
      <scheme val="minor"/>
    </font>
    <font>
      <b/>
      <sz val="9"/>
      <color rgb="FFE1E4E7"/>
      <name val="Arial"/>
      <family val="2"/>
    </font>
    <font>
      <b/>
      <sz val="9"/>
      <color theme="1" tint="0.499984740745262"/>
      <name val="Arial"/>
      <family val="2"/>
    </font>
    <font>
      <sz val="11"/>
      <color rgb="FF02C076"/>
      <name val="Calibri"/>
      <family val="2"/>
      <scheme val="minor"/>
    </font>
    <font>
      <sz val="8"/>
      <color theme="1"/>
      <name val="Arial Narrow"/>
      <family val="2"/>
    </font>
    <font>
      <sz val="11"/>
      <color rgb="FF0F1013"/>
      <name val="Calibri"/>
      <family val="2"/>
      <scheme val="minor"/>
    </font>
    <font>
      <sz val="11"/>
      <color rgb="FFD2D7DC"/>
      <name val="Calibri"/>
      <family val="2"/>
      <scheme val="minor"/>
    </font>
    <font>
      <b/>
      <sz val="11"/>
      <color theme="1"/>
      <name val="Calibri"/>
      <family val="2"/>
      <scheme val="minor"/>
    </font>
    <font>
      <sz val="11"/>
      <color theme="2"/>
      <name val="Calibri"/>
      <family val="2"/>
      <scheme val="minor"/>
    </font>
    <font>
      <b/>
      <sz val="36"/>
      <color theme="3"/>
      <name val="Arial"/>
      <family val="2"/>
    </font>
    <font>
      <b/>
      <sz val="26"/>
      <color rgb="FFF84960"/>
      <name val="Century Gothic"/>
      <family val="2"/>
    </font>
    <font>
      <sz val="10"/>
      <color theme="1" tint="0.499984740745262"/>
      <name val="Bahnschrift SemiBold SemiConden"/>
      <family val="2"/>
    </font>
    <font>
      <sz val="10"/>
      <color theme="1"/>
      <name val="Calibri"/>
      <family val="2"/>
      <scheme val="minor"/>
    </font>
    <font>
      <sz val="10"/>
      <color theme="2"/>
      <name val="Calibri"/>
      <family val="2"/>
      <scheme val="minor"/>
    </font>
    <font>
      <b/>
      <sz val="14"/>
      <color theme="2"/>
      <name val="Helvetica"/>
    </font>
    <font>
      <sz val="11"/>
      <color theme="2"/>
      <name val="Helvetica"/>
    </font>
    <font>
      <b/>
      <sz val="11"/>
      <color theme="2"/>
      <name val="Helvetica"/>
    </font>
    <font>
      <i/>
      <sz val="11"/>
      <color theme="2"/>
      <name val="Helvetica"/>
    </font>
    <font>
      <b/>
      <sz val="12"/>
      <color theme="2"/>
      <name val="Calibri"/>
      <family val="2"/>
      <scheme val="minor"/>
    </font>
    <font>
      <b/>
      <sz val="16"/>
      <color theme="2"/>
      <name val="Helvetica"/>
    </font>
    <font>
      <b/>
      <sz val="12"/>
      <color theme="2"/>
      <name val="Helvetica"/>
    </font>
    <font>
      <b/>
      <sz val="18"/>
      <color theme="3"/>
      <name val="Calibri"/>
      <family val="2"/>
      <scheme val="minor"/>
    </font>
    <font>
      <b/>
      <sz val="12"/>
      <color theme="2"/>
      <name val="Arial"/>
      <family val="2"/>
    </font>
    <font>
      <sz val="9"/>
      <color theme="4"/>
      <name val="Arial"/>
      <family val="2"/>
    </font>
    <font>
      <b/>
      <sz val="9"/>
      <color theme="4"/>
      <name val="Arial"/>
      <family val="2"/>
    </font>
    <font>
      <sz val="9"/>
      <color theme="5"/>
      <name val="Arial"/>
      <family val="2"/>
    </font>
    <font>
      <sz val="9"/>
      <color theme="2"/>
      <name val="Arial"/>
      <family val="2"/>
    </font>
    <font>
      <sz val="8"/>
      <color theme="2"/>
      <name val="Arial"/>
      <family val="2"/>
    </font>
    <font>
      <sz val="10"/>
      <color theme="9"/>
      <name val="Century Gothic"/>
      <family val="2"/>
    </font>
    <font>
      <b/>
      <sz val="12"/>
      <color theme="5"/>
      <name val="Arial"/>
      <family val="2"/>
    </font>
    <font>
      <b/>
      <sz val="12"/>
      <color theme="4"/>
      <name val="Arial"/>
      <family val="2"/>
    </font>
    <font>
      <sz val="10"/>
      <color theme="4"/>
      <name val="Arial"/>
      <family val="2"/>
    </font>
    <font>
      <b/>
      <sz val="10"/>
      <color theme="4"/>
      <name val="Arial"/>
      <family val="2"/>
    </font>
    <font>
      <sz val="11"/>
      <color theme="3"/>
      <name val="Century Gothic"/>
      <family val="2"/>
    </font>
    <font>
      <b/>
      <i/>
      <sz val="22"/>
      <color theme="3"/>
      <name val="Calibri"/>
      <family val="2"/>
      <scheme val="minor"/>
    </font>
    <font>
      <sz val="11"/>
      <color theme="8"/>
      <name val="Calibri"/>
      <family val="2"/>
      <scheme val="minor"/>
    </font>
    <font>
      <b/>
      <sz val="9"/>
      <color theme="5"/>
      <name val="Arial"/>
      <family val="2"/>
    </font>
    <font>
      <sz val="10"/>
      <color theme="2"/>
      <name val="Arial Narrow"/>
      <family val="2"/>
    </font>
    <font>
      <b/>
      <sz val="11"/>
      <color theme="2"/>
      <name val="Arial"/>
      <family val="2"/>
    </font>
    <font>
      <b/>
      <sz val="20"/>
      <color theme="2"/>
      <name val="Calibri"/>
      <family val="2"/>
      <scheme val="minor"/>
    </font>
    <font>
      <b/>
      <sz val="9"/>
      <color theme="2"/>
      <name val="Arial"/>
      <family val="2"/>
    </font>
    <font>
      <b/>
      <sz val="8"/>
      <color theme="2"/>
      <name val="Arial"/>
      <family val="2"/>
    </font>
    <font>
      <sz val="9"/>
      <color theme="8"/>
      <name val="Arial Narrow"/>
      <family val="2"/>
    </font>
    <font>
      <b/>
      <sz val="8"/>
      <color theme="5"/>
      <name val="Arial"/>
      <family val="2"/>
    </font>
    <font>
      <sz val="11"/>
      <color theme="9"/>
      <name val="Calibri"/>
      <family val="2"/>
      <scheme val="minor"/>
    </font>
    <font>
      <sz val="8"/>
      <color theme="2"/>
      <name val="Arial Narrow"/>
      <family val="2"/>
    </font>
    <font>
      <sz val="8"/>
      <color theme="3"/>
      <name val="Arial"/>
      <family val="2"/>
    </font>
    <font>
      <sz val="11"/>
      <color theme="2"/>
      <name val="Calibri"/>
      <family val="2"/>
    </font>
    <font>
      <b/>
      <sz val="10"/>
      <color theme="2"/>
      <name val="Arial"/>
      <family val="2"/>
    </font>
    <font>
      <sz val="11"/>
      <color theme="3"/>
      <name val="Calibri"/>
      <family val="2"/>
      <scheme val="minor"/>
    </font>
    <font>
      <sz val="11"/>
      <color theme="4"/>
      <name val="Calibri"/>
      <family val="2"/>
      <scheme val="minor"/>
    </font>
    <font>
      <sz val="11"/>
      <color theme="6" tint="-0.249977111117893"/>
      <name val="Calibri"/>
      <family val="2"/>
      <scheme val="minor"/>
    </font>
    <font>
      <b/>
      <sz val="9"/>
      <color theme="3"/>
      <name val="Arial"/>
      <family val="2"/>
    </font>
    <font>
      <sz val="9"/>
      <color theme="4"/>
      <name val="Calibri"/>
      <family val="2"/>
      <scheme val="minor"/>
    </font>
    <font>
      <b/>
      <sz val="8"/>
      <color theme="4"/>
      <name val="Arial"/>
      <family val="2"/>
    </font>
    <font>
      <b/>
      <sz val="9"/>
      <color theme="3"/>
      <name val="Century Gothic"/>
      <family val="2"/>
    </font>
    <font>
      <sz val="8"/>
      <color theme="2"/>
      <name val="Century Gothic"/>
      <family val="2"/>
    </font>
    <font>
      <b/>
      <sz val="10"/>
      <color theme="2"/>
      <name val="Century Gothic"/>
      <family val="2"/>
    </font>
    <font>
      <b/>
      <sz val="11"/>
      <color theme="2"/>
      <name val="Century Gothic"/>
      <family val="2"/>
    </font>
    <font>
      <sz val="9"/>
      <color theme="1"/>
      <name val="Calibri"/>
      <family val="2"/>
      <scheme val="minor"/>
    </font>
    <font>
      <sz val="10"/>
      <color theme="2"/>
      <name val="Bahnschrift SemiCondensed"/>
      <family val="2"/>
    </font>
    <font>
      <sz val="10"/>
      <color theme="6" tint="0.249977111117893"/>
      <name val="Bahnschrift SemiCondensed"/>
      <family val="2"/>
    </font>
    <font>
      <sz val="10"/>
      <color theme="5"/>
      <name val="Bahnschrift SemiCondensed"/>
      <family val="2"/>
    </font>
    <font>
      <sz val="11"/>
      <color theme="4"/>
      <name val="Bahnschrift Light Condensed"/>
      <family val="2"/>
    </font>
    <font>
      <i/>
      <sz val="10"/>
      <color theme="4"/>
      <name val="Arial"/>
      <family val="2"/>
    </font>
    <font>
      <sz val="8"/>
      <color theme="8" tint="0.499984740745262"/>
      <name val="Arial"/>
      <family val="2"/>
    </font>
    <font>
      <sz val="11"/>
      <color theme="8" tint="0.499984740745262"/>
      <name val="Calibri"/>
      <family val="2"/>
      <scheme val="minor"/>
    </font>
    <font>
      <sz val="9"/>
      <color theme="3"/>
      <name val="Arial"/>
      <family val="2"/>
    </font>
    <font>
      <b/>
      <sz val="10"/>
      <color theme="4"/>
      <name val="Century Gothic"/>
      <family val="2"/>
    </font>
    <font>
      <sz val="10"/>
      <color theme="9"/>
      <name val="Arial"/>
      <family val="2"/>
    </font>
    <font>
      <sz val="8"/>
      <color theme="9"/>
      <name val="Century Gothic"/>
      <family val="2"/>
    </font>
    <font>
      <b/>
      <sz val="11"/>
      <color theme="9"/>
      <name val="Century Gothic"/>
      <family val="2"/>
    </font>
    <font>
      <sz val="9"/>
      <color rgb="FF9DA7B1"/>
      <name val="Bahnschrift SemiCondensed"/>
      <family val="2"/>
    </font>
    <font>
      <sz val="9"/>
      <color rgb="FF9DA7B1"/>
      <name val="Bahnschrift SemiBold SemiConden"/>
      <family val="2"/>
    </font>
    <font>
      <sz val="9"/>
      <color rgb="FF67737F"/>
      <name val="Bahnschrift SemiCondensed"/>
      <family val="2"/>
    </font>
    <font>
      <sz val="10"/>
      <color theme="6" tint="0.499984740745262"/>
      <name val="Bahnschrift Light SemiCondensed"/>
      <family val="2"/>
    </font>
    <font>
      <i/>
      <sz val="11"/>
      <color theme="6"/>
      <name val="Calibri"/>
      <family val="2"/>
    </font>
    <font>
      <sz val="10"/>
      <color theme="3"/>
      <name val="Calibri"/>
      <family val="2"/>
    </font>
    <font>
      <sz val="10"/>
      <color theme="2"/>
      <name val="Calibri"/>
      <family val="2"/>
    </font>
    <font>
      <i/>
      <sz val="10"/>
      <color theme="5"/>
      <name val="Bahnschrift SemiLight SemiConde"/>
      <family val="2"/>
    </font>
    <font>
      <sz val="11"/>
      <color theme="5"/>
      <name val="Calibri"/>
      <family val="2"/>
      <scheme val="minor"/>
    </font>
    <font>
      <i/>
      <sz val="9"/>
      <color theme="2" tint="-0.499984740745262"/>
      <name val="Century Gothic"/>
      <family val="2"/>
    </font>
    <font>
      <b/>
      <sz val="14"/>
      <color theme="5"/>
      <name val="Century Gothic"/>
      <family val="2"/>
    </font>
    <font>
      <b/>
      <sz val="12"/>
      <color rgb="FF000000"/>
      <name val="Roboto"/>
    </font>
    <font>
      <sz val="12"/>
      <color rgb="FF000000"/>
      <name val="Roboto"/>
    </font>
    <font>
      <b/>
      <sz val="12"/>
      <color theme="5"/>
      <name val="Roboto"/>
    </font>
    <font>
      <b/>
      <sz val="13"/>
      <color rgb="FF000000"/>
      <name val="Roboto"/>
    </font>
    <font>
      <sz val="8"/>
      <color theme="8" tint="0.499984740745262"/>
      <name val="Arial Narrow"/>
      <family val="2"/>
    </font>
    <font>
      <sz val="8"/>
      <color theme="8" tint="0.499984740745262"/>
      <name val="Bahnschrift Light SemiCondensed"/>
      <family val="2"/>
    </font>
    <font>
      <sz val="9"/>
      <color theme="8" tint="0.499984740745262"/>
      <name val="Bahnschrift Light SemiCondensed"/>
      <family val="2"/>
    </font>
    <font>
      <b/>
      <sz val="8"/>
      <color theme="8" tint="0.499984740745262"/>
      <name val="Arial"/>
      <family val="2"/>
    </font>
    <font>
      <sz val="9"/>
      <color theme="8" tint="0.499984740745262"/>
      <name val="Bahnschrift SemiCondensed"/>
      <family val="2"/>
    </font>
    <font>
      <sz val="10"/>
      <color theme="8" tint="0.499984740745262"/>
      <name val="Bahnschrift SemiCondensed"/>
      <family val="2"/>
    </font>
    <font>
      <i/>
      <sz val="8"/>
      <color theme="6" tint="0.249977111117893"/>
      <name val="Arial"/>
      <family val="2"/>
    </font>
    <font>
      <sz val="8"/>
      <color theme="8" tint="0.499984740745262"/>
      <name val="Bahnschrift SemiBold"/>
      <family val="2"/>
    </font>
    <font>
      <sz val="11"/>
      <color theme="8" tint="0.499984740745262"/>
      <name val="Bahnschrift SemiBold"/>
      <family val="2"/>
    </font>
    <font>
      <sz val="9"/>
      <color theme="6" tint="0.249977111117893"/>
      <name val="Bahnschrift SemiCondensed"/>
      <family val="2"/>
    </font>
    <font>
      <sz val="9"/>
      <color theme="9" tint="0.499984740745262"/>
      <name val="Bahnschrift SemiCondensed"/>
      <family val="2"/>
    </font>
  </fonts>
  <fills count="27">
    <fill>
      <patternFill patternType="none"/>
    </fill>
    <fill>
      <patternFill patternType="gray125"/>
    </fill>
    <fill>
      <patternFill patternType="solid">
        <fgColor theme="0" tint="-4.9989318521683403E-2"/>
        <bgColor indexed="64"/>
      </patternFill>
    </fill>
    <fill>
      <patternFill patternType="solid">
        <fgColor rgb="FF282828"/>
        <bgColor indexed="64"/>
      </patternFill>
    </fill>
    <fill>
      <patternFill patternType="solid">
        <fgColor theme="1" tint="4.9989318521683403E-2"/>
        <bgColor indexed="64"/>
      </patternFill>
    </fill>
    <fill>
      <patternFill patternType="solid">
        <fgColor theme="2" tint="-0.89996032593768116"/>
        <bgColor indexed="64"/>
      </patternFill>
    </fill>
    <fill>
      <patternFill patternType="solid">
        <fgColor theme="2" tint="-0.89999084444715716"/>
        <bgColor indexed="64"/>
      </patternFill>
    </fill>
    <fill>
      <patternFill patternType="solid">
        <fgColor rgb="FFFFFF00"/>
        <bgColor indexed="64"/>
      </patternFill>
    </fill>
    <fill>
      <patternFill patternType="solid">
        <fgColor theme="1" tint="0.249977111117893"/>
        <bgColor indexed="64"/>
      </patternFill>
    </fill>
    <fill>
      <patternFill patternType="solid">
        <fgColor rgb="FF1E2026"/>
        <bgColor indexed="64"/>
      </patternFill>
    </fill>
    <fill>
      <patternFill patternType="solid">
        <fgColor rgb="FF181A20"/>
        <bgColor indexed="64"/>
      </patternFill>
    </fill>
    <fill>
      <patternFill patternType="solid">
        <fgColor rgb="FF0F1013"/>
        <bgColor indexed="64"/>
      </patternFill>
    </fill>
    <fill>
      <patternFill patternType="solid">
        <fgColor rgb="FF2B3139"/>
        <bgColor indexed="64"/>
      </patternFill>
    </fill>
    <fill>
      <patternFill patternType="solid">
        <fgColor rgb="FFE1E4E7"/>
        <bgColor indexed="64"/>
      </patternFill>
    </fill>
    <fill>
      <patternFill patternType="solid">
        <fgColor rgb="FFB3BAC1"/>
        <bgColor indexed="64"/>
      </patternFill>
    </fill>
    <fill>
      <patternFill patternType="solid">
        <fgColor rgb="FFD2D7DC"/>
        <bgColor indexed="64"/>
      </patternFill>
    </fill>
    <fill>
      <patternFill patternType="solid">
        <fgColor rgb="FFC8CDD2"/>
        <bgColor indexed="64"/>
      </patternFill>
    </fill>
    <fill>
      <patternFill patternType="solid">
        <fgColor theme="0" tint="-0.14999847407452621"/>
        <bgColor indexed="64"/>
      </patternFill>
    </fill>
    <fill>
      <patternFill patternType="solid">
        <fgColor theme="9"/>
        <bgColor indexed="64"/>
      </patternFill>
    </fill>
    <fill>
      <patternFill patternType="solid">
        <fgColor theme="7"/>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9.9978637043366805E-2"/>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s>
  <borders count="130">
    <border>
      <left/>
      <right/>
      <top/>
      <bottom/>
      <diagonal/>
    </border>
    <border>
      <left style="medium">
        <color rgb="FF1E1E1E"/>
      </left>
      <right/>
      <top/>
      <bottom/>
      <diagonal/>
    </border>
    <border>
      <left style="thin">
        <color rgb="FF2D2D2D"/>
      </left>
      <right style="thin">
        <color rgb="FF2D2D2D"/>
      </right>
      <top/>
      <bottom/>
      <diagonal/>
    </border>
    <border>
      <left/>
      <right style="thick">
        <color rgb="FF0A0A0A"/>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rgb="FF141414"/>
      </left>
      <right style="thin">
        <color auto="1"/>
      </right>
      <top style="thin">
        <color theme="2" tint="-0.89996032593768116"/>
      </top>
      <bottom/>
      <diagonal/>
    </border>
    <border>
      <left/>
      <right style="thin">
        <color auto="1"/>
      </right>
      <top style="thin">
        <color rgb="FF373737"/>
      </top>
      <bottom style="thin">
        <color rgb="FF373737"/>
      </bottom>
      <diagonal/>
    </border>
    <border>
      <left/>
      <right/>
      <top/>
      <bottom style="thin">
        <color rgb="FF141414"/>
      </bottom>
      <diagonal/>
    </border>
    <border>
      <left/>
      <right style="thin">
        <color rgb="FF28282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1" tint="4.9989318521683403E-2"/>
      </left>
      <right/>
      <top/>
      <bottom/>
      <diagonal/>
    </border>
    <border>
      <left style="thin">
        <color indexed="64"/>
      </left>
      <right style="thin">
        <color indexed="64"/>
      </right>
      <top style="thin">
        <color indexed="64"/>
      </top>
      <bottom/>
      <diagonal/>
    </border>
    <border>
      <left/>
      <right/>
      <top/>
      <bottom style="thin">
        <color rgb="FF181A20"/>
      </bottom>
      <diagonal/>
    </border>
    <border>
      <left/>
      <right/>
      <top style="thin">
        <color rgb="FF181A20"/>
      </top>
      <bottom style="thin">
        <color rgb="FF181A20"/>
      </bottom>
      <diagonal/>
    </border>
    <border>
      <left/>
      <right/>
      <top style="thin">
        <color rgb="FF181A20"/>
      </top>
      <bottom/>
      <diagonal/>
    </border>
    <border>
      <left style="thin">
        <color auto="1"/>
      </left>
      <right style="thin">
        <color rgb="FF181A20"/>
      </right>
      <top style="thin">
        <color rgb="FF181A20"/>
      </top>
      <bottom style="thin">
        <color rgb="FF181A20"/>
      </bottom>
      <diagonal/>
    </border>
    <border>
      <left style="thin">
        <color rgb="FF181A20"/>
      </left>
      <right style="thin">
        <color rgb="FF181A20"/>
      </right>
      <top style="thin">
        <color rgb="FF181A20"/>
      </top>
      <bottom style="thin">
        <color rgb="FF181A20"/>
      </bottom>
      <diagonal/>
    </border>
    <border>
      <left style="thin">
        <color rgb="FF181A20"/>
      </left>
      <right/>
      <top style="thin">
        <color rgb="FF181A20"/>
      </top>
      <bottom style="thin">
        <color rgb="FF181A20"/>
      </bottom>
      <diagonal/>
    </border>
    <border>
      <left/>
      <right style="thin">
        <color rgb="FFB3BAC1"/>
      </right>
      <top style="thin">
        <color rgb="FFB3BAC1"/>
      </top>
      <bottom style="thin">
        <color rgb="FFB3BAC1"/>
      </bottom>
      <diagonal/>
    </border>
    <border>
      <left style="thin">
        <color rgb="FFB3BAC1"/>
      </left>
      <right style="thin">
        <color rgb="FFB3BAC1"/>
      </right>
      <top style="thin">
        <color rgb="FFB3BAC1"/>
      </top>
      <bottom style="thin">
        <color rgb="FFB3BAC1"/>
      </bottom>
      <diagonal/>
    </border>
    <border>
      <left style="thin">
        <color rgb="FFB3BAC1"/>
      </left>
      <right/>
      <top style="thin">
        <color rgb="FFB3BAC1"/>
      </top>
      <bottom style="thin">
        <color rgb="FFB3BAC1"/>
      </bottom>
      <diagonal/>
    </border>
    <border>
      <left style="thin">
        <color rgb="FF181A20"/>
      </left>
      <right style="thin">
        <color rgb="FF252B33"/>
      </right>
      <top style="thin">
        <color rgb="FF20252C"/>
      </top>
      <bottom style="thin">
        <color rgb="FF20252C"/>
      </bottom>
      <diagonal/>
    </border>
    <border>
      <left style="medium">
        <color rgb="FF1E1E1E"/>
      </left>
      <right style="medium">
        <color rgb="FF1E1E1E"/>
      </right>
      <top style="thin">
        <color rgb="FF181A20"/>
      </top>
      <bottom style="thin">
        <color rgb="FF181A20"/>
      </bottom>
      <diagonal/>
    </border>
    <border>
      <left/>
      <right style="thin">
        <color rgb="FF232323"/>
      </right>
      <top/>
      <bottom style="thin">
        <color rgb="FF1F2127"/>
      </bottom>
      <diagonal/>
    </border>
    <border>
      <left style="thin">
        <color rgb="FF232323"/>
      </left>
      <right/>
      <top/>
      <bottom style="thin">
        <color rgb="FF1F2127"/>
      </bottom>
      <diagonal/>
    </border>
    <border>
      <left/>
      <right/>
      <top/>
      <bottom style="thin">
        <color rgb="FF1F2127"/>
      </bottom>
      <diagonal/>
    </border>
    <border>
      <left/>
      <right style="thin">
        <color rgb="FF232323"/>
      </right>
      <top style="thin">
        <color rgb="FF1F2127"/>
      </top>
      <bottom style="thin">
        <color rgb="FF1F2127"/>
      </bottom>
      <diagonal/>
    </border>
    <border>
      <left style="thin">
        <color rgb="FF232323"/>
      </left>
      <right/>
      <top style="thin">
        <color rgb="FF1F2127"/>
      </top>
      <bottom style="thin">
        <color rgb="FF1F2127"/>
      </bottom>
      <diagonal/>
    </border>
    <border>
      <left/>
      <right/>
      <top style="thin">
        <color rgb="FF1F2127"/>
      </top>
      <bottom style="thin">
        <color rgb="FF1F2127"/>
      </bottom>
      <diagonal/>
    </border>
    <border>
      <left/>
      <right style="thin">
        <color rgb="FF232323"/>
      </right>
      <top style="thin">
        <color rgb="FF1F2127"/>
      </top>
      <bottom style="thin">
        <color rgb="FF232323"/>
      </bottom>
      <diagonal/>
    </border>
    <border>
      <left/>
      <right style="thick">
        <color theme="1" tint="4.9989318521683403E-2"/>
      </right>
      <top style="thin">
        <color rgb="FF1F2127"/>
      </top>
      <bottom style="thin">
        <color rgb="FF1F2127"/>
      </bottom>
      <diagonal/>
    </border>
    <border>
      <left style="thin">
        <color rgb="FF1F2127"/>
      </left>
      <right style="thin">
        <color rgb="FF1F2127"/>
      </right>
      <top style="thin">
        <color rgb="FF1F2127"/>
      </top>
      <bottom style="thin">
        <color rgb="FF1F2127"/>
      </bottom>
      <diagonal/>
    </border>
    <border>
      <left style="thin">
        <color rgb="FF1F2127"/>
      </left>
      <right style="thin">
        <color rgb="FF1F2127"/>
      </right>
      <top/>
      <bottom style="thin">
        <color rgb="FF1F2127"/>
      </bottom>
      <diagonal/>
    </border>
    <border>
      <left style="thin">
        <color rgb="FF1F2127"/>
      </left>
      <right style="thin">
        <color rgb="FF1F2127"/>
      </right>
      <top style="thin">
        <color rgb="FF1F2127"/>
      </top>
      <bottom/>
      <diagonal/>
    </border>
    <border>
      <left/>
      <right/>
      <top style="thin">
        <color rgb="FF1F2127"/>
      </top>
      <bottom/>
      <diagonal/>
    </border>
    <border>
      <left/>
      <right style="thin">
        <color rgb="FF1F2127"/>
      </right>
      <top/>
      <bottom style="thin">
        <color rgb="FF1F2127"/>
      </bottom>
      <diagonal/>
    </border>
    <border>
      <left style="thin">
        <color rgb="FF1F2127"/>
      </left>
      <right/>
      <top/>
      <bottom style="thin">
        <color rgb="FF1F2127"/>
      </bottom>
      <diagonal/>
    </border>
    <border>
      <left/>
      <right style="thin">
        <color rgb="FF1F2127"/>
      </right>
      <top style="thin">
        <color rgb="FF1F2127"/>
      </top>
      <bottom style="thin">
        <color rgb="FF1F2127"/>
      </bottom>
      <diagonal/>
    </border>
    <border>
      <left style="thin">
        <color rgb="FF1F2127"/>
      </left>
      <right/>
      <top style="thin">
        <color rgb="FF1F2127"/>
      </top>
      <bottom style="thin">
        <color rgb="FF1F2127"/>
      </bottom>
      <diagonal/>
    </border>
    <border>
      <left/>
      <right style="thin">
        <color rgb="FF1F2127"/>
      </right>
      <top style="thin">
        <color rgb="FF1F2127"/>
      </top>
      <bottom/>
      <diagonal/>
    </border>
    <border>
      <left style="thin">
        <color rgb="FF1F2127"/>
      </left>
      <right/>
      <top style="thin">
        <color rgb="FF1F2127"/>
      </top>
      <bottom/>
      <diagonal/>
    </border>
    <border>
      <left/>
      <right style="thin">
        <color rgb="FF252B33"/>
      </right>
      <top style="thin">
        <color rgb="FF20252C"/>
      </top>
      <bottom style="thin">
        <color rgb="FF20252C"/>
      </bottom>
      <diagonal/>
    </border>
    <border>
      <left style="thin">
        <color rgb="FF141414"/>
      </left>
      <right/>
      <top style="thin">
        <color theme="2" tint="-0.89996032593768116"/>
      </top>
      <bottom/>
      <diagonal/>
    </border>
    <border>
      <left style="thin">
        <color auto="1"/>
      </left>
      <right/>
      <top style="thin">
        <color theme="2" tint="-0.89996032593768116"/>
      </top>
      <bottom style="thin">
        <color theme="2" tint="-0.89996032593768116"/>
      </bottom>
      <diagonal/>
    </border>
    <border>
      <left style="thin">
        <color rgb="FF9DA7B1"/>
      </left>
      <right style="thin">
        <color rgb="FF9DA7B1"/>
      </right>
      <top style="thin">
        <color rgb="FF9DA7B1"/>
      </top>
      <bottom style="thin">
        <color rgb="FF9DA7B1"/>
      </bottom>
      <diagonal/>
    </border>
    <border>
      <left style="thin">
        <color rgb="FF9DA7B1"/>
      </left>
      <right/>
      <top style="thin">
        <color rgb="FF9DA7B1"/>
      </top>
      <bottom style="thin">
        <color rgb="FF9DA7B1"/>
      </bottom>
      <diagonal/>
    </border>
    <border>
      <left style="medium">
        <color rgb="FFB3BAC1"/>
      </left>
      <right style="thin">
        <color rgb="FFB3BAC1"/>
      </right>
      <top style="thin">
        <color rgb="FFB3BAC1"/>
      </top>
      <bottom style="thin">
        <color rgb="FFB3BAC1"/>
      </bottom>
      <diagonal/>
    </border>
    <border>
      <left style="thin">
        <color rgb="FFB3BAC1"/>
      </left>
      <right style="medium">
        <color rgb="FFB3BAC1"/>
      </right>
      <top style="thin">
        <color rgb="FFB3BAC1"/>
      </top>
      <bottom style="thin">
        <color rgb="FFB3BAC1"/>
      </bottom>
      <diagonal/>
    </border>
    <border>
      <left/>
      <right style="thin">
        <color rgb="FF252B33"/>
      </right>
      <top style="thin">
        <color rgb="FFB3BAC1"/>
      </top>
      <bottom style="thin">
        <color rgb="FFB3BAC1"/>
      </bottom>
      <diagonal/>
    </border>
    <border>
      <left style="thin">
        <color rgb="FF141414"/>
      </left>
      <right style="thin">
        <color rgb="FF9DA7B1"/>
      </right>
      <top style="thin">
        <color rgb="FF9DA7B1"/>
      </top>
      <bottom style="thin">
        <color rgb="FF9DA7B1"/>
      </bottom>
      <diagonal/>
    </border>
    <border>
      <left style="medium">
        <color rgb="FF9DA7B1"/>
      </left>
      <right style="medium">
        <color rgb="FF9DA7B1"/>
      </right>
      <top style="thin">
        <color rgb="FF9DA7B1"/>
      </top>
      <bottom style="thin">
        <color rgb="FF9DA7B1"/>
      </bottom>
      <diagonal/>
    </border>
    <border>
      <left style="medium">
        <color rgb="FF9DA7B1"/>
      </left>
      <right style="thin">
        <color rgb="FF9DA7B1"/>
      </right>
      <top style="thin">
        <color rgb="FF9DA7B1"/>
      </top>
      <bottom style="thin">
        <color rgb="FF9DA7B1"/>
      </bottom>
      <diagonal/>
    </border>
    <border>
      <left style="thin">
        <color rgb="FF9DA7B1"/>
      </left>
      <right style="medium">
        <color rgb="FF9DA7B1"/>
      </right>
      <top style="thin">
        <color rgb="FF9DA7B1"/>
      </top>
      <bottom style="thin">
        <color rgb="FF9DA7B1"/>
      </bottom>
      <diagonal/>
    </border>
    <border>
      <left style="thin">
        <color rgb="FF141414"/>
      </left>
      <right style="thin">
        <color rgb="FFB3BAC1"/>
      </right>
      <top style="thin">
        <color rgb="FF9DA7B1"/>
      </top>
      <bottom style="thin">
        <color rgb="FF9DA7B1"/>
      </bottom>
      <diagonal/>
    </border>
    <border>
      <left style="thin">
        <color rgb="FFB3BAC1"/>
      </left>
      <right style="thin">
        <color rgb="FFC8CDD2"/>
      </right>
      <top style="thin">
        <color rgb="FFB3BAC1"/>
      </top>
      <bottom style="thin">
        <color rgb="FFB3BAC1"/>
      </bottom>
      <diagonal/>
    </border>
    <border>
      <left style="thin">
        <color rgb="FF141414"/>
      </left>
      <right/>
      <top style="thin">
        <color rgb="FF9DA7B1"/>
      </top>
      <bottom style="thin">
        <color rgb="FF9DA7B1"/>
      </bottom>
      <diagonal/>
    </border>
    <border>
      <left style="thick">
        <color rgb="FF181A20"/>
      </left>
      <right/>
      <top/>
      <bottom/>
      <diagonal/>
    </border>
    <border>
      <left/>
      <right/>
      <top style="thin">
        <color indexed="64"/>
      </top>
      <bottom style="thin">
        <color indexed="64"/>
      </bottom>
      <diagonal/>
    </border>
    <border>
      <left style="thick">
        <color theme="4"/>
      </left>
      <right style="thick">
        <color theme="4"/>
      </right>
      <top style="thick">
        <color theme="4"/>
      </top>
      <bottom style="thick">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9"/>
      </left>
      <right style="medium">
        <color theme="9"/>
      </right>
      <top style="medium">
        <color theme="9"/>
      </top>
      <bottom style="medium">
        <color theme="9"/>
      </bottom>
      <diagonal/>
    </border>
    <border>
      <left/>
      <right/>
      <top style="medium">
        <color theme="6"/>
      </top>
      <bottom/>
      <diagonal/>
    </border>
    <border>
      <left style="thick">
        <color theme="9"/>
      </left>
      <right style="thick">
        <color theme="9"/>
      </right>
      <top style="thick">
        <color theme="9"/>
      </top>
      <bottom/>
      <diagonal/>
    </border>
    <border>
      <left style="thick">
        <color theme="9"/>
      </left>
      <right style="thick">
        <color theme="9"/>
      </right>
      <top/>
      <bottom/>
      <diagonal/>
    </border>
    <border>
      <left style="thick">
        <color theme="9"/>
      </left>
      <right style="thick">
        <color theme="9"/>
      </right>
      <top/>
      <bottom style="thick">
        <color theme="9"/>
      </bottom>
      <diagonal/>
    </border>
    <border>
      <left style="thin">
        <color auto="1"/>
      </left>
      <right/>
      <top/>
      <bottom style="thin">
        <color theme="2" tint="-0.89996032593768116"/>
      </bottom>
      <diagonal/>
    </border>
    <border>
      <left style="medium">
        <color rgb="FF1E1E1E"/>
      </left>
      <right style="thin">
        <color rgb="FF252B33"/>
      </right>
      <top/>
      <bottom style="thin">
        <color rgb="FF20252C"/>
      </bottom>
      <diagonal/>
    </border>
    <border>
      <left style="thin">
        <color rgb="FF252B33"/>
      </left>
      <right style="medium">
        <color rgb="FF1E1E1E"/>
      </right>
      <top/>
      <bottom style="thin">
        <color rgb="FF20252C"/>
      </bottom>
      <diagonal/>
    </border>
    <border>
      <left style="medium">
        <color rgb="FF1E1E1E"/>
      </left>
      <right style="thin">
        <color rgb="FF1E1E1E"/>
      </right>
      <top/>
      <bottom style="thin">
        <color rgb="FF373737"/>
      </bottom>
      <diagonal/>
    </border>
    <border>
      <left style="thin">
        <color rgb="FF1E1E1E"/>
      </left>
      <right style="medium">
        <color rgb="FF1E1E1E"/>
      </right>
      <top/>
      <bottom style="thin">
        <color rgb="FF373737"/>
      </bottom>
      <diagonal/>
    </border>
    <border>
      <left style="medium">
        <color theme="9"/>
      </left>
      <right style="medium">
        <color theme="9"/>
      </right>
      <top/>
      <bottom style="medium">
        <color theme="9"/>
      </bottom>
      <diagonal/>
    </border>
    <border>
      <left style="medium">
        <color theme="9"/>
      </left>
      <right style="medium">
        <color theme="9"/>
      </right>
      <top style="medium">
        <color theme="9"/>
      </top>
      <bottom/>
      <diagonal/>
    </border>
    <border>
      <left/>
      <right/>
      <top/>
      <bottom style="medium">
        <color theme="8"/>
      </bottom>
      <diagonal/>
    </border>
    <border>
      <left/>
      <right/>
      <top style="medium">
        <color theme="8"/>
      </top>
      <bottom/>
      <diagonal/>
    </border>
    <border>
      <left style="thin">
        <color rgb="FF0F1013"/>
      </left>
      <right style="thin">
        <color rgb="FF252B33"/>
      </right>
      <top/>
      <bottom style="thin">
        <color rgb="FF20252C"/>
      </bottom>
      <diagonal/>
    </border>
    <border>
      <left style="thin">
        <color rgb="FF252B33"/>
      </left>
      <right style="thin">
        <color rgb="FF252B33"/>
      </right>
      <top/>
      <bottom style="thin">
        <color rgb="FF20252C"/>
      </bottom>
      <diagonal/>
    </border>
    <border>
      <left style="thin">
        <color theme="9" tint="9.9948118533890809E-2"/>
      </left>
      <right style="thin">
        <color theme="9" tint="9.9948118533890809E-2"/>
      </right>
      <top style="thin">
        <color theme="9" tint="9.9948118533890809E-2"/>
      </top>
      <bottom style="thin">
        <color theme="9" tint="9.9948118533890809E-2"/>
      </bottom>
      <diagonal/>
    </border>
    <border>
      <left style="thin">
        <color rgb="FF181A20"/>
      </left>
      <right style="thin">
        <color rgb="FF181A20"/>
      </right>
      <top/>
      <bottom style="thin">
        <color rgb="FF181A20"/>
      </bottom>
      <diagonal/>
    </border>
    <border>
      <left style="thin">
        <color rgb="FF181A20"/>
      </left>
      <right/>
      <top/>
      <bottom style="thin">
        <color rgb="FF181A20"/>
      </bottom>
      <diagonal/>
    </border>
    <border>
      <left style="thin">
        <color theme="7"/>
      </left>
      <right style="thin">
        <color theme="7"/>
      </right>
      <top style="thin">
        <color theme="7"/>
      </top>
      <bottom style="thin">
        <color theme="9" tint="9.9948118533890809E-2"/>
      </bottom>
      <diagonal/>
    </border>
    <border>
      <left style="thin">
        <color theme="7"/>
      </left>
      <right style="thin">
        <color theme="7"/>
      </right>
      <top style="thin">
        <color theme="9" tint="9.9948118533890809E-2"/>
      </top>
      <bottom style="thin">
        <color theme="9" tint="9.9948118533890809E-2"/>
      </bottom>
      <diagonal/>
    </border>
    <border>
      <left style="thin">
        <color theme="7"/>
      </left>
      <right style="thin">
        <color theme="9" tint="9.9948118533890809E-2"/>
      </right>
      <top style="thin">
        <color theme="9" tint="9.9948118533890809E-2"/>
      </top>
      <bottom style="thin">
        <color theme="9" tint="9.9948118533890809E-2"/>
      </bottom>
      <diagonal/>
    </border>
    <border>
      <left style="thin">
        <color theme="7"/>
      </left>
      <right style="thin">
        <color theme="7"/>
      </right>
      <top style="thin">
        <color theme="9" tint="9.9948118533890809E-2"/>
      </top>
      <bottom style="thin">
        <color theme="7"/>
      </bottom>
      <diagonal/>
    </border>
    <border>
      <left style="thin">
        <color rgb="FF1E1E1E"/>
      </left>
      <right style="thin">
        <color rgb="FF1E1E1E"/>
      </right>
      <top/>
      <bottom style="thin">
        <color rgb="FF373737"/>
      </bottom>
      <diagonal/>
    </border>
    <border>
      <left style="thin">
        <color theme="1"/>
      </left>
      <right style="thin">
        <color theme="7"/>
      </right>
      <top style="thin">
        <color theme="9" tint="9.9948118533890809E-2"/>
      </top>
      <bottom style="thin">
        <color theme="9" tint="9.9948118533890809E-2"/>
      </bottom>
      <diagonal/>
    </border>
    <border>
      <left style="thin">
        <color theme="7"/>
      </left>
      <right style="thin">
        <color theme="1"/>
      </right>
      <top style="thin">
        <color theme="9" tint="9.9948118533890809E-2"/>
      </top>
      <bottom style="thin">
        <color theme="9" tint="9.9948118533890809E-2"/>
      </bottom>
      <diagonal/>
    </border>
    <border>
      <left style="thin">
        <color rgb="FF181A20"/>
      </left>
      <right style="thin">
        <color rgb="FF252B33"/>
      </right>
      <top style="thin">
        <color rgb="FF20252C"/>
      </top>
      <bottom/>
      <diagonal/>
    </border>
    <border>
      <left style="thin">
        <color rgb="FF252B33"/>
      </left>
      <right style="thin">
        <color rgb="FF252B33"/>
      </right>
      <top style="thin">
        <color rgb="FF20252C"/>
      </top>
      <bottom/>
      <diagonal/>
    </border>
    <border>
      <left style="thin">
        <color rgb="FF252B33"/>
      </left>
      <right/>
      <top/>
      <bottom/>
      <diagonal/>
    </border>
    <border>
      <left style="thin">
        <color auto="1"/>
      </left>
      <right style="thin">
        <color rgb="FF1E1E1E"/>
      </right>
      <top style="thin">
        <color rgb="FF1E1E1E"/>
      </top>
      <bottom/>
      <diagonal/>
    </border>
    <border>
      <left style="thin">
        <color rgb="FF1E1E1E"/>
      </left>
      <right style="thin">
        <color rgb="FF1E1E1E"/>
      </right>
      <top style="thin">
        <color rgb="FF1E1E1E"/>
      </top>
      <bottom/>
      <diagonal/>
    </border>
    <border>
      <left style="thin">
        <color rgb="FF1E1E1E"/>
      </left>
      <right/>
      <top style="thin">
        <color rgb="FF1E1E1E"/>
      </top>
      <bottom/>
      <diagonal/>
    </border>
    <border>
      <left/>
      <right style="thin">
        <color rgb="FF1E1E1E"/>
      </right>
      <top/>
      <bottom/>
      <diagonal/>
    </border>
    <border>
      <left style="thin">
        <color rgb="FF1E1E1E"/>
      </left>
      <right/>
      <top/>
      <bottom/>
      <diagonal/>
    </border>
    <border>
      <left style="thin">
        <color rgb="FF1E1E1E"/>
      </left>
      <right style="thin">
        <color rgb="FF1E1E1E"/>
      </right>
      <top/>
      <bottom/>
      <diagonal/>
    </border>
    <border>
      <left style="thin">
        <color theme="7"/>
      </left>
      <right style="thin">
        <color theme="7"/>
      </right>
      <top/>
      <bottom/>
      <diagonal/>
    </border>
    <border>
      <left style="thin">
        <color rgb="FF181A20"/>
      </left>
      <right style="thin">
        <color rgb="FF181A20"/>
      </right>
      <top/>
      <bottom/>
      <diagonal/>
    </border>
    <border>
      <left style="thin">
        <color rgb="FFB3BAC1"/>
      </left>
      <right style="thin">
        <color rgb="FFB3BAC1"/>
      </right>
      <top/>
      <bottom/>
      <diagonal/>
    </border>
    <border>
      <left/>
      <right style="thin">
        <color rgb="FF252B33"/>
      </right>
      <top/>
      <bottom style="thin">
        <color rgb="FF20252C"/>
      </bottom>
      <diagonal/>
    </border>
    <border>
      <left style="thin">
        <color rgb="FF252B33"/>
      </left>
      <right style="thin">
        <color rgb="FF1E1E1E"/>
      </right>
      <top/>
      <bottom style="thin">
        <color rgb="FF20252C"/>
      </bottom>
      <diagonal/>
    </border>
    <border>
      <left style="thin">
        <color theme="9" tint="9.9948118533890809E-2"/>
      </left>
      <right/>
      <top style="thin">
        <color theme="9" tint="9.9948118533890809E-2"/>
      </top>
      <bottom style="thin">
        <color theme="9" tint="9.9948118533890809E-2"/>
      </bottom>
      <diagonal/>
    </border>
    <border>
      <left/>
      <right style="thin">
        <color theme="9" tint="9.9948118533890809E-2"/>
      </right>
      <top style="medium">
        <color theme="9" tint="9.9948118533890809E-2"/>
      </top>
      <bottom style="thin">
        <color theme="9" tint="9.9948118533890809E-2"/>
      </bottom>
      <diagonal/>
    </border>
    <border>
      <left/>
      <right style="thin">
        <color theme="9" tint="9.9948118533890809E-2"/>
      </right>
      <top style="thin">
        <color theme="9" tint="9.9948118533890809E-2"/>
      </top>
      <bottom style="thin">
        <color theme="9" tint="9.9948118533890809E-2"/>
      </bottom>
      <diagonal/>
    </border>
    <border>
      <left/>
      <right style="thin">
        <color theme="9" tint="9.9948118533890809E-2"/>
      </right>
      <top style="thin">
        <color theme="9" tint="9.9948118533890809E-2"/>
      </top>
      <bottom style="medium">
        <color theme="9" tint="9.9948118533890809E-2"/>
      </bottom>
      <diagonal/>
    </border>
    <border>
      <left style="thin">
        <color rgb="FF1E1E1E"/>
      </left>
      <right style="medium">
        <color rgb="FF1E1E1E"/>
      </right>
      <top/>
      <bottom style="thin">
        <color theme="2" tint="-0.89996032593768116"/>
      </bottom>
      <diagonal/>
    </border>
    <border>
      <left style="thin">
        <color theme="9" tint="9.9948118533890809E-2"/>
      </left>
      <right/>
      <top style="medium">
        <color theme="9" tint="9.9948118533890809E-2"/>
      </top>
      <bottom style="thin">
        <color theme="9" tint="9.9948118533890809E-2"/>
      </bottom>
      <diagonal/>
    </border>
    <border>
      <left style="thin">
        <color theme="9" tint="9.9948118533890809E-2"/>
      </left>
      <right/>
      <top style="thin">
        <color theme="9" tint="9.9948118533890809E-2"/>
      </top>
      <bottom style="medium">
        <color theme="9" tint="9.9948118533890809E-2"/>
      </bottom>
      <diagonal/>
    </border>
    <border>
      <left style="thin">
        <color theme="1" tint="4.9989318521683403E-2"/>
      </left>
      <right style="thin">
        <color rgb="FF181A20"/>
      </right>
      <top/>
      <bottom style="thin">
        <color rgb="FF181A20"/>
      </bottom>
      <diagonal/>
    </border>
    <border>
      <left style="thin">
        <color rgb="FF181A20"/>
      </left>
      <right style="medium">
        <color rgb="FF1E1E1E"/>
      </right>
      <top/>
      <bottom style="thin">
        <color rgb="FF181A20"/>
      </bottom>
      <diagonal/>
    </border>
    <border>
      <left/>
      <right style="thin">
        <color rgb="FF181A20"/>
      </right>
      <top/>
      <bottom style="thin">
        <color rgb="FF181A20"/>
      </bottom>
      <diagonal/>
    </border>
    <border>
      <left style="thin">
        <color theme="8"/>
      </left>
      <right style="thin">
        <color theme="8"/>
      </right>
      <top style="thin">
        <color theme="8"/>
      </top>
      <bottom style="thin">
        <color theme="9" tint="9.9948118533890809E-2"/>
      </bottom>
      <diagonal/>
    </border>
    <border>
      <left style="thin">
        <color theme="8"/>
      </left>
      <right style="thin">
        <color theme="8"/>
      </right>
      <top style="thin">
        <color theme="9" tint="9.9948118533890809E-2"/>
      </top>
      <bottom style="thin">
        <color theme="9" tint="9.9948118533890809E-2"/>
      </bottom>
      <diagonal/>
    </border>
    <border>
      <left style="medium">
        <color rgb="FF1E1E1E"/>
      </left>
      <right style="thin">
        <color rgb="FF414141"/>
      </right>
      <top/>
      <bottom style="thin">
        <color rgb="FF20252C"/>
      </bottom>
      <diagonal/>
    </border>
    <border>
      <left style="thin">
        <color rgb="FF414141"/>
      </left>
      <right style="thin">
        <color rgb="FF414141"/>
      </right>
      <top/>
      <bottom style="thin">
        <color rgb="FF20252C"/>
      </bottom>
      <diagonal/>
    </border>
    <border>
      <left style="thin">
        <color rgb="FF414141"/>
      </left>
      <right style="medium">
        <color rgb="FF1E1E1E"/>
      </right>
      <top/>
      <bottom style="thin">
        <color rgb="FF20252C"/>
      </bottom>
      <diagonal/>
    </border>
    <border>
      <left style="thin">
        <color theme="9" tint="9.9948118533890809E-2"/>
      </left>
      <right style="thin">
        <color rgb="FF414141"/>
      </right>
      <top style="thin">
        <color theme="9" tint="9.9948118533890809E-2"/>
      </top>
      <bottom style="thin">
        <color theme="9" tint="9.9948118533890809E-2"/>
      </bottom>
      <diagonal/>
    </border>
    <border>
      <left style="thin">
        <color rgb="FF414141"/>
      </left>
      <right style="thin">
        <color rgb="FF414141"/>
      </right>
      <top style="thin">
        <color theme="9" tint="9.9948118533890809E-2"/>
      </top>
      <bottom style="thin">
        <color theme="9" tint="9.9948118533890809E-2"/>
      </bottom>
      <diagonal/>
    </border>
    <border>
      <left style="thin">
        <color rgb="FF414141"/>
      </left>
      <right style="thin">
        <color theme="9" tint="9.9948118533890809E-2"/>
      </right>
      <top style="thin">
        <color theme="9" tint="9.9948118533890809E-2"/>
      </top>
      <bottom style="thin">
        <color theme="9" tint="9.9948118533890809E-2"/>
      </bottom>
      <diagonal/>
    </border>
    <border>
      <left style="thin">
        <color theme="9" tint="9.9948118533890809E-2"/>
      </left>
      <right style="thin">
        <color theme="9" tint="9.9948118533890809E-2"/>
      </right>
      <top style="thin">
        <color rgb="FF181A20"/>
      </top>
      <bottom style="thin">
        <color theme="9" tint="9.9917600024414813E-2"/>
      </bottom>
      <diagonal/>
    </border>
    <border>
      <left style="thin">
        <color theme="9" tint="9.9948118533890809E-2"/>
      </left>
      <right style="thin">
        <color theme="9" tint="9.9948118533890809E-2"/>
      </right>
      <top style="thin">
        <color theme="9" tint="9.9917600024414813E-2"/>
      </top>
      <bottom style="thin">
        <color theme="9" tint="9.9917600024414813E-2"/>
      </bottom>
      <diagonal/>
    </border>
    <border>
      <left style="thin">
        <color theme="9" tint="9.9948118533890809E-2"/>
      </left>
      <right style="thin">
        <color theme="9" tint="9.9948118533890809E-2"/>
      </right>
      <top style="thin">
        <color theme="9" tint="9.9917600024414813E-2"/>
      </top>
      <bottom style="thin">
        <color rgb="FF181A20"/>
      </bottom>
      <diagonal/>
    </border>
    <border>
      <left style="thin">
        <color rgb="FF252B33"/>
      </left>
      <right style="thin">
        <color theme="1" tint="0.14996795556505021"/>
      </right>
      <top/>
      <bottom style="thin">
        <color rgb="FF20252C"/>
      </bottom>
      <diagonal/>
    </border>
    <border>
      <left style="thin">
        <color rgb="FF141414"/>
      </left>
      <right/>
      <top/>
      <bottom/>
      <diagonal/>
    </border>
  </borders>
  <cellStyleXfs count="13">
    <xf numFmtId="0" fontId="0" fillId="0" borderId="0"/>
    <xf numFmtId="43" fontId="1" fillId="0" borderId="0" applyFont="0" applyFill="0" applyBorder="0" applyAlignment="0" applyProtection="0"/>
    <xf numFmtId="0" fontId="3" fillId="0" borderId="0"/>
    <xf numFmtId="43" fontId="5" fillId="0" borderId="0"/>
    <xf numFmtId="0" fontId="10" fillId="0" borderId="0" applyNumberFormat="0" applyFill="0" applyBorder="0" applyAlignment="0" applyProtection="0"/>
    <xf numFmtId="0" fontId="5" fillId="0" borderId="0"/>
    <xf numFmtId="0" fontId="5" fillId="0" borderId="0"/>
    <xf numFmtId="43" fontId="3" fillId="0" borderId="0"/>
    <xf numFmtId="0" fontId="3" fillId="0" borderId="0"/>
    <xf numFmtId="0" fontId="3" fillId="0" borderId="0"/>
    <xf numFmtId="9" fontId="1" fillId="0" borderId="0" applyFon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cellStyleXfs>
  <cellXfs count="1132">
    <xf numFmtId="0" fontId="0" fillId="0" borderId="0" xfId="0"/>
    <xf numFmtId="0" fontId="2" fillId="0" borderId="0" xfId="0" applyFont="1"/>
    <xf numFmtId="0" fontId="70" fillId="0" borderId="0" xfId="0" applyFont="1"/>
    <xf numFmtId="0" fontId="56" fillId="0" borderId="0" xfId="0" applyFont="1"/>
    <xf numFmtId="0" fontId="2" fillId="0" borderId="0" xfId="0" applyFont="1" applyAlignment="1">
      <alignment horizontal="center"/>
    </xf>
    <xf numFmtId="0" fontId="47" fillId="0" borderId="0" xfId="0" applyFont="1"/>
    <xf numFmtId="0" fontId="57" fillId="0" borderId="0" xfId="0" applyFont="1"/>
    <xf numFmtId="0" fontId="2" fillId="0" borderId="0" xfId="0" applyFont="1" applyProtection="1">
      <protection hidden="1"/>
    </xf>
    <xf numFmtId="0" fontId="3" fillId="3" borderId="0" xfId="2" applyFill="1"/>
    <xf numFmtId="14" fontId="3" fillId="3" borderId="0" xfId="2" applyNumberFormat="1" applyFill="1"/>
    <xf numFmtId="14" fontId="0" fillId="0" borderId="0" xfId="0" applyNumberFormat="1"/>
    <xf numFmtId="0" fontId="0" fillId="4" borderId="0" xfId="0" applyFill="1"/>
    <xf numFmtId="14" fontId="14" fillId="4" borderId="0" xfId="5" applyNumberFormat="1" applyFont="1" applyFill="1" applyAlignment="1">
      <alignment horizontal="center" vertical="center"/>
    </xf>
    <xf numFmtId="14" fontId="137" fillId="4" borderId="0" xfId="2" applyNumberFormat="1" applyFont="1" applyFill="1" applyAlignment="1">
      <alignment vertical="center" wrapText="1"/>
    </xf>
    <xf numFmtId="166" fontId="61" fillId="4" borderId="0" xfId="5" applyNumberFormat="1" applyFont="1" applyFill="1" applyAlignment="1">
      <alignment vertical="center"/>
    </xf>
    <xf numFmtId="10" fontId="27" fillId="4" borderId="0" xfId="2" applyNumberFormat="1" applyFont="1" applyFill="1" applyAlignment="1" applyProtection="1">
      <alignment vertical="center" wrapText="1"/>
      <protection hidden="1"/>
    </xf>
    <xf numFmtId="0" fontId="43" fillId="4" borderId="0" xfId="2" applyFont="1" applyFill="1" applyAlignment="1" applyProtection="1">
      <alignment vertical="center"/>
      <protection hidden="1"/>
    </xf>
    <xf numFmtId="43" fontId="0" fillId="0" borderId="0" xfId="1" applyFont="1"/>
    <xf numFmtId="184" fontId="141" fillId="5" borderId="3" xfId="10" applyNumberFormat="1" applyFont="1" applyFill="1" applyBorder="1" applyAlignment="1" applyProtection="1">
      <alignment horizontal="center"/>
      <protection hidden="1"/>
    </xf>
    <xf numFmtId="0" fontId="18" fillId="4" borderId="0" xfId="2" applyFont="1" applyFill="1" applyProtection="1">
      <protection hidden="1"/>
    </xf>
    <xf numFmtId="0" fontId="148" fillId="4" borderId="1" xfId="0" applyFont="1" applyFill="1" applyBorder="1"/>
    <xf numFmtId="0" fontId="155" fillId="0" borderId="0" xfId="0" applyFont="1" applyAlignment="1">
      <alignment horizontal="left"/>
    </xf>
    <xf numFmtId="0" fontId="67" fillId="0" borderId="0" xfId="0" applyFont="1"/>
    <xf numFmtId="0" fontId="69" fillId="0" borderId="0" xfId="11" applyFont="1" applyAlignment="1"/>
    <xf numFmtId="0" fontId="68" fillId="0" borderId="0" xfId="0" applyFont="1"/>
    <xf numFmtId="0" fontId="58" fillId="0" borderId="0" xfId="0" applyFont="1"/>
    <xf numFmtId="0" fontId="156" fillId="0" borderId="0" xfId="0" applyFont="1"/>
    <xf numFmtId="0" fontId="157" fillId="0" borderId="0" xfId="0" applyFont="1"/>
    <xf numFmtId="0" fontId="158" fillId="0" borderId="0" xfId="0" applyFont="1"/>
    <xf numFmtId="0" fontId="0" fillId="6" borderId="0" xfId="0" applyFill="1"/>
    <xf numFmtId="9" fontId="0" fillId="0" borderId="0" xfId="10" applyFont="1"/>
    <xf numFmtId="14" fontId="71" fillId="0" borderId="0" xfId="0" applyNumberFormat="1" applyFont="1" applyAlignment="1" applyProtection="1">
      <alignment vertical="center"/>
      <protection hidden="1"/>
    </xf>
    <xf numFmtId="194" fontId="0" fillId="0" borderId="0" xfId="0" applyNumberFormat="1"/>
    <xf numFmtId="0" fontId="0" fillId="0" borderId="4" xfId="0" applyBorder="1"/>
    <xf numFmtId="0" fontId="0" fillId="7" borderId="0" xfId="0" applyFill="1"/>
    <xf numFmtId="0" fontId="0" fillId="0" borderId="0" xfId="0" applyAlignment="1">
      <alignment horizontal="right"/>
    </xf>
    <xf numFmtId="0" fontId="0" fillId="0" borderId="10" xfId="0" applyBorder="1"/>
    <xf numFmtId="0" fontId="0" fillId="0" borderId="11" xfId="0" applyBorder="1"/>
    <xf numFmtId="9" fontId="0" fillId="7" borderId="0" xfId="10" applyFont="1" applyFill="1"/>
    <xf numFmtId="0" fontId="0" fillId="0" borderId="12" xfId="0" applyBorder="1"/>
    <xf numFmtId="0" fontId="0" fillId="0" borderId="13" xfId="0" applyBorder="1"/>
    <xf numFmtId="0" fontId="0" fillId="0" borderId="14" xfId="0" applyBorder="1"/>
    <xf numFmtId="0" fontId="0" fillId="0" borderId="5" xfId="0" applyBorder="1"/>
    <xf numFmtId="0" fontId="0" fillId="0" borderId="15" xfId="0" applyBorder="1"/>
    <xf numFmtId="0" fontId="0" fillId="0" borderId="16" xfId="0" applyBorder="1"/>
    <xf numFmtId="173" fontId="0" fillId="7" borderId="0" xfId="0" applyNumberFormat="1" applyFill="1"/>
    <xf numFmtId="43" fontId="0" fillId="0" borderId="0" xfId="0" applyNumberFormat="1"/>
    <xf numFmtId="14" fontId="0" fillId="7" borderId="0" xfId="0" applyNumberFormat="1" applyFill="1"/>
    <xf numFmtId="14" fontId="0" fillId="0" borderId="4" xfId="0" applyNumberFormat="1" applyBorder="1"/>
    <xf numFmtId="14" fontId="0" fillId="0" borderId="0" xfId="0" applyNumberFormat="1" applyAlignment="1">
      <alignment horizontal="right"/>
    </xf>
    <xf numFmtId="173" fontId="0" fillId="0" borderId="0" xfId="1" applyNumberFormat="1" applyFont="1"/>
    <xf numFmtId="43" fontId="0" fillId="0" borderId="18" xfId="1" applyFont="1" applyBorder="1"/>
    <xf numFmtId="183" fontId="0" fillId="0" borderId="0" xfId="0" applyNumberFormat="1"/>
    <xf numFmtId="0" fontId="107" fillId="4" borderId="0" xfId="0" applyFont="1" applyFill="1"/>
    <xf numFmtId="0" fontId="112" fillId="4" borderId="0" xfId="0" applyFont="1" applyFill="1" applyAlignment="1">
      <alignment horizontal="right" vertical="center"/>
    </xf>
    <xf numFmtId="0" fontId="100" fillId="4" borderId="0" xfId="0" applyFont="1" applyFill="1"/>
    <xf numFmtId="197" fontId="144" fillId="4" borderId="0" xfId="0" applyNumberFormat="1" applyFont="1" applyFill="1" applyProtection="1">
      <protection hidden="1"/>
    </xf>
    <xf numFmtId="0" fontId="0" fillId="11" borderId="0" xfId="0" applyFill="1"/>
    <xf numFmtId="0" fontId="80" fillId="11" borderId="0" xfId="0" applyFont="1" applyFill="1"/>
    <xf numFmtId="0" fontId="148" fillId="11" borderId="0" xfId="0" applyFont="1" applyFill="1"/>
    <xf numFmtId="0" fontId="41" fillId="11" borderId="0" xfId="0" applyFont="1" applyFill="1"/>
    <xf numFmtId="14" fontId="29" fillId="11" borderId="0" xfId="2" applyNumberFormat="1" applyFont="1" applyFill="1" applyAlignment="1">
      <alignment horizontal="center"/>
    </xf>
    <xf numFmtId="0" fontId="29" fillId="11" borderId="0" xfId="2" applyFont="1" applyFill="1" applyAlignment="1">
      <alignment horizontal="center"/>
    </xf>
    <xf numFmtId="43" fontId="30" fillId="11" borderId="0" xfId="3" applyFont="1" applyFill="1"/>
    <xf numFmtId="0" fontId="29" fillId="11" borderId="0" xfId="2" applyFont="1" applyFill="1"/>
    <xf numFmtId="43" fontId="30" fillId="11" borderId="0" xfId="3" applyFont="1" applyFill="1" applyAlignment="1">
      <alignment horizontal="center"/>
    </xf>
    <xf numFmtId="0" fontId="48" fillId="11" borderId="0" xfId="2" applyFont="1" applyFill="1" applyAlignment="1">
      <alignment vertical="center"/>
    </xf>
    <xf numFmtId="43" fontId="164" fillId="11" borderId="0" xfId="1" applyFont="1" applyFill="1" applyAlignment="1"/>
    <xf numFmtId="0" fontId="164" fillId="11" borderId="0" xfId="2" applyFont="1" applyFill="1"/>
    <xf numFmtId="43" fontId="165" fillId="11" borderId="0" xfId="1" applyFont="1" applyFill="1" applyBorder="1" applyAlignment="1"/>
    <xf numFmtId="43" fontId="164" fillId="11" borderId="0" xfId="1" applyFont="1" applyFill="1" applyBorder="1" applyAlignment="1"/>
    <xf numFmtId="43" fontId="154" fillId="11" borderId="0" xfId="1" applyFont="1" applyFill="1" applyBorder="1" applyAlignment="1"/>
    <xf numFmtId="43" fontId="154" fillId="11" borderId="0" xfId="1" applyFont="1" applyFill="1" applyAlignment="1"/>
    <xf numFmtId="0" fontId="33" fillId="11" borderId="0" xfId="2" applyFont="1" applyFill="1" applyAlignment="1">
      <alignment horizontal="center"/>
    </xf>
    <xf numFmtId="10" fontId="39" fillId="11" borderId="0" xfId="2" applyNumberFormat="1" applyFont="1" applyFill="1" applyAlignment="1" applyProtection="1">
      <alignment vertical="center" wrapText="1"/>
      <protection hidden="1"/>
    </xf>
    <xf numFmtId="0" fontId="160" fillId="11" borderId="0" xfId="2" applyFont="1" applyFill="1" applyAlignment="1">
      <alignment horizontal="center" vertical="center" wrapText="1"/>
    </xf>
    <xf numFmtId="0" fontId="183" fillId="0" borderId="0" xfId="0" applyFont="1"/>
    <xf numFmtId="0" fontId="184" fillId="0" borderId="0" xfId="0" applyFont="1"/>
    <xf numFmtId="0" fontId="11" fillId="11" borderId="6" xfId="0" applyFont="1" applyFill="1" applyBorder="1" applyAlignment="1">
      <alignment horizontal="center"/>
    </xf>
    <xf numFmtId="170" fontId="111" fillId="11" borderId="0" xfId="3" applyNumberFormat="1" applyFont="1" applyFill="1" applyAlignment="1" applyProtection="1">
      <alignment horizontal="center" vertical="center"/>
      <protection hidden="1"/>
    </xf>
    <xf numFmtId="170" fontId="111" fillId="11" borderId="0" xfId="3" applyNumberFormat="1" applyFont="1" applyFill="1" applyAlignment="1" applyProtection="1">
      <alignment horizontal="center"/>
      <protection hidden="1"/>
    </xf>
    <xf numFmtId="172" fontId="201" fillId="9" borderId="22" xfId="2" applyNumberFormat="1" applyFont="1" applyFill="1" applyBorder="1" applyAlignment="1" applyProtection="1">
      <alignment horizontal="center"/>
      <protection hidden="1"/>
    </xf>
    <xf numFmtId="3" fontId="201" fillId="9" borderId="23" xfId="3" applyNumberFormat="1" applyFont="1" applyFill="1" applyBorder="1" applyAlignment="1" applyProtection="1">
      <alignment horizontal="center"/>
      <protection hidden="1"/>
    </xf>
    <xf numFmtId="171" fontId="201" fillId="9" borderId="23" xfId="10" applyNumberFormat="1" applyFont="1" applyFill="1" applyBorder="1" applyAlignment="1" applyProtection="1">
      <alignment horizontal="center"/>
      <protection hidden="1"/>
    </xf>
    <xf numFmtId="171" fontId="178" fillId="9" borderId="23" xfId="10" applyNumberFormat="1" applyFont="1" applyFill="1" applyBorder="1" applyAlignment="1" applyProtection="1">
      <alignment horizontal="center"/>
      <protection hidden="1"/>
    </xf>
    <xf numFmtId="170" fontId="201" fillId="9" borderId="24" xfId="3" applyNumberFormat="1" applyFont="1" applyFill="1" applyBorder="1" applyAlignment="1" applyProtection="1">
      <alignment horizontal="center"/>
      <protection hidden="1"/>
    </xf>
    <xf numFmtId="177" fontId="179" fillId="9" borderId="23" xfId="1" applyNumberFormat="1" applyFont="1" applyFill="1" applyBorder="1" applyAlignment="1" applyProtection="1">
      <alignment horizontal="right"/>
      <protection hidden="1"/>
    </xf>
    <xf numFmtId="10" fontId="179" fillId="9" borderId="23" xfId="3" applyNumberFormat="1" applyFont="1" applyFill="1" applyBorder="1" applyAlignment="1" applyProtection="1">
      <alignment horizontal="center"/>
      <protection hidden="1"/>
    </xf>
    <xf numFmtId="0" fontId="0" fillId="14" borderId="0" xfId="0" applyFill="1"/>
    <xf numFmtId="0" fontId="202" fillId="11" borderId="6" xfId="0" applyFont="1" applyFill="1" applyBorder="1" applyAlignment="1">
      <alignment horizontal="center"/>
    </xf>
    <xf numFmtId="0" fontId="107" fillId="11" borderId="0" xfId="0" applyFont="1" applyFill="1"/>
    <xf numFmtId="0" fontId="207" fillId="11" borderId="0" xfId="0" applyFont="1" applyFill="1" applyAlignment="1" applyProtection="1">
      <alignment horizontal="left" vertical="center"/>
      <protection hidden="1"/>
    </xf>
    <xf numFmtId="0" fontId="207" fillId="11" borderId="0" xfId="2" applyFont="1" applyFill="1" applyAlignment="1">
      <alignment horizontal="left"/>
    </xf>
    <xf numFmtId="43" fontId="208" fillId="12" borderId="28" xfId="1" applyFont="1" applyFill="1" applyBorder="1" applyAlignment="1">
      <alignment horizontal="left" vertical="center"/>
    </xf>
    <xf numFmtId="204" fontId="220" fillId="9" borderId="29" xfId="3" applyNumberFormat="1" applyFont="1" applyFill="1" applyBorder="1" applyAlignment="1" applyProtection="1">
      <alignment horizontal="center" vertical="center"/>
      <protection hidden="1"/>
    </xf>
    <xf numFmtId="0" fontId="202" fillId="11" borderId="49" xfId="0" applyFont="1" applyFill="1" applyBorder="1" applyAlignment="1">
      <alignment horizontal="center"/>
    </xf>
    <xf numFmtId="202" fontId="218" fillId="9" borderId="50" xfId="10" applyNumberFormat="1" applyFont="1" applyFill="1" applyBorder="1" applyAlignment="1" applyProtection="1">
      <alignment horizontal="center" vertical="center"/>
      <protection hidden="1"/>
    </xf>
    <xf numFmtId="0" fontId="193" fillId="13" borderId="51" xfId="0" applyFont="1" applyFill="1" applyBorder="1" applyAlignment="1">
      <alignment horizontal="center" vertical="center"/>
    </xf>
    <xf numFmtId="172" fontId="193" fillId="15" borderId="26" xfId="2" applyNumberFormat="1" applyFont="1" applyFill="1" applyBorder="1" applyAlignment="1" applyProtection="1">
      <alignment horizontal="center"/>
      <protection hidden="1"/>
    </xf>
    <xf numFmtId="3" fontId="193" fillId="15" borderId="26" xfId="3" applyNumberFormat="1" applyFont="1" applyFill="1" applyBorder="1" applyAlignment="1" applyProtection="1">
      <alignment horizontal="center"/>
      <protection hidden="1"/>
    </xf>
    <xf numFmtId="171" fontId="193" fillId="15" borderId="26" xfId="10" applyNumberFormat="1" applyFont="1" applyFill="1" applyBorder="1" applyAlignment="1" applyProtection="1">
      <alignment horizontal="center"/>
      <protection hidden="1"/>
    </xf>
    <xf numFmtId="170" fontId="193" fillId="15" borderId="27" xfId="3" applyNumberFormat="1" applyFont="1" applyFill="1" applyBorder="1" applyAlignment="1" applyProtection="1">
      <alignment horizontal="center"/>
      <protection hidden="1"/>
    </xf>
    <xf numFmtId="177" fontId="224" fillId="15" borderId="26" xfId="1" applyNumberFormat="1" applyFont="1" applyFill="1" applyBorder="1" applyAlignment="1" applyProtection="1">
      <alignment horizontal="right"/>
      <protection hidden="1"/>
    </xf>
    <xf numFmtId="10" fontId="224" fillId="15" borderId="26" xfId="3" applyNumberFormat="1" applyFont="1" applyFill="1" applyBorder="1" applyAlignment="1" applyProtection="1">
      <alignment horizontal="center"/>
      <protection hidden="1"/>
    </xf>
    <xf numFmtId="171" fontId="225" fillId="15" borderId="26" xfId="10" applyNumberFormat="1" applyFont="1" applyFill="1" applyBorder="1" applyAlignment="1" applyProtection="1">
      <alignment horizontal="center"/>
      <protection hidden="1"/>
    </xf>
    <xf numFmtId="202" fontId="194" fillId="15" borderId="26" xfId="10" applyNumberFormat="1" applyFont="1" applyFill="1" applyBorder="1" applyAlignment="1" applyProtection="1">
      <alignment horizontal="center" vertical="center"/>
      <protection hidden="1"/>
    </xf>
    <xf numFmtId="168" fontId="201" fillId="13" borderId="26" xfId="0" applyNumberFormat="1" applyFont="1" applyFill="1" applyBorder="1" applyAlignment="1">
      <alignment vertical="center"/>
    </xf>
    <xf numFmtId="3" fontId="192" fillId="13" borderId="26" xfId="0" applyNumberFormat="1" applyFont="1" applyFill="1" applyBorder="1" applyAlignment="1">
      <alignment horizontal="center" vertical="center"/>
    </xf>
    <xf numFmtId="168" fontId="193" fillId="13" borderId="26" xfId="0" applyNumberFormat="1" applyFont="1" applyFill="1" applyBorder="1" applyAlignment="1">
      <alignment vertical="center"/>
    </xf>
    <xf numFmtId="167" fontId="193" fillId="13" borderId="26" xfId="0" applyNumberFormat="1" applyFont="1" applyFill="1" applyBorder="1" applyAlignment="1">
      <alignment vertical="center"/>
    </xf>
    <xf numFmtId="43" fontId="193" fillId="15" borderId="26" xfId="1" applyFont="1" applyFill="1" applyBorder="1" applyAlignment="1" applyProtection="1">
      <alignment vertical="center"/>
      <protection hidden="1"/>
    </xf>
    <xf numFmtId="193" fontId="193" fillId="15" borderId="26" xfId="2" applyNumberFormat="1" applyFont="1" applyFill="1" applyBorder="1" applyAlignment="1" applyProtection="1">
      <alignment horizontal="right" vertical="center"/>
      <protection hidden="1"/>
    </xf>
    <xf numFmtId="165" fontId="193" fillId="15" borderId="26" xfId="7" applyNumberFormat="1" applyFont="1" applyFill="1" applyBorder="1" applyAlignment="1" applyProtection="1">
      <alignment horizontal="center" vertical="center"/>
      <protection hidden="1"/>
    </xf>
    <xf numFmtId="10" fontId="193" fillId="15" borderId="26" xfId="8" applyNumberFormat="1" applyFont="1" applyFill="1" applyBorder="1" applyAlignment="1" applyProtection="1">
      <alignment vertical="center"/>
      <protection hidden="1"/>
    </xf>
    <xf numFmtId="1" fontId="193" fillId="13" borderId="27" xfId="0" applyNumberFormat="1" applyFont="1" applyFill="1" applyBorder="1" applyAlignment="1">
      <alignment vertical="center"/>
    </xf>
    <xf numFmtId="167" fontId="193" fillId="13" borderId="25" xfId="0" applyNumberFormat="1" applyFont="1" applyFill="1" applyBorder="1" applyAlignment="1">
      <alignment vertical="center"/>
    </xf>
    <xf numFmtId="1" fontId="194" fillId="15" borderId="53" xfId="10" applyNumberFormat="1" applyFont="1" applyFill="1" applyBorder="1" applyAlignment="1" applyProtection="1">
      <alignment horizontal="center" vertical="center"/>
      <protection hidden="1"/>
    </xf>
    <xf numFmtId="10" fontId="193" fillId="15" borderId="54" xfId="8" applyNumberFormat="1" applyFont="1" applyFill="1" applyBorder="1" applyAlignment="1" applyProtection="1">
      <alignment horizontal="center" vertical="center"/>
      <protection hidden="1"/>
    </xf>
    <xf numFmtId="168" fontId="193" fillId="13" borderId="27" xfId="0" applyNumberFormat="1" applyFont="1" applyFill="1" applyBorder="1" applyAlignment="1">
      <alignment vertical="center"/>
    </xf>
    <xf numFmtId="43" fontId="228" fillId="13" borderId="55" xfId="1" applyFont="1" applyFill="1" applyBorder="1" applyAlignment="1">
      <alignment horizontal="left" vertical="center"/>
    </xf>
    <xf numFmtId="165" fontId="193" fillId="15" borderId="53" xfId="7" applyNumberFormat="1" applyFont="1" applyFill="1" applyBorder="1" applyAlignment="1" applyProtection="1">
      <alignment horizontal="center" vertical="center"/>
      <protection hidden="1"/>
    </xf>
    <xf numFmtId="10" fontId="193" fillId="15" borderId="54" xfId="8" applyNumberFormat="1" applyFont="1" applyFill="1" applyBorder="1" applyAlignment="1" applyProtection="1">
      <alignment vertical="center"/>
      <protection hidden="1"/>
    </xf>
    <xf numFmtId="0" fontId="202" fillId="14" borderId="25" xfId="2" applyFont="1" applyFill="1" applyBorder="1" applyAlignment="1">
      <alignment horizontal="center"/>
    </xf>
    <xf numFmtId="0" fontId="0" fillId="14" borderId="26" xfId="0" applyFill="1" applyBorder="1"/>
    <xf numFmtId="0" fontId="227" fillId="15" borderId="26" xfId="2" applyFont="1" applyFill="1" applyBorder="1" applyAlignment="1" applyProtection="1">
      <alignment horizontal="center"/>
      <protection hidden="1"/>
    </xf>
    <xf numFmtId="14" fontId="193" fillId="13" borderId="51" xfId="9" applyNumberFormat="1" applyFont="1" applyFill="1" applyBorder="1" applyAlignment="1">
      <alignment horizontal="center" vertical="center"/>
    </xf>
    <xf numFmtId="204" fontId="230" fillId="13" borderId="51" xfId="6" applyNumberFormat="1" applyFont="1" applyFill="1" applyBorder="1" applyAlignment="1">
      <alignment horizontal="center" vertical="center"/>
    </xf>
    <xf numFmtId="204" fontId="230" fillId="13" borderId="52" xfId="2" applyNumberFormat="1" applyFont="1" applyFill="1" applyBorder="1" applyAlignment="1">
      <alignment horizontal="center" vertical="center"/>
    </xf>
    <xf numFmtId="204" fontId="230" fillId="15" borderId="57" xfId="3" applyNumberFormat="1" applyFont="1" applyFill="1" applyBorder="1" applyAlignment="1" applyProtection="1">
      <alignment horizontal="center" vertical="center"/>
      <protection hidden="1"/>
    </xf>
    <xf numFmtId="0" fontId="229" fillId="14" borderId="60" xfId="0" applyFont="1" applyFill="1" applyBorder="1" applyAlignment="1">
      <alignment horizontal="center"/>
    </xf>
    <xf numFmtId="0" fontId="11" fillId="14" borderId="60" xfId="0" applyFont="1" applyFill="1" applyBorder="1" applyAlignment="1">
      <alignment horizontal="center"/>
    </xf>
    <xf numFmtId="0" fontId="230" fillId="13" borderId="25" xfId="2" applyFont="1" applyFill="1" applyBorder="1" applyAlignment="1">
      <alignment horizontal="center"/>
    </xf>
    <xf numFmtId="0" fontId="230" fillId="13" borderId="26" xfId="2" applyFont="1" applyFill="1" applyBorder="1" applyAlignment="1">
      <alignment horizontal="center"/>
    </xf>
    <xf numFmtId="14" fontId="230" fillId="13" borderId="26" xfId="3" applyNumberFormat="1" applyFont="1" applyFill="1" applyBorder="1" applyAlignment="1">
      <alignment horizontal="center"/>
    </xf>
    <xf numFmtId="0" fontId="229" fillId="16" borderId="62" xfId="0" applyFont="1" applyFill="1" applyBorder="1" applyAlignment="1">
      <alignment horizontal="center"/>
    </xf>
    <xf numFmtId="9" fontId="0" fillId="0" borderId="0" xfId="0" applyNumberFormat="1"/>
    <xf numFmtId="205" fontId="201" fillId="9" borderId="23" xfId="3" applyNumberFormat="1" applyFont="1" applyFill="1" applyBorder="1" applyAlignment="1" applyProtection="1">
      <alignment horizontal="center"/>
      <protection hidden="1"/>
    </xf>
    <xf numFmtId="205" fontId="0" fillId="0" borderId="0" xfId="0" applyNumberFormat="1"/>
    <xf numFmtId="205" fontId="193" fillId="15" borderId="26" xfId="3" applyNumberFormat="1" applyFont="1" applyFill="1" applyBorder="1" applyAlignment="1" applyProtection="1">
      <alignment horizontal="center"/>
      <protection hidden="1"/>
    </xf>
    <xf numFmtId="205" fontId="0" fillId="11" borderId="0" xfId="0" applyNumberFormat="1" applyFill="1"/>
    <xf numFmtId="0" fontId="239" fillId="0" borderId="0" xfId="0" applyFont="1"/>
    <xf numFmtId="4" fontId="193" fillId="15" borderId="26" xfId="2" applyNumberFormat="1" applyFont="1" applyFill="1" applyBorder="1" applyAlignment="1" applyProtection="1">
      <alignment horizontal="right" vertical="center"/>
      <protection hidden="1"/>
    </xf>
    <xf numFmtId="170" fontId="178" fillId="9" borderId="23" xfId="3" applyNumberFormat="1" applyFont="1" applyFill="1" applyBorder="1" applyAlignment="1" applyProtection="1">
      <alignment horizontal="right"/>
      <protection hidden="1"/>
    </xf>
    <xf numFmtId="170" fontId="0" fillId="0" borderId="0" xfId="0" applyNumberFormat="1" applyAlignment="1">
      <alignment horizontal="right"/>
    </xf>
    <xf numFmtId="170" fontId="225" fillId="15" borderId="26" xfId="3" applyNumberFormat="1" applyFont="1" applyFill="1" applyBorder="1" applyAlignment="1" applyProtection="1">
      <alignment horizontal="right"/>
      <protection hidden="1"/>
    </xf>
    <xf numFmtId="170" fontId="179" fillId="9" borderId="23" xfId="3" applyNumberFormat="1" applyFont="1" applyFill="1" applyBorder="1" applyAlignment="1" applyProtection="1">
      <alignment horizontal="right"/>
      <protection hidden="1"/>
    </xf>
    <xf numFmtId="170" fontId="193" fillId="15" borderId="26" xfId="3" applyNumberFormat="1" applyFont="1" applyFill="1" applyBorder="1" applyAlignment="1" applyProtection="1">
      <alignment horizontal="right"/>
      <protection hidden="1"/>
    </xf>
    <xf numFmtId="0" fontId="0" fillId="0" borderId="64" xfId="0" applyBorder="1"/>
    <xf numFmtId="0" fontId="34" fillId="11" borderId="0" xfId="2" applyFont="1" applyFill="1" applyAlignment="1" applyProtection="1">
      <alignment horizontal="right"/>
      <protection hidden="1"/>
    </xf>
    <xf numFmtId="43" fontId="35" fillId="11" borderId="0" xfId="2" applyNumberFormat="1" applyFont="1" applyFill="1" applyAlignment="1" applyProtection="1">
      <alignment horizontal="right"/>
      <protection hidden="1"/>
    </xf>
    <xf numFmtId="43" fontId="36" fillId="11" borderId="0" xfId="1" applyFont="1" applyFill="1" applyAlignment="1" applyProtection="1">
      <alignment horizontal="right"/>
      <protection hidden="1"/>
    </xf>
    <xf numFmtId="17" fontId="37" fillId="11" borderId="0" xfId="2" applyNumberFormat="1" applyFont="1" applyFill="1" applyAlignment="1" applyProtection="1">
      <alignment horizontal="right"/>
      <protection hidden="1"/>
    </xf>
    <xf numFmtId="196" fontId="193" fillId="15" borderId="26" xfId="3" applyNumberFormat="1" applyFont="1" applyFill="1" applyBorder="1" applyProtection="1">
      <protection hidden="1"/>
    </xf>
    <xf numFmtId="196" fontId="193" fillId="15" borderId="26" xfId="2" applyNumberFormat="1" applyFont="1" applyFill="1" applyBorder="1" applyProtection="1">
      <protection hidden="1"/>
    </xf>
    <xf numFmtId="196" fontId="226" fillId="15" borderId="26" xfId="2" applyNumberFormat="1" applyFont="1" applyFill="1" applyBorder="1" applyAlignment="1" applyProtection="1">
      <alignment horizontal="center"/>
      <protection hidden="1"/>
    </xf>
    <xf numFmtId="193" fontId="178" fillId="15" borderId="26" xfId="2" applyNumberFormat="1" applyFont="1" applyFill="1" applyBorder="1" applyAlignment="1" applyProtection="1">
      <alignment horizontal="right" vertical="center"/>
      <protection hidden="1"/>
    </xf>
    <xf numFmtId="0" fontId="242" fillId="15" borderId="0" xfId="0" applyFont="1" applyFill="1"/>
    <xf numFmtId="0" fontId="0" fillId="18" borderId="0" xfId="0" applyFill="1"/>
    <xf numFmtId="0" fontId="0" fillId="19" borderId="0" xfId="0" applyFill="1"/>
    <xf numFmtId="0" fontId="244" fillId="19" borderId="0" xfId="0" applyFont="1" applyFill="1" applyAlignment="1">
      <alignment vertical="center"/>
    </xf>
    <xf numFmtId="0" fontId="245" fillId="17" borderId="65" xfId="0" applyFont="1" applyFill="1" applyBorder="1" applyAlignment="1">
      <alignment horizontal="center" vertical="center" wrapText="1"/>
    </xf>
    <xf numFmtId="0" fontId="241" fillId="18" borderId="0" xfId="0" applyFont="1" applyFill="1"/>
    <xf numFmtId="0" fontId="0" fillId="0" borderId="66" xfId="0" applyBorder="1"/>
    <xf numFmtId="0" fontId="0" fillId="0" borderId="66" xfId="0" applyBorder="1" applyAlignment="1">
      <alignment horizontal="center"/>
    </xf>
    <xf numFmtId="0" fontId="0" fillId="20" borderId="66" xfId="0" applyFill="1" applyBorder="1" applyAlignment="1">
      <alignment horizontal="center"/>
    </xf>
    <xf numFmtId="0" fontId="0" fillId="0" borderId="66" xfId="0" applyBorder="1" applyAlignment="1">
      <alignment horizontal="center" vertical="center"/>
    </xf>
    <xf numFmtId="0" fontId="243" fillId="20" borderId="66" xfId="0" applyFont="1" applyFill="1" applyBorder="1" applyAlignment="1">
      <alignment horizontal="center"/>
    </xf>
    <xf numFmtId="0" fontId="0" fillId="21" borderId="0" xfId="0" applyFill="1"/>
    <xf numFmtId="0" fontId="247" fillId="18" borderId="0" xfId="0" applyFont="1" applyFill="1"/>
    <xf numFmtId="0" fontId="248" fillId="18" borderId="0" xfId="0" applyFont="1" applyFill="1"/>
    <xf numFmtId="0" fontId="248" fillId="0" borderId="0" xfId="0" applyFont="1"/>
    <xf numFmtId="43" fontId="249" fillId="18" borderId="0" xfId="1" applyFont="1" applyFill="1"/>
    <xf numFmtId="14" fontId="249" fillId="18" borderId="0" xfId="0" applyNumberFormat="1" applyFont="1" applyFill="1"/>
    <xf numFmtId="43" fontId="244" fillId="18" borderId="0" xfId="1" applyFont="1" applyFill="1"/>
    <xf numFmtId="206" fontId="250" fillId="18" borderId="68" xfId="0" applyNumberFormat="1" applyFont="1" applyFill="1" applyBorder="1" applyAlignment="1">
      <alignment horizontal="left"/>
    </xf>
    <xf numFmtId="43" fontId="251" fillId="18" borderId="68" xfId="1" applyFont="1" applyFill="1" applyBorder="1" applyAlignment="1">
      <alignment horizontal="center"/>
    </xf>
    <xf numFmtId="173" fontId="251" fillId="18" borderId="68" xfId="1" applyNumberFormat="1" applyFont="1" applyFill="1" applyBorder="1" applyAlignment="1">
      <alignment horizontal="center"/>
    </xf>
    <xf numFmtId="206" fontId="251" fillId="18" borderId="68" xfId="0" applyNumberFormat="1" applyFont="1" applyFill="1" applyBorder="1" applyAlignment="1">
      <alignment horizontal="center"/>
    </xf>
    <xf numFmtId="0" fontId="251" fillId="18" borderId="68" xfId="0" applyFont="1" applyFill="1" applyBorder="1" applyAlignment="1">
      <alignment horizontal="center"/>
    </xf>
    <xf numFmtId="208" fontId="252" fillId="23" borderId="70" xfId="1" applyNumberFormat="1" applyFont="1" applyFill="1" applyBorder="1" applyAlignment="1" applyProtection="1">
      <alignment horizontal="left" vertical="top"/>
      <protection hidden="1"/>
    </xf>
    <xf numFmtId="0" fontId="0" fillId="18" borderId="0" xfId="0" applyFill="1" applyAlignment="1">
      <alignment vertical="top"/>
    </xf>
    <xf numFmtId="0" fontId="0" fillId="0" borderId="0" xfId="0" applyAlignment="1">
      <alignment vertical="top"/>
    </xf>
    <xf numFmtId="173" fontId="0" fillId="0" borderId="0" xfId="1" applyNumberFormat="1" applyFont="1" applyAlignment="1">
      <alignment vertical="top"/>
    </xf>
    <xf numFmtId="207" fontId="254" fillId="18" borderId="0" xfId="0" applyNumberFormat="1" applyFont="1" applyFill="1" applyAlignment="1" applyProtection="1">
      <alignment horizontal="left" vertical="top"/>
      <protection hidden="1"/>
    </xf>
    <xf numFmtId="206" fontId="250" fillId="18" borderId="68" xfId="0" applyNumberFormat="1" applyFont="1" applyFill="1" applyBorder="1" applyAlignment="1" applyProtection="1">
      <alignment horizontal="left"/>
      <protection hidden="1"/>
    </xf>
    <xf numFmtId="43" fontId="251" fillId="18" borderId="68" xfId="1" applyFont="1" applyFill="1" applyBorder="1" applyAlignment="1" applyProtection="1">
      <alignment horizontal="center"/>
      <protection hidden="1"/>
    </xf>
    <xf numFmtId="173" fontId="251" fillId="18" borderId="68" xfId="1" applyNumberFormat="1" applyFont="1" applyFill="1" applyBorder="1" applyAlignment="1" applyProtection="1">
      <alignment horizontal="center"/>
      <protection hidden="1"/>
    </xf>
    <xf numFmtId="206" fontId="251" fillId="18" borderId="68" xfId="0" applyNumberFormat="1" applyFont="1" applyFill="1" applyBorder="1" applyAlignment="1" applyProtection="1">
      <alignment horizontal="center"/>
      <protection hidden="1"/>
    </xf>
    <xf numFmtId="0" fontId="251" fillId="18" borderId="68" xfId="0" applyFont="1" applyFill="1" applyBorder="1" applyAlignment="1" applyProtection="1">
      <alignment horizontal="center"/>
      <protection hidden="1"/>
    </xf>
    <xf numFmtId="206" fontId="255" fillId="18" borderId="68" xfId="0" applyNumberFormat="1" applyFont="1" applyFill="1" applyBorder="1" applyAlignment="1" applyProtection="1">
      <alignment horizontal="left"/>
      <protection hidden="1"/>
    </xf>
    <xf numFmtId="0" fontId="257" fillId="17" borderId="65" xfId="0" applyFont="1" applyFill="1" applyBorder="1" applyAlignment="1">
      <alignment horizontal="left" vertical="top" wrapText="1"/>
    </xf>
    <xf numFmtId="0" fontId="49" fillId="0" borderId="0" xfId="0" applyFont="1" applyAlignment="1">
      <alignment vertical="center"/>
    </xf>
    <xf numFmtId="0" fontId="246" fillId="0" borderId="0" xfId="1" applyNumberFormat="1" applyFont="1" applyFill="1" applyAlignment="1">
      <alignment horizontal="center" vertical="center"/>
    </xf>
    <xf numFmtId="0" fontId="49" fillId="0" borderId="0" xfId="1" applyNumberFormat="1" applyFont="1" applyFill="1" applyAlignment="1">
      <alignment vertical="center"/>
    </xf>
    <xf numFmtId="0" fontId="182" fillId="0" borderId="0" xfId="0" applyFont="1" applyAlignment="1">
      <alignment vertical="center"/>
    </xf>
    <xf numFmtId="0" fontId="182" fillId="0" borderId="0" xfId="1" applyNumberFormat="1" applyFont="1" applyFill="1" applyAlignment="1">
      <alignment vertical="center"/>
    </xf>
    <xf numFmtId="43" fontId="52" fillId="0" borderId="0" xfId="1" applyFont="1" applyFill="1" applyAlignment="1">
      <alignment horizontal="center" vertical="center"/>
    </xf>
    <xf numFmtId="0" fontId="50" fillId="0" borderId="0" xfId="0" applyFont="1" applyAlignment="1">
      <alignment horizontal="right" vertical="center"/>
    </xf>
    <xf numFmtId="0" fontId="51" fillId="0" borderId="0" xfId="0" applyFont="1" applyAlignment="1">
      <alignment vertical="center"/>
    </xf>
    <xf numFmtId="0" fontId="53" fillId="0" borderId="0" xfId="0" applyFont="1" applyAlignment="1" applyProtection="1">
      <alignment horizontal="right"/>
      <protection hidden="1"/>
    </xf>
    <xf numFmtId="14" fontId="54" fillId="0" borderId="0" xfId="0" applyNumberFormat="1" applyFont="1" applyAlignment="1">
      <alignment vertical="top"/>
    </xf>
    <xf numFmtId="0" fontId="4" fillId="0" borderId="0" xfId="0" applyFont="1"/>
    <xf numFmtId="0" fontId="55" fillId="0" borderId="0" xfId="0" applyFont="1" applyProtection="1">
      <protection hidden="1"/>
    </xf>
    <xf numFmtId="0" fontId="91" fillId="24" borderId="0" xfId="0" applyFont="1" applyFill="1" applyAlignment="1">
      <alignment vertical="center"/>
    </xf>
    <xf numFmtId="0" fontId="118" fillId="24" borderId="0" xfId="0" applyFont="1" applyFill="1" applyAlignment="1">
      <alignment vertical="center"/>
    </xf>
    <xf numFmtId="0" fontId="90" fillId="24" borderId="0" xfId="0" applyFont="1" applyFill="1"/>
    <xf numFmtId="0" fontId="80" fillId="24" borderId="0" xfId="0" applyFont="1" applyFill="1"/>
    <xf numFmtId="0" fontId="223" fillId="24" borderId="0" xfId="0" applyFont="1" applyFill="1" applyAlignment="1">
      <alignment vertical="center"/>
    </xf>
    <xf numFmtId="10" fontId="92" fillId="24" borderId="0" xfId="0" applyNumberFormat="1" applyFont="1" applyFill="1" applyAlignment="1">
      <alignment horizontal="left"/>
    </xf>
    <xf numFmtId="22" fontId="73" fillId="24" borderId="0" xfId="0" applyNumberFormat="1" applyFont="1" applyFill="1" applyAlignment="1">
      <alignment horizontal="right"/>
    </xf>
    <xf numFmtId="0" fontId="107" fillId="24" borderId="0" xfId="0" applyFont="1" applyFill="1"/>
    <xf numFmtId="10" fontId="80" fillId="24" borderId="0" xfId="10" applyNumberFormat="1" applyFont="1" applyFill="1" applyBorder="1" applyAlignment="1">
      <alignment horizontal="center"/>
    </xf>
    <xf numFmtId="22" fontId="28" fillId="24" borderId="0" xfId="0" applyNumberFormat="1" applyFont="1" applyFill="1"/>
    <xf numFmtId="0" fontId="90" fillId="24" borderId="0" xfId="0" applyFont="1" applyFill="1" applyAlignment="1">
      <alignment vertical="center"/>
    </xf>
    <xf numFmtId="1" fontId="175" fillId="24" borderId="0" xfId="0" applyNumberFormat="1" applyFont="1" applyFill="1" applyAlignment="1" applyProtection="1">
      <alignment horizontal="center" vertical="center"/>
      <protection hidden="1"/>
    </xf>
    <xf numFmtId="3" fontId="175" fillId="24" borderId="0" xfId="1" applyNumberFormat="1" applyFont="1" applyFill="1" applyBorder="1" applyAlignment="1" applyProtection="1">
      <alignment horizontal="center" vertical="center"/>
      <protection hidden="1"/>
    </xf>
    <xf numFmtId="171" fontId="175" fillId="24" borderId="0" xfId="10" applyNumberFormat="1" applyFont="1" applyFill="1" applyBorder="1" applyAlignment="1" applyProtection="1">
      <alignment horizontal="center" vertical="center"/>
      <protection hidden="1"/>
    </xf>
    <xf numFmtId="22" fontId="188" fillId="24" borderId="0" xfId="0" applyNumberFormat="1" applyFont="1" applyFill="1"/>
    <xf numFmtId="0" fontId="187" fillId="24" borderId="0" xfId="0" applyFont="1" applyFill="1" applyAlignment="1">
      <alignment horizontal="center" vertical="center"/>
    </xf>
    <xf numFmtId="43" fontId="28" fillId="24" borderId="0" xfId="1" applyFont="1" applyFill="1" applyBorder="1"/>
    <xf numFmtId="0" fontId="204" fillId="24" borderId="0" xfId="0" applyFont="1" applyFill="1" applyAlignment="1">
      <alignment horizontal="right"/>
    </xf>
    <xf numFmtId="22" fontId="122" fillId="24" borderId="0" xfId="0" applyNumberFormat="1" applyFont="1" applyFill="1" applyAlignment="1">
      <alignment horizontal="right"/>
    </xf>
    <xf numFmtId="22" fontId="28" fillId="24" borderId="0" xfId="0" applyNumberFormat="1" applyFont="1" applyFill="1" applyAlignment="1">
      <alignment horizontal="right"/>
    </xf>
    <xf numFmtId="22" fontId="188" fillId="24" borderId="0" xfId="0" applyNumberFormat="1" applyFont="1" applyFill="1" applyAlignment="1">
      <alignment horizontal="right"/>
    </xf>
    <xf numFmtId="10" fontId="179" fillId="24" borderId="0" xfId="10" applyNumberFormat="1" applyFont="1" applyFill="1" applyBorder="1" applyAlignment="1" applyProtection="1">
      <alignment horizontal="right"/>
      <protection hidden="1"/>
    </xf>
    <xf numFmtId="10" fontId="92" fillId="24" borderId="0" xfId="0" applyNumberFormat="1" applyFont="1" applyFill="1" applyAlignment="1">
      <alignment horizontal="right"/>
    </xf>
    <xf numFmtId="44" fontId="93" fillId="24" borderId="0" xfId="12" applyFont="1" applyFill="1" applyBorder="1" applyAlignment="1" applyProtection="1">
      <alignment horizontal="center"/>
      <protection hidden="1"/>
    </xf>
    <xf numFmtId="10" fontId="93" fillId="24" borderId="0" xfId="10" applyNumberFormat="1" applyFont="1" applyFill="1" applyBorder="1" applyAlignment="1" applyProtection="1">
      <alignment horizontal="center"/>
      <protection hidden="1"/>
    </xf>
    <xf numFmtId="0" fontId="101" fillId="24" borderId="0" xfId="0" applyFont="1" applyFill="1" applyAlignment="1">
      <alignment vertical="top"/>
    </xf>
    <xf numFmtId="0" fontId="185" fillId="24" borderId="0" xfId="0" applyFont="1" applyFill="1" applyAlignment="1">
      <alignment horizontal="center" vertical="center"/>
    </xf>
    <xf numFmtId="0" fontId="186" fillId="24" borderId="0" xfId="0" applyFont="1" applyFill="1"/>
    <xf numFmtId="22" fontId="92" fillId="24" borderId="0" xfId="0" applyNumberFormat="1" applyFont="1" applyFill="1" applyAlignment="1">
      <alignment horizontal="right"/>
    </xf>
    <xf numFmtId="0" fontId="95" fillId="24" borderId="0" xfId="0" applyFont="1" applyFill="1"/>
    <xf numFmtId="0" fontId="169" fillId="24" borderId="0" xfId="0" applyFont="1" applyFill="1" applyAlignment="1">
      <alignment horizontal="right"/>
    </xf>
    <xf numFmtId="10" fontId="233" fillId="24" borderId="0" xfId="10" applyNumberFormat="1" applyFont="1" applyFill="1" applyBorder="1" applyAlignment="1" applyProtection="1">
      <alignment horizontal="right"/>
      <protection hidden="1"/>
    </xf>
    <xf numFmtId="191" fontId="178" fillId="24" borderId="0" xfId="10" applyNumberFormat="1" applyFont="1" applyFill="1" applyBorder="1" applyAlignment="1" applyProtection="1">
      <alignment horizontal="right"/>
      <protection hidden="1"/>
    </xf>
    <xf numFmtId="22" fontId="99" fillId="24" borderId="0" xfId="0" applyNumberFormat="1" applyFont="1" applyFill="1" applyAlignment="1">
      <alignment horizontal="left"/>
    </xf>
    <xf numFmtId="43" fontId="104" fillId="24" borderId="0" xfId="1" applyFont="1" applyFill="1" applyBorder="1" applyAlignment="1">
      <alignment horizontal="left"/>
    </xf>
    <xf numFmtId="0" fontId="139" fillId="24" borderId="0" xfId="0" applyFont="1" applyFill="1"/>
    <xf numFmtId="22" fontId="99" fillId="24" borderId="0" xfId="0" applyNumberFormat="1" applyFont="1" applyFill="1" applyAlignment="1" applyProtection="1">
      <alignment horizontal="left"/>
      <protection hidden="1"/>
    </xf>
    <xf numFmtId="43" fontId="99" fillId="24" borderId="0" xfId="1" applyFont="1" applyFill="1" applyBorder="1" applyAlignment="1"/>
    <xf numFmtId="43" fontId="100" fillId="24" borderId="0" xfId="1" applyFont="1" applyFill="1" applyBorder="1" applyAlignment="1" applyProtection="1">
      <alignment horizontal="left"/>
      <protection hidden="1"/>
    </xf>
    <xf numFmtId="43" fontId="113" fillId="24" borderId="0" xfId="1" applyFont="1" applyFill="1" applyBorder="1"/>
    <xf numFmtId="9" fontId="232" fillId="24" borderId="0" xfId="10" applyFont="1" applyFill="1" applyBorder="1" applyAlignment="1" applyProtection="1">
      <alignment horizontal="right"/>
      <protection hidden="1"/>
    </xf>
    <xf numFmtId="43" fontId="105" fillId="24" borderId="0" xfId="1" applyFont="1" applyFill="1" applyBorder="1" applyAlignment="1">
      <alignment horizontal="left"/>
    </xf>
    <xf numFmtId="179" fontId="106" fillId="24" borderId="0" xfId="0" applyNumberFormat="1" applyFont="1" applyFill="1" applyAlignment="1">
      <alignment horizontal="right"/>
    </xf>
    <xf numFmtId="3" fontId="106" fillId="24" borderId="0" xfId="1" applyNumberFormat="1" applyFont="1" applyFill="1" applyBorder="1" applyAlignment="1">
      <alignment horizontal="right"/>
    </xf>
    <xf numFmtId="22" fontId="108" fillId="24" borderId="0" xfId="0" applyNumberFormat="1" applyFont="1" applyFill="1" applyAlignment="1">
      <alignment horizontal="right"/>
    </xf>
    <xf numFmtId="10" fontId="222" fillId="24" borderId="0" xfId="0" applyNumberFormat="1" applyFont="1" applyFill="1"/>
    <xf numFmtId="10" fontId="186" fillId="24" borderId="0" xfId="10" applyNumberFormat="1" applyFont="1" applyFill="1" applyBorder="1"/>
    <xf numFmtId="10" fontId="213" fillId="24" borderId="0" xfId="0" applyNumberFormat="1" applyFont="1" applyFill="1"/>
    <xf numFmtId="10" fontId="209" fillId="24" borderId="0" xfId="0" applyNumberFormat="1" applyFont="1" applyFill="1" applyAlignment="1">
      <alignment horizontal="right"/>
    </xf>
    <xf numFmtId="14" fontId="185" fillId="24" borderId="0" xfId="0" applyNumberFormat="1" applyFont="1" applyFill="1" applyAlignment="1">
      <alignment vertical="center"/>
    </xf>
    <xf numFmtId="14" fontId="185" fillId="24" borderId="0" xfId="0" applyNumberFormat="1" applyFont="1" applyFill="1" applyAlignment="1">
      <alignment horizontal="center" vertical="center"/>
    </xf>
    <xf numFmtId="10" fontId="80" fillId="24" borderId="0" xfId="10" applyNumberFormat="1" applyFont="1" applyFill="1" applyBorder="1"/>
    <xf numFmtId="14" fontId="203" fillId="24" borderId="0" xfId="0" applyNumberFormat="1" applyFont="1" applyFill="1" applyAlignment="1">
      <alignment horizontal="center" vertical="center"/>
    </xf>
    <xf numFmtId="0" fontId="231" fillId="24" borderId="0" xfId="0" applyFont="1" applyFill="1" applyAlignment="1" applyProtection="1">
      <alignment horizontal="center" vertical="center"/>
      <protection hidden="1"/>
    </xf>
    <xf numFmtId="171" fontId="231" fillId="24" borderId="0" xfId="10" applyNumberFormat="1" applyFont="1" applyFill="1" applyBorder="1" applyAlignment="1" applyProtection="1">
      <alignment horizontal="center"/>
      <protection hidden="1"/>
    </xf>
    <xf numFmtId="22" fontId="80" fillId="24" borderId="0" xfId="0" applyNumberFormat="1" applyFont="1" applyFill="1"/>
    <xf numFmtId="0" fontId="79" fillId="24" borderId="0" xfId="0" applyFont="1" applyFill="1"/>
    <xf numFmtId="43" fontId="204" fillId="24" borderId="0" xfId="1" applyFont="1" applyFill="1" applyBorder="1" applyAlignment="1" applyProtection="1">
      <alignment horizontal="left" vertical="center"/>
      <protection hidden="1"/>
    </xf>
    <xf numFmtId="171" fontId="204" fillId="24" borderId="0" xfId="10" applyNumberFormat="1" applyFont="1" applyFill="1" applyBorder="1" applyAlignment="1" applyProtection="1">
      <alignment horizontal="left" vertical="center"/>
      <protection hidden="1"/>
    </xf>
    <xf numFmtId="0" fontId="222" fillId="24" borderId="0" xfId="10" applyNumberFormat="1" applyFont="1" applyFill="1" applyBorder="1" applyAlignment="1" applyProtection="1">
      <alignment horizontal="center" vertical="center"/>
      <protection hidden="1"/>
    </xf>
    <xf numFmtId="184" fontId="259" fillId="24" borderId="0" xfId="10" applyNumberFormat="1" applyFont="1" applyFill="1" applyBorder="1" applyAlignment="1" applyProtection="1">
      <alignment horizontal="center"/>
      <protection hidden="1"/>
    </xf>
    <xf numFmtId="184" fontId="260" fillId="24" borderId="0" xfId="10" applyNumberFormat="1" applyFont="1" applyFill="1" applyBorder="1" applyAlignment="1" applyProtection="1">
      <alignment horizontal="center"/>
      <protection hidden="1"/>
    </xf>
    <xf numFmtId="184" fontId="261" fillId="24" borderId="0" xfId="10" applyNumberFormat="1" applyFont="1" applyFill="1" applyBorder="1" applyAlignment="1" applyProtection="1">
      <alignment horizontal="center"/>
      <protection hidden="1"/>
    </xf>
    <xf numFmtId="173" fontId="259" fillId="24" borderId="0" xfId="1" applyNumberFormat="1" applyFont="1" applyFill="1" applyBorder="1" applyAlignment="1">
      <alignment horizontal="center"/>
    </xf>
    <xf numFmtId="188" fontId="261" fillId="24" borderId="0" xfId="1" applyNumberFormat="1" applyFont="1" applyFill="1" applyBorder="1" applyAlignment="1">
      <alignment horizontal="center"/>
    </xf>
    <xf numFmtId="0" fontId="207" fillId="18" borderId="0" xfId="0" applyFont="1" applyFill="1" applyAlignment="1" applyProtection="1">
      <alignment horizontal="left"/>
      <protection hidden="1"/>
    </xf>
    <xf numFmtId="0" fontId="131" fillId="18" borderId="0" xfId="0" applyFont="1" applyFill="1" applyAlignment="1" applyProtection="1">
      <alignment horizontal="left" vertical="center" wrapText="1"/>
      <protection hidden="1"/>
    </xf>
    <xf numFmtId="0" fontId="143" fillId="18" borderId="0" xfId="0" applyFont="1" applyFill="1" applyProtection="1">
      <protection hidden="1"/>
    </xf>
    <xf numFmtId="0" fontId="124" fillId="18" borderId="0" xfId="0" applyFont="1" applyFill="1" applyAlignment="1" applyProtection="1">
      <alignment horizontal="right"/>
      <protection hidden="1"/>
    </xf>
    <xf numFmtId="10" fontId="2" fillId="18" borderId="0" xfId="10" applyNumberFormat="1" applyFont="1" applyFill="1" applyBorder="1" applyAlignment="1">
      <alignment horizontal="center"/>
    </xf>
    <xf numFmtId="0" fontId="59" fillId="18" borderId="0" xfId="0" applyFont="1" applyFill="1" applyProtection="1">
      <protection hidden="1"/>
    </xf>
    <xf numFmtId="0" fontId="2" fillId="18" borderId="0" xfId="0" applyFont="1" applyFill="1"/>
    <xf numFmtId="0" fontId="20" fillId="18" borderId="0" xfId="0" applyFont="1" applyFill="1" applyAlignment="1" applyProtection="1">
      <alignment vertical="center" wrapText="1"/>
      <protection hidden="1"/>
    </xf>
    <xf numFmtId="0" fontId="63" fillId="18" borderId="0" xfId="0" applyFont="1" applyFill="1" applyAlignment="1" applyProtection="1">
      <alignment wrapText="1"/>
      <protection hidden="1"/>
    </xf>
    <xf numFmtId="0" fontId="44" fillId="18" borderId="0" xfId="0" applyFont="1" applyFill="1" applyAlignment="1" applyProtection="1">
      <alignment wrapText="1"/>
      <protection hidden="1"/>
    </xf>
    <xf numFmtId="0" fontId="63" fillId="18" borderId="0" xfId="0" applyFont="1" applyFill="1" applyAlignment="1">
      <alignment wrapText="1"/>
    </xf>
    <xf numFmtId="0" fontId="185" fillId="18" borderId="0" xfId="0" applyFont="1" applyFill="1" applyAlignment="1" applyProtection="1">
      <alignment horizontal="right"/>
      <protection hidden="1"/>
    </xf>
    <xf numFmtId="0" fontId="24" fillId="18" borderId="0" xfId="0" applyFont="1" applyFill="1" applyAlignment="1" applyProtection="1">
      <alignment vertical="center"/>
      <protection hidden="1"/>
    </xf>
    <xf numFmtId="0" fontId="2" fillId="18" borderId="0" xfId="0" applyFont="1" applyFill="1" applyAlignment="1">
      <alignment vertical="center"/>
    </xf>
    <xf numFmtId="10" fontId="261" fillId="24" borderId="0" xfId="10" applyNumberFormat="1" applyFont="1" applyFill="1" applyBorder="1" applyAlignment="1" applyProtection="1">
      <alignment horizontal="right"/>
      <protection hidden="1"/>
    </xf>
    <xf numFmtId="10" fontId="267" fillId="24" borderId="0" xfId="10" applyNumberFormat="1" applyFont="1" applyFill="1" applyBorder="1" applyAlignment="1" applyProtection="1">
      <alignment vertical="center"/>
      <protection hidden="1"/>
    </xf>
    <xf numFmtId="1" fontId="268" fillId="24" borderId="0" xfId="0" applyNumberFormat="1" applyFont="1" applyFill="1" applyAlignment="1">
      <alignment horizontal="center" vertical="center"/>
    </xf>
    <xf numFmtId="3" fontId="268" fillId="24" borderId="0" xfId="1" applyNumberFormat="1" applyFont="1" applyFill="1" applyBorder="1" applyAlignment="1" applyProtection="1">
      <alignment horizontal="center" vertical="center"/>
      <protection hidden="1"/>
    </xf>
    <xf numFmtId="1" fontId="268" fillId="24" borderId="0" xfId="0" applyNumberFormat="1" applyFont="1" applyFill="1" applyAlignment="1" applyProtection="1">
      <alignment horizontal="center" vertical="center"/>
      <protection hidden="1"/>
    </xf>
    <xf numFmtId="171" fontId="268" fillId="24" borderId="0" xfId="10" applyNumberFormat="1" applyFont="1" applyFill="1" applyBorder="1" applyAlignment="1" applyProtection="1">
      <alignment horizontal="center" vertical="center"/>
      <protection hidden="1"/>
    </xf>
    <xf numFmtId="4" fontId="80" fillId="24" borderId="0" xfId="0" applyNumberFormat="1" applyFont="1" applyFill="1"/>
    <xf numFmtId="0" fontId="0" fillId="24" borderId="0" xfId="0" applyFill="1"/>
    <xf numFmtId="0" fontId="269" fillId="0" borderId="0" xfId="0" applyFont="1"/>
    <xf numFmtId="0" fontId="42" fillId="24" borderId="0" xfId="4" applyFont="1" applyFill="1" applyBorder="1" applyAlignment="1">
      <alignment vertical="center"/>
    </xf>
    <xf numFmtId="0" fontId="196" fillId="24" borderId="0" xfId="4" applyFont="1" applyFill="1" applyBorder="1" applyAlignment="1">
      <alignment horizontal="centerContinuous" vertical="center"/>
    </xf>
    <xf numFmtId="171" fontId="263" fillId="24" borderId="0" xfId="10" applyNumberFormat="1" applyFont="1" applyFill="1" applyBorder="1" applyAlignment="1" applyProtection="1">
      <alignment horizontal="center"/>
      <protection hidden="1"/>
    </xf>
    <xf numFmtId="0" fontId="207" fillId="24" borderId="0" xfId="0" applyFont="1" applyFill="1" applyAlignment="1" applyProtection="1">
      <alignment horizontal="left"/>
      <protection hidden="1"/>
    </xf>
    <xf numFmtId="14" fontId="77" fillId="24" borderId="0" xfId="0" applyNumberFormat="1" applyFont="1" applyFill="1" applyAlignment="1">
      <alignment horizontal="center"/>
    </xf>
    <xf numFmtId="14" fontId="264" fillId="24" borderId="0" xfId="0" applyNumberFormat="1" applyFont="1" applyFill="1" applyAlignment="1">
      <alignment horizontal="center"/>
    </xf>
    <xf numFmtId="0" fontId="264" fillId="24" borderId="0" xfId="0" applyFont="1" applyFill="1" applyAlignment="1">
      <alignment horizontal="center"/>
    </xf>
    <xf numFmtId="165" fontId="264" fillId="24" borderId="0" xfId="7" applyNumberFormat="1" applyFont="1" applyFill="1"/>
    <xf numFmtId="43" fontId="77" fillId="24" borderId="0" xfId="7" applyFont="1" applyFill="1"/>
    <xf numFmtId="0" fontId="78" fillId="24" borderId="0" xfId="0" applyFont="1" applyFill="1"/>
    <xf numFmtId="0" fontId="77" fillId="24" borderId="0" xfId="0" applyFont="1" applyFill="1"/>
    <xf numFmtId="10" fontId="77" fillId="24" borderId="0" xfId="0" applyNumberFormat="1" applyFont="1" applyFill="1"/>
    <xf numFmtId="0" fontId="4" fillId="24" borderId="0" xfId="0" applyFont="1" applyFill="1"/>
    <xf numFmtId="0" fontId="4" fillId="24" borderId="0" xfId="0" applyFont="1" applyFill="1" applyAlignment="1">
      <alignment horizontal="center"/>
    </xf>
    <xf numFmtId="2" fontId="96" fillId="24" borderId="0" xfId="0" quotePrefix="1" applyNumberFormat="1" applyFont="1" applyFill="1" applyAlignment="1" applyProtection="1">
      <alignment horizontal="center" vertical="center"/>
      <protection hidden="1"/>
    </xf>
    <xf numFmtId="43" fontId="102" fillId="24" borderId="0" xfId="7" applyFont="1" applyFill="1" applyAlignment="1" applyProtection="1">
      <alignment vertical="center"/>
      <protection hidden="1"/>
    </xf>
    <xf numFmtId="43" fontId="132" fillId="24" borderId="0" xfId="7" applyFont="1" applyFill="1" applyAlignment="1" applyProtection="1">
      <alignment vertical="center" wrapText="1"/>
      <protection hidden="1"/>
    </xf>
    <xf numFmtId="0" fontId="0" fillId="24" borderId="0" xfId="0" applyFill="1" applyAlignment="1">
      <alignment vertical="center"/>
    </xf>
    <xf numFmtId="2" fontId="197" fillId="24" borderId="0" xfId="0" quotePrefix="1" applyNumberFormat="1" applyFont="1" applyFill="1" applyAlignment="1" applyProtection="1">
      <alignment horizontal="centerContinuous" vertical="center"/>
      <protection hidden="1"/>
    </xf>
    <xf numFmtId="43" fontId="114" fillId="24" borderId="0" xfId="7" applyFont="1" applyFill="1" applyAlignment="1" applyProtection="1">
      <alignment vertical="center"/>
      <protection hidden="1"/>
    </xf>
    <xf numFmtId="43" fontId="153" fillId="24" borderId="0" xfId="7" applyFont="1" applyFill="1" applyAlignment="1" applyProtection="1">
      <alignment vertical="center" wrapText="1"/>
      <protection hidden="1"/>
    </xf>
    <xf numFmtId="10" fontId="204" fillId="24" borderId="0" xfId="7" applyNumberFormat="1" applyFont="1" applyFill="1" applyAlignment="1" applyProtection="1">
      <alignment horizontal="center" vertical="top" wrapText="1"/>
      <protection hidden="1"/>
    </xf>
    <xf numFmtId="0" fontId="185" fillId="24" borderId="0" xfId="0" applyFont="1" applyFill="1" applyAlignment="1">
      <alignment horizontal="center" vertical="center" wrapText="1"/>
    </xf>
    <xf numFmtId="43" fontId="121" fillId="24" borderId="0" xfId="1" applyFont="1" applyFill="1" applyBorder="1"/>
    <xf numFmtId="43" fontId="109" fillId="24" borderId="0" xfId="7" applyFont="1" applyFill="1" applyAlignment="1" applyProtection="1">
      <alignment vertical="center" wrapText="1"/>
      <protection hidden="1"/>
    </xf>
    <xf numFmtId="10" fontId="204" fillId="24" borderId="0" xfId="7" applyNumberFormat="1" applyFont="1" applyFill="1" applyAlignment="1" applyProtection="1">
      <alignment horizontal="center" vertical="center"/>
      <protection hidden="1"/>
    </xf>
    <xf numFmtId="178" fontId="262" fillId="24" borderId="0" xfId="0" applyNumberFormat="1" applyFont="1" applyFill="1" applyProtection="1">
      <protection hidden="1"/>
    </xf>
    <xf numFmtId="37" fontId="262" fillId="24" borderId="0" xfId="0" applyNumberFormat="1" applyFont="1" applyFill="1" applyProtection="1">
      <protection hidden="1"/>
    </xf>
    <xf numFmtId="0" fontId="244" fillId="24" borderId="0" xfId="0" applyFont="1" applyFill="1"/>
    <xf numFmtId="166" fontId="107" fillId="24" borderId="0" xfId="0" applyNumberFormat="1" applyFont="1" applyFill="1"/>
    <xf numFmtId="10" fontId="204" fillId="24" borderId="0" xfId="8" applyNumberFormat="1" applyFont="1" applyFill="1" applyAlignment="1" applyProtection="1">
      <alignment horizontal="center" vertical="center"/>
      <protection hidden="1"/>
    </xf>
    <xf numFmtId="9" fontId="191" fillId="24" borderId="0" xfId="10" applyFont="1" applyFill="1" applyBorder="1"/>
    <xf numFmtId="0" fontId="240" fillId="24" borderId="0" xfId="0" applyFont="1" applyFill="1" applyAlignment="1">
      <alignment vertical="center"/>
    </xf>
    <xf numFmtId="166" fontId="115" fillId="24" borderId="0" xfId="0" applyNumberFormat="1" applyFont="1" applyFill="1" applyAlignment="1" applyProtection="1">
      <alignment horizontal="center" vertical="center"/>
      <protection hidden="1"/>
    </xf>
    <xf numFmtId="174" fontId="127" fillId="24" borderId="0" xfId="0" applyNumberFormat="1" applyFont="1" applyFill="1" applyAlignment="1">
      <alignment vertical="center" wrapText="1"/>
    </xf>
    <xf numFmtId="10" fontId="123" fillId="24" borderId="0" xfId="7" applyNumberFormat="1" applyFont="1" applyFill="1" applyAlignment="1" applyProtection="1">
      <alignment horizontal="center" vertical="center"/>
      <protection hidden="1"/>
    </xf>
    <xf numFmtId="3" fontId="151" fillId="24" borderId="0" xfId="0" applyNumberFormat="1" applyFont="1" applyFill="1" applyAlignment="1" applyProtection="1">
      <alignment vertical="center" wrapText="1"/>
      <protection hidden="1"/>
    </xf>
    <xf numFmtId="180" fontId="174" fillId="24" borderId="0" xfId="0" applyNumberFormat="1" applyFont="1" applyFill="1" applyAlignment="1" applyProtection="1">
      <alignment horizontal="left" vertical="center"/>
      <protection hidden="1"/>
    </xf>
    <xf numFmtId="0" fontId="271" fillId="24" borderId="0" xfId="0" applyFont="1" applyFill="1"/>
    <xf numFmtId="167" fontId="261" fillId="24" borderId="0" xfId="0" applyNumberFormat="1" applyFont="1" applyFill="1" applyAlignment="1" applyProtection="1">
      <alignment horizontal="center" vertical="center"/>
      <protection hidden="1"/>
    </xf>
    <xf numFmtId="180" fontId="272" fillId="23" borderId="0" xfId="0" applyNumberFormat="1" applyFont="1" applyFill="1" applyAlignment="1" applyProtection="1">
      <alignment horizontal="center" vertical="center"/>
      <protection hidden="1"/>
    </xf>
    <xf numFmtId="207" fontId="256" fillId="23" borderId="69" xfId="0" applyNumberFormat="1" applyFont="1" applyFill="1" applyBorder="1" applyAlignment="1" applyProtection="1">
      <alignment horizontal="left" vertical="top"/>
      <protection hidden="1"/>
    </xf>
    <xf numFmtId="0" fontId="256" fillId="18" borderId="0" xfId="0" applyFont="1" applyFill="1" applyAlignment="1">
      <alignment horizontal="left" vertical="top"/>
    </xf>
    <xf numFmtId="0" fontId="256" fillId="18" borderId="0" xfId="0" applyFont="1" applyFill="1" applyAlignment="1" applyProtection="1">
      <alignment horizontal="left" vertical="top"/>
      <protection hidden="1"/>
    </xf>
    <xf numFmtId="0" fontId="244" fillId="18" borderId="0" xfId="0" applyFont="1" applyFill="1"/>
    <xf numFmtId="14" fontId="256" fillId="22" borderId="67" xfId="0" applyNumberFormat="1" applyFont="1" applyFill="1" applyBorder="1" applyAlignment="1">
      <alignment horizontal="left" vertical="center"/>
    </xf>
    <xf numFmtId="0" fontId="256" fillId="22" borderId="67" xfId="0" applyFont="1" applyFill="1" applyBorder="1" applyAlignment="1">
      <alignment horizontal="left" vertical="center"/>
    </xf>
    <xf numFmtId="2" fontId="262" fillId="24" borderId="0" xfId="0" applyNumberFormat="1" applyFont="1" applyFill="1" applyAlignment="1" applyProtection="1">
      <alignment horizontal="center"/>
      <protection hidden="1"/>
    </xf>
    <xf numFmtId="0" fontId="275" fillId="19" borderId="0" xfId="0" applyFont="1" applyFill="1"/>
    <xf numFmtId="0" fontId="276" fillId="24" borderId="0" xfId="0" applyFont="1" applyFill="1" applyAlignment="1" applyProtection="1">
      <alignment horizontal="center" vertical="center"/>
      <protection hidden="1"/>
    </xf>
    <xf numFmtId="0" fontId="277" fillId="24" borderId="0" xfId="0" applyFont="1" applyFill="1" applyAlignment="1">
      <alignment vertical="center"/>
    </xf>
    <xf numFmtId="0" fontId="31" fillId="24" borderId="0" xfId="2" applyFont="1" applyFill="1" applyAlignment="1">
      <alignment vertical="center" textRotation="90"/>
    </xf>
    <xf numFmtId="14" fontId="114" fillId="24" borderId="0" xfId="2" applyNumberFormat="1" applyFont="1" applyFill="1" applyAlignment="1">
      <alignment horizontal="left" vertical="center"/>
    </xf>
    <xf numFmtId="14" fontId="33" fillId="24" borderId="0" xfId="2" applyNumberFormat="1" applyFont="1" applyFill="1" applyAlignment="1">
      <alignment horizontal="center" vertical="center"/>
    </xf>
    <xf numFmtId="0" fontId="132" fillId="24" borderId="0" xfId="2" applyFont="1" applyFill="1" applyAlignment="1">
      <alignment horizontal="left"/>
    </xf>
    <xf numFmtId="0" fontId="33" fillId="24" borderId="0" xfId="2" applyFont="1" applyFill="1" applyAlignment="1">
      <alignment horizontal="center"/>
    </xf>
    <xf numFmtId="43" fontId="101" fillId="24" borderId="0" xfId="1" applyFont="1" applyFill="1" applyAlignment="1" applyProtection="1">
      <alignment horizontal="left" vertical="center"/>
      <protection hidden="1"/>
    </xf>
    <xf numFmtId="43" fontId="143" fillId="24" borderId="0" xfId="1" applyFont="1" applyFill="1" applyAlignment="1" applyProtection="1">
      <alignment horizontal="left" vertical="center"/>
      <protection hidden="1"/>
    </xf>
    <xf numFmtId="0" fontId="33" fillId="24" borderId="0" xfId="2" applyFont="1" applyFill="1"/>
    <xf numFmtId="0" fontId="34" fillId="24" borderId="0" xfId="2" applyFont="1" applyFill="1" applyAlignment="1" applyProtection="1">
      <alignment horizontal="right"/>
      <protection hidden="1"/>
    </xf>
    <xf numFmtId="196" fontId="171" fillId="24" borderId="0" xfId="2" applyNumberFormat="1" applyFont="1" applyFill="1" applyAlignment="1" applyProtection="1">
      <alignment horizontal="right"/>
      <protection hidden="1"/>
    </xf>
    <xf numFmtId="0" fontId="35" fillId="24" borderId="0" xfId="2" applyFont="1" applyFill="1" applyAlignment="1" applyProtection="1">
      <alignment horizontal="right"/>
      <protection hidden="1"/>
    </xf>
    <xf numFmtId="0" fontId="31" fillId="24" borderId="0" xfId="2" applyFont="1" applyFill="1" applyAlignment="1">
      <alignment textRotation="90"/>
    </xf>
    <xf numFmtId="43" fontId="101" fillId="24" borderId="0" xfId="1" applyFont="1" applyFill="1" applyAlignment="1" applyProtection="1">
      <alignment horizontal="left"/>
      <protection hidden="1"/>
    </xf>
    <xf numFmtId="43" fontId="143" fillId="24" borderId="0" xfId="1" applyFont="1" applyFill="1" applyAlignment="1" applyProtection="1">
      <alignment horizontal="left"/>
      <protection hidden="1"/>
    </xf>
    <xf numFmtId="17" fontId="36" fillId="24" borderId="0" xfId="2" applyNumberFormat="1" applyFont="1" applyFill="1" applyAlignment="1" applyProtection="1">
      <alignment horizontal="right"/>
      <protection hidden="1"/>
    </xf>
    <xf numFmtId="17" fontId="37" fillId="24" borderId="0" xfId="2" applyNumberFormat="1" applyFont="1" applyFill="1" applyAlignment="1" applyProtection="1">
      <alignment horizontal="right"/>
      <protection hidden="1"/>
    </xf>
    <xf numFmtId="10" fontId="39" fillId="24" borderId="0" xfId="2" applyNumberFormat="1" applyFont="1" applyFill="1" applyAlignment="1" applyProtection="1">
      <alignment vertical="center" wrapText="1"/>
      <protection hidden="1"/>
    </xf>
    <xf numFmtId="10" fontId="39" fillId="24" borderId="0" xfId="2" applyNumberFormat="1" applyFont="1" applyFill="1" applyAlignment="1" applyProtection="1">
      <alignment horizontal="center" vertical="center" wrapText="1"/>
      <protection hidden="1"/>
    </xf>
    <xf numFmtId="12" fontId="38" fillId="24" borderId="0" xfId="2" applyNumberFormat="1" applyFont="1" applyFill="1" applyAlignment="1">
      <alignment horizontal="center" vertical="top"/>
    </xf>
    <xf numFmtId="14" fontId="29" fillId="24" borderId="0" xfId="2" applyNumberFormat="1" applyFont="1" applyFill="1" applyAlignment="1">
      <alignment horizontal="center"/>
    </xf>
    <xf numFmtId="0" fontId="29" fillId="24" borderId="0" xfId="2" applyFont="1" applyFill="1" applyAlignment="1">
      <alignment horizontal="center"/>
    </xf>
    <xf numFmtId="43" fontId="32" fillId="24" borderId="0" xfId="3" applyFont="1" applyFill="1" applyAlignment="1">
      <alignment wrapText="1"/>
    </xf>
    <xf numFmtId="0" fontId="29" fillId="24" borderId="0" xfId="2" applyFont="1" applyFill="1"/>
    <xf numFmtId="43" fontId="30" fillId="24" borderId="0" xfId="3" applyFont="1" applyFill="1" applyAlignment="1">
      <alignment horizontal="center"/>
    </xf>
    <xf numFmtId="43" fontId="30" fillId="24" borderId="0" xfId="3" applyFont="1" applyFill="1"/>
    <xf numFmtId="172" fontId="190" fillId="19" borderId="8" xfId="2" applyNumberFormat="1" applyFont="1" applyFill="1" applyBorder="1" applyAlignment="1" applyProtection="1">
      <alignment horizontal="center" vertical="center"/>
      <protection hidden="1"/>
    </xf>
    <xf numFmtId="170" fontId="189" fillId="19" borderId="8" xfId="3" applyNumberFormat="1" applyFont="1" applyFill="1" applyBorder="1" applyAlignment="1" applyProtection="1">
      <alignment horizontal="right" vertical="center"/>
      <protection hidden="1"/>
    </xf>
    <xf numFmtId="0" fontId="41" fillId="24" borderId="0" xfId="0" applyFont="1" applyFill="1"/>
    <xf numFmtId="0" fontId="41" fillId="24" borderId="0" xfId="0" applyFont="1" applyFill="1" applyAlignment="1">
      <alignment horizontal="center"/>
    </xf>
    <xf numFmtId="0" fontId="185" fillId="24" borderId="0" xfId="0" applyFont="1" applyFill="1" applyAlignment="1">
      <alignment vertical="center"/>
    </xf>
    <xf numFmtId="0" fontId="114" fillId="24" borderId="0" xfId="0" applyFont="1" applyFill="1" applyAlignment="1">
      <alignment vertical="center"/>
    </xf>
    <xf numFmtId="0" fontId="114" fillId="24" borderId="0" xfId="0" applyFont="1" applyFill="1"/>
    <xf numFmtId="196" fontId="0" fillId="24" borderId="0" xfId="0" applyNumberFormat="1" applyFill="1"/>
    <xf numFmtId="196" fontId="100" fillId="24" borderId="0" xfId="0" applyNumberFormat="1" applyFont="1" applyFill="1"/>
    <xf numFmtId="196" fontId="113" fillId="24" borderId="0" xfId="0" applyNumberFormat="1" applyFont="1" applyFill="1"/>
    <xf numFmtId="0" fontId="179" fillId="24" borderId="0" xfId="1" applyNumberFormat="1" applyFont="1" applyFill="1" applyAlignment="1">
      <alignment horizontal="center"/>
    </xf>
    <xf numFmtId="14" fontId="0" fillId="24" borderId="0" xfId="0" applyNumberFormat="1" applyFill="1"/>
    <xf numFmtId="0" fontId="280" fillId="24" borderId="0" xfId="0" applyFont="1" applyFill="1"/>
    <xf numFmtId="43" fontId="101" fillId="24" borderId="0" xfId="1" applyFont="1" applyFill="1" applyBorder="1" applyAlignment="1">
      <alignment horizontal="left"/>
    </xf>
    <xf numFmtId="0" fontId="195" fillId="24" borderId="0" xfId="0" applyFont="1" applyFill="1"/>
    <xf numFmtId="0" fontId="161" fillId="24" borderId="0" xfId="0" applyFont="1" applyFill="1" applyAlignment="1">
      <alignment vertical="center"/>
    </xf>
    <xf numFmtId="0" fontId="0" fillId="24" borderId="0" xfId="0" applyFill="1" applyAlignment="1">
      <alignment horizontal="center"/>
    </xf>
    <xf numFmtId="196" fontId="107" fillId="24" borderId="0" xfId="0" applyNumberFormat="1" applyFont="1" applyFill="1"/>
    <xf numFmtId="1" fontId="0" fillId="24" borderId="0" xfId="0" applyNumberFormat="1" applyFill="1"/>
    <xf numFmtId="196" fontId="179" fillId="24" borderId="0" xfId="1" applyNumberFormat="1" applyFont="1" applyFill="1" applyAlignment="1">
      <alignment horizontal="center"/>
    </xf>
    <xf numFmtId="0" fontId="4" fillId="24" borderId="0" xfId="2" applyFont="1" applyFill="1" applyAlignment="1" applyProtection="1">
      <alignment horizontal="center"/>
      <protection hidden="1"/>
    </xf>
    <xf numFmtId="0" fontId="4" fillId="24" borderId="0" xfId="2" applyFont="1" applyFill="1" applyProtection="1">
      <protection hidden="1"/>
    </xf>
    <xf numFmtId="0" fontId="7" fillId="24" borderId="0" xfId="2" applyFont="1" applyFill="1" applyAlignment="1">
      <alignment vertical="center" textRotation="90"/>
    </xf>
    <xf numFmtId="43" fontId="19" fillId="24" borderId="0" xfId="7" applyFont="1" applyFill="1" applyAlignment="1" applyProtection="1">
      <alignment wrapText="1"/>
      <protection hidden="1"/>
    </xf>
    <xf numFmtId="0" fontId="83" fillId="24" borderId="0" xfId="0" applyFont="1" applyFill="1" applyAlignment="1" applyProtection="1">
      <alignment vertical="center"/>
      <protection hidden="1"/>
    </xf>
    <xf numFmtId="0" fontId="82" fillId="24" borderId="0" xfId="2" applyFont="1" applyFill="1" applyAlignment="1">
      <alignment vertical="center" textRotation="90"/>
    </xf>
    <xf numFmtId="0" fontId="98" fillId="24" borderId="0" xfId="0" applyFont="1" applyFill="1" applyAlignment="1" applyProtection="1">
      <alignment vertical="center"/>
      <protection hidden="1"/>
    </xf>
    <xf numFmtId="10" fontId="72" fillId="24" borderId="0" xfId="2" applyNumberFormat="1" applyFont="1" applyFill="1" applyAlignment="1" applyProtection="1">
      <alignment vertical="center" wrapText="1"/>
      <protection hidden="1"/>
    </xf>
    <xf numFmtId="43" fontId="102" fillId="24" borderId="0" xfId="1" applyFont="1" applyFill="1" applyBorder="1" applyAlignment="1">
      <alignment horizontal="left"/>
    </xf>
    <xf numFmtId="10" fontId="152" fillId="24" borderId="0" xfId="2" applyNumberFormat="1" applyFont="1" applyFill="1" applyAlignment="1" applyProtection="1">
      <alignment vertical="center" wrapText="1"/>
      <protection hidden="1"/>
    </xf>
    <xf numFmtId="43" fontId="102" fillId="24" borderId="0" xfId="1" applyFont="1" applyFill="1" applyBorder="1" applyAlignment="1">
      <alignment horizontal="left" vertical="center"/>
    </xf>
    <xf numFmtId="201" fontId="0" fillId="24" borderId="0" xfId="0" applyNumberFormat="1" applyFill="1"/>
    <xf numFmtId="44" fontId="87" fillId="24" borderId="0" xfId="12" applyFont="1" applyFill="1" applyBorder="1" applyAlignment="1" applyProtection="1">
      <alignment vertical="center"/>
      <protection hidden="1"/>
    </xf>
    <xf numFmtId="0" fontId="129" fillId="24" borderId="0" xfId="0" applyFont="1" applyFill="1"/>
    <xf numFmtId="0" fontId="167" fillId="24" borderId="0" xfId="0" applyFont="1" applyFill="1"/>
    <xf numFmtId="10" fontId="177" fillId="24" borderId="0" xfId="10" applyNumberFormat="1" applyFont="1" applyFill="1" applyBorder="1" applyAlignment="1" applyProtection="1">
      <alignment vertical="center" wrapText="1"/>
      <protection hidden="1"/>
    </xf>
    <xf numFmtId="44" fontId="88" fillId="24" borderId="0" xfId="12" applyFont="1" applyFill="1" applyBorder="1" applyAlignment="1" applyProtection="1">
      <alignment vertical="center"/>
      <protection hidden="1"/>
    </xf>
    <xf numFmtId="0" fontId="236" fillId="24" borderId="0" xfId="0" applyFont="1" applyFill="1"/>
    <xf numFmtId="0" fontId="85" fillId="24" borderId="0" xfId="2" applyFont="1" applyFill="1" applyProtection="1">
      <protection hidden="1"/>
    </xf>
    <xf numFmtId="0" fontId="135" fillId="24" borderId="0" xfId="0" applyFont="1" applyFill="1"/>
    <xf numFmtId="10" fontId="84" fillId="24" borderId="0" xfId="2" applyNumberFormat="1" applyFont="1" applyFill="1" applyAlignment="1" applyProtection="1">
      <alignment vertical="center" wrapText="1"/>
      <protection hidden="1"/>
    </xf>
    <xf numFmtId="0" fontId="86" fillId="24" borderId="0" xfId="0" applyFont="1" applyFill="1" applyAlignment="1">
      <alignment horizontal="right"/>
    </xf>
    <xf numFmtId="44" fontId="83" fillId="24" borderId="0" xfId="12" applyFont="1" applyFill="1" applyBorder="1" applyAlignment="1" applyProtection="1">
      <alignment vertical="center"/>
      <protection hidden="1"/>
    </xf>
    <xf numFmtId="43" fontId="89" fillId="24" borderId="0" xfId="1" applyFont="1" applyFill="1" applyBorder="1" applyAlignment="1" applyProtection="1">
      <alignment vertical="center" wrapText="1"/>
      <protection hidden="1"/>
    </xf>
    <xf numFmtId="164" fontId="45" fillId="24" borderId="0" xfId="2" applyNumberFormat="1" applyFont="1" applyFill="1" applyAlignment="1" applyProtection="1">
      <alignment vertical="top"/>
      <protection hidden="1"/>
    </xf>
    <xf numFmtId="164" fontId="22" fillId="24" borderId="0" xfId="2" applyNumberFormat="1" applyFont="1" applyFill="1" applyAlignment="1" applyProtection="1">
      <alignment horizontal="center"/>
      <protection hidden="1"/>
    </xf>
    <xf numFmtId="168" fontId="23" fillId="24" borderId="0" xfId="2" applyNumberFormat="1" applyFont="1" applyFill="1" applyAlignment="1" applyProtection="1">
      <alignment vertical="center"/>
      <protection hidden="1"/>
    </xf>
    <xf numFmtId="0" fontId="154" fillId="24" borderId="0" xfId="2" applyFont="1" applyFill="1" applyProtection="1">
      <protection hidden="1"/>
    </xf>
    <xf numFmtId="0" fontId="154" fillId="24" borderId="0" xfId="2" applyFont="1" applyFill="1" applyAlignment="1" applyProtection="1">
      <alignment wrapText="1"/>
      <protection hidden="1"/>
    </xf>
    <xf numFmtId="10" fontId="154" fillId="24" borderId="0" xfId="2" applyNumberFormat="1" applyFont="1" applyFill="1" applyProtection="1">
      <protection hidden="1"/>
    </xf>
    <xf numFmtId="0" fontId="283" fillId="24" borderId="0" xfId="0" applyFont="1" applyFill="1"/>
    <xf numFmtId="10" fontId="282" fillId="24" borderId="0" xfId="2" applyNumberFormat="1" applyFont="1" applyFill="1" applyAlignment="1" applyProtection="1">
      <alignment vertical="center"/>
      <protection hidden="1"/>
    </xf>
    <xf numFmtId="202" fontId="218" fillId="24" borderId="72" xfId="10" applyNumberFormat="1" applyFont="1" applyFill="1" applyBorder="1" applyAlignment="1" applyProtection="1">
      <alignment horizontal="center" vertical="center"/>
      <protection hidden="1"/>
    </xf>
    <xf numFmtId="202" fontId="218" fillId="24" borderId="50" xfId="10" applyNumberFormat="1" applyFont="1" applyFill="1" applyBorder="1" applyAlignment="1" applyProtection="1">
      <alignment horizontal="center" vertical="center"/>
      <protection hidden="1"/>
    </xf>
    <xf numFmtId="0" fontId="0" fillId="24" borderId="63" xfId="0" applyFill="1" applyBorder="1"/>
    <xf numFmtId="0" fontId="130" fillId="24" borderId="0" xfId="2" applyFont="1" applyFill="1" applyAlignment="1">
      <alignment vertical="center"/>
    </xf>
    <xf numFmtId="0" fontId="134" fillId="24" borderId="0" xfId="2" applyFont="1" applyFill="1" applyAlignment="1">
      <alignment vertical="center" wrapText="1"/>
    </xf>
    <xf numFmtId="0" fontId="25" fillId="24" borderId="0" xfId="2" applyFont="1" applyFill="1" applyAlignment="1">
      <alignment horizontal="left" vertical="center" wrapText="1"/>
    </xf>
    <xf numFmtId="0" fontId="134" fillId="24" borderId="0" xfId="2" applyFont="1" applyFill="1" applyAlignment="1">
      <alignment horizontal="left" vertical="center" wrapText="1"/>
    </xf>
    <xf numFmtId="0" fontId="108" fillId="24" borderId="0" xfId="0" applyFont="1" applyFill="1"/>
    <xf numFmtId="0" fontId="108" fillId="24" borderId="0" xfId="0" applyFont="1" applyFill="1" applyAlignment="1">
      <alignment horizontal="left"/>
    </xf>
    <xf numFmtId="0" fontId="196" fillId="24" borderId="0" xfId="0" applyFont="1" applyFill="1" applyAlignment="1">
      <alignment horizontal="left" vertical="center"/>
    </xf>
    <xf numFmtId="0" fontId="3" fillId="24" borderId="0" xfId="2" applyFill="1" applyAlignment="1">
      <alignment vertical="center"/>
    </xf>
    <xf numFmtId="0" fontId="162" fillId="24" borderId="0" xfId="0" applyFont="1" applyFill="1"/>
    <xf numFmtId="0" fontId="185" fillId="24" borderId="0" xfId="0" applyFont="1" applyFill="1"/>
    <xf numFmtId="43" fontId="185" fillId="24" borderId="0" xfId="1" applyFont="1" applyFill="1" applyBorder="1" applyAlignment="1">
      <alignment vertical="center"/>
    </xf>
    <xf numFmtId="43" fontId="114" fillId="24" borderId="0" xfId="1" applyFont="1" applyFill="1" applyBorder="1" applyAlignment="1">
      <alignment vertical="center"/>
    </xf>
    <xf numFmtId="43" fontId="102" fillId="24" borderId="0" xfId="1" applyFont="1" applyFill="1" applyAlignment="1">
      <alignment vertical="center"/>
    </xf>
    <xf numFmtId="0" fontId="211" fillId="23" borderId="41" xfId="1" applyNumberFormat="1" applyFont="1" applyFill="1" applyBorder="1" applyAlignment="1">
      <alignment horizontal="center" vertical="center"/>
    </xf>
    <xf numFmtId="0" fontId="214" fillId="24" borderId="0" xfId="0" applyFont="1" applyFill="1"/>
    <xf numFmtId="0" fontId="25" fillId="24" borderId="0" xfId="2" applyFont="1" applyFill="1"/>
    <xf numFmtId="0" fontId="107" fillId="24" borderId="63" xfId="0" applyFont="1" applyFill="1" applyBorder="1"/>
    <xf numFmtId="43" fontId="212" fillId="24" borderId="0" xfId="1" applyFont="1" applyFill="1" applyBorder="1" applyAlignment="1" applyProtection="1">
      <protection hidden="1"/>
    </xf>
    <xf numFmtId="0" fontId="149" fillId="24" borderId="0" xfId="2" applyFont="1" applyFill="1" applyAlignment="1">
      <alignment vertical="center" wrapText="1"/>
    </xf>
    <xf numFmtId="43" fontId="163" fillId="24" borderId="0" xfId="1" applyFont="1" applyFill="1" applyBorder="1" applyProtection="1">
      <protection hidden="1"/>
    </xf>
    <xf numFmtId="0" fontId="107" fillId="23" borderId="0" xfId="0" applyFont="1" applyFill="1"/>
    <xf numFmtId="0" fontId="0" fillId="23" borderId="0" xfId="0" applyFill="1"/>
    <xf numFmtId="43" fontId="262" fillId="23" borderId="30" xfId="1" applyFont="1" applyFill="1" applyBorder="1" applyAlignment="1">
      <alignment vertical="center"/>
    </xf>
    <xf numFmtId="0" fontId="130" fillId="23" borderId="0" xfId="2" applyFont="1" applyFill="1" applyAlignment="1">
      <alignment wrapText="1"/>
    </xf>
    <xf numFmtId="43" fontId="262" fillId="23" borderId="33" xfId="1" applyFont="1" applyFill="1" applyBorder="1" applyAlignment="1">
      <alignment vertical="center"/>
    </xf>
    <xf numFmtId="0" fontId="3" fillId="23" borderId="0" xfId="2" applyFill="1" applyAlignment="1">
      <alignment vertical="top"/>
    </xf>
    <xf numFmtId="0" fontId="262" fillId="23" borderId="38" xfId="1" applyNumberFormat="1" applyFont="1" applyFill="1" applyBorder="1" applyAlignment="1">
      <alignment horizontal="center" vertical="center"/>
    </xf>
    <xf numFmtId="43" fontId="263" fillId="23" borderId="38" xfId="1" applyFont="1" applyFill="1" applyBorder="1" applyAlignment="1">
      <alignment horizontal="left" vertical="center"/>
    </xf>
    <xf numFmtId="0" fontId="3" fillId="23" borderId="0" xfId="2" applyFill="1"/>
    <xf numFmtId="0" fontId="162" fillId="23" borderId="0" xfId="0" applyFont="1" applyFill="1"/>
    <xf numFmtId="0" fontId="0" fillId="23" borderId="17" xfId="0" applyFill="1" applyBorder="1"/>
    <xf numFmtId="0" fontId="170" fillId="23" borderId="0" xfId="0" applyFont="1" applyFill="1"/>
    <xf numFmtId="0" fontId="196" fillId="23" borderId="0" xfId="0" applyFont="1" applyFill="1" applyAlignment="1">
      <alignment horizontal="left" vertical="center"/>
    </xf>
    <xf numFmtId="43" fontId="262" fillId="23" borderId="36" xfId="1" applyFont="1" applyFill="1" applyBorder="1" applyAlignment="1">
      <alignment vertical="center"/>
    </xf>
    <xf numFmtId="0" fontId="148" fillId="23" borderId="0" xfId="0" applyFont="1" applyFill="1"/>
    <xf numFmtId="0" fontId="262" fillId="23" borderId="39" xfId="1" applyNumberFormat="1" applyFont="1" applyFill="1" applyBorder="1" applyAlignment="1">
      <alignment horizontal="center" vertical="center"/>
    </xf>
    <xf numFmtId="43" fontId="263" fillId="23" borderId="39" xfId="1" applyFont="1" applyFill="1" applyBorder="1" applyAlignment="1">
      <alignment horizontal="left" vertical="center"/>
    </xf>
    <xf numFmtId="0" fontId="213" fillId="24" borderId="0" xfId="0" applyFont="1" applyFill="1" applyAlignment="1">
      <alignment vertical="center"/>
    </xf>
    <xf numFmtId="43" fontId="263" fillId="23" borderId="42" xfId="1" applyFont="1" applyFill="1" applyBorder="1" applyAlignment="1">
      <alignment horizontal="left" vertical="center"/>
    </xf>
    <xf numFmtId="43" fontId="263" fillId="23" borderId="44" xfId="1" applyFont="1" applyFill="1" applyBorder="1" applyAlignment="1">
      <alignment horizontal="left" vertical="center"/>
    </xf>
    <xf numFmtId="0" fontId="262" fillId="23" borderId="43" xfId="1" applyNumberFormat="1" applyFont="1" applyFill="1" applyBorder="1" applyAlignment="1">
      <alignment horizontal="center" vertical="center"/>
    </xf>
    <xf numFmtId="0" fontId="262" fillId="23" borderId="45" xfId="1" applyNumberFormat="1" applyFont="1" applyFill="1" applyBorder="1" applyAlignment="1">
      <alignment horizontal="center" vertical="center"/>
    </xf>
    <xf numFmtId="0" fontId="173" fillId="23" borderId="0" xfId="0" applyFont="1" applyFill="1"/>
    <xf numFmtId="0" fontId="282" fillId="24" borderId="0" xfId="0" applyFont="1" applyFill="1" applyAlignment="1">
      <alignment vertical="center"/>
    </xf>
    <xf numFmtId="43" fontId="282" fillId="24" borderId="0" xfId="1" applyFont="1" applyFill="1" applyBorder="1" applyAlignment="1">
      <alignment vertical="center"/>
    </xf>
    <xf numFmtId="43" fontId="21" fillId="23" borderId="42" xfId="1" applyFont="1" applyFill="1" applyBorder="1" applyAlignment="1" applyProtection="1">
      <alignment horizontal="left" vertical="center"/>
      <protection hidden="1"/>
    </xf>
    <xf numFmtId="4" fontId="21" fillId="23" borderId="39" xfId="0" applyNumberFormat="1" applyFont="1" applyFill="1" applyBorder="1" applyAlignment="1" applyProtection="1">
      <alignment horizontal="center" vertical="center"/>
      <protection hidden="1"/>
    </xf>
    <xf numFmtId="175" fontId="21" fillId="23" borderId="39" xfId="0" applyNumberFormat="1" applyFont="1" applyFill="1" applyBorder="1" applyAlignment="1" applyProtection="1">
      <alignment horizontal="center" vertical="center"/>
      <protection hidden="1"/>
    </xf>
    <xf numFmtId="176" fontId="21" fillId="23" borderId="39" xfId="0" applyNumberFormat="1" applyFont="1" applyFill="1" applyBorder="1" applyAlignment="1" applyProtection="1">
      <alignment horizontal="center" vertical="center"/>
      <protection hidden="1"/>
    </xf>
    <xf numFmtId="39" fontId="21" fillId="23" borderId="43" xfId="0" applyNumberFormat="1" applyFont="1" applyFill="1" applyBorder="1" applyAlignment="1" applyProtection="1">
      <alignment horizontal="center" vertical="center"/>
      <protection hidden="1"/>
    </xf>
    <xf numFmtId="43" fontId="21" fillId="23" borderId="44" xfId="1" applyFont="1" applyFill="1" applyBorder="1" applyAlignment="1" applyProtection="1">
      <alignment horizontal="left" vertical="center"/>
      <protection hidden="1"/>
    </xf>
    <xf numFmtId="4" fontId="21" fillId="23" borderId="38" xfId="0" applyNumberFormat="1" applyFont="1" applyFill="1" applyBorder="1" applyAlignment="1" applyProtection="1">
      <alignment horizontal="center" vertical="center"/>
      <protection hidden="1"/>
    </xf>
    <xf numFmtId="175" fontId="21" fillId="23" borderId="38" xfId="0" applyNumberFormat="1" applyFont="1" applyFill="1" applyBorder="1" applyAlignment="1" applyProtection="1">
      <alignment horizontal="center" vertical="center"/>
      <protection hidden="1"/>
    </xf>
    <xf numFmtId="176" fontId="21" fillId="23" borderId="38" xfId="0" applyNumberFormat="1" applyFont="1" applyFill="1" applyBorder="1" applyAlignment="1" applyProtection="1">
      <alignment horizontal="center" vertical="center"/>
      <protection hidden="1"/>
    </xf>
    <xf numFmtId="39" fontId="21" fillId="23" borderId="45" xfId="0" applyNumberFormat="1" applyFont="1" applyFill="1" applyBorder="1" applyAlignment="1" applyProtection="1">
      <alignment horizontal="center" vertical="center"/>
      <protection hidden="1"/>
    </xf>
    <xf numFmtId="43" fontId="284" fillId="23" borderId="46" xfId="1" applyFont="1" applyFill="1" applyBorder="1" applyAlignment="1" applyProtection="1">
      <alignment horizontal="left" vertical="center"/>
      <protection hidden="1"/>
    </xf>
    <xf numFmtId="4" fontId="21" fillId="23" borderId="40" xfId="0" applyNumberFormat="1" applyFont="1" applyFill="1" applyBorder="1" applyAlignment="1" applyProtection="1">
      <alignment horizontal="center" vertical="center"/>
      <protection hidden="1"/>
    </xf>
    <xf numFmtId="175" fontId="21" fillId="23" borderId="40" xfId="0" applyNumberFormat="1" applyFont="1" applyFill="1" applyBorder="1" applyAlignment="1" applyProtection="1">
      <alignment horizontal="center" vertical="center"/>
      <protection hidden="1"/>
    </xf>
    <xf numFmtId="176" fontId="21" fillId="23" borderId="40" xfId="0" applyNumberFormat="1" applyFont="1" applyFill="1" applyBorder="1" applyAlignment="1" applyProtection="1">
      <alignment horizontal="center" vertical="center"/>
      <protection hidden="1"/>
    </xf>
    <xf numFmtId="39" fontId="21" fillId="23" borderId="47" xfId="0" applyNumberFormat="1" applyFont="1" applyFill="1" applyBorder="1" applyAlignment="1" applyProtection="1">
      <alignment horizontal="center" vertical="center"/>
      <protection hidden="1"/>
    </xf>
    <xf numFmtId="0" fontId="283" fillId="23" borderId="79" xfId="0" applyFont="1" applyFill="1" applyBorder="1" applyAlignment="1">
      <alignment horizontal="center" vertical="center"/>
    </xf>
    <xf numFmtId="198" fontId="211" fillId="23" borderId="79" xfId="1" applyNumberFormat="1" applyFont="1" applyFill="1" applyBorder="1" applyAlignment="1">
      <alignment horizontal="center" vertical="center"/>
    </xf>
    <xf numFmtId="198" fontId="211" fillId="23" borderId="80" xfId="1" applyNumberFormat="1" applyFont="1" applyFill="1" applyBorder="1" applyAlignment="1">
      <alignment horizontal="center" vertical="center"/>
    </xf>
    <xf numFmtId="43" fontId="285" fillId="24" borderId="0" xfId="1" applyFont="1" applyFill="1" applyBorder="1" applyAlignment="1" applyProtection="1">
      <protection hidden="1"/>
    </xf>
    <xf numFmtId="209" fontId="253" fillId="23" borderId="71" xfId="0" applyNumberFormat="1" applyFont="1" applyFill="1" applyBorder="1" applyAlignment="1" applyProtection="1">
      <alignment horizontal="left" vertical="top"/>
      <protection hidden="1"/>
    </xf>
    <xf numFmtId="209" fontId="253" fillId="23" borderId="70" xfId="0" applyNumberFormat="1" applyFont="1" applyFill="1" applyBorder="1" applyAlignment="1" applyProtection="1">
      <alignment horizontal="left" vertical="top"/>
      <protection hidden="1"/>
    </xf>
    <xf numFmtId="3" fontId="0" fillId="0" borderId="0" xfId="0" applyNumberFormat="1"/>
    <xf numFmtId="0" fontId="0" fillId="25" borderId="0" xfId="0" applyFill="1"/>
    <xf numFmtId="0" fontId="0" fillId="26" borderId="0" xfId="0" applyFill="1"/>
    <xf numFmtId="202" fontId="0" fillId="0" borderId="0" xfId="0" applyNumberFormat="1"/>
    <xf numFmtId="0" fontId="0" fillId="0" borderId="0" xfId="0" applyAlignment="1">
      <alignment horizontal="center"/>
    </xf>
    <xf numFmtId="199" fontId="21" fillId="24" borderId="0" xfId="1" applyNumberFormat="1" applyFont="1" applyFill="1" applyBorder="1" applyAlignment="1" applyProtection="1">
      <alignment horizontal="right"/>
      <protection hidden="1"/>
    </xf>
    <xf numFmtId="0" fontId="21" fillId="24" borderId="0" xfId="0" applyFont="1" applyFill="1" applyAlignment="1">
      <alignment vertical="center"/>
    </xf>
    <xf numFmtId="165" fontId="0" fillId="0" borderId="0" xfId="1" applyNumberFormat="1" applyFont="1"/>
    <xf numFmtId="0" fontId="0" fillId="0" borderId="0" xfId="1" applyNumberFormat="1" applyFont="1"/>
    <xf numFmtId="0" fontId="287" fillId="0" borderId="0" xfId="0" applyFont="1"/>
    <xf numFmtId="43" fontId="262" fillId="23" borderId="0" xfId="1" applyFont="1" applyFill="1" applyBorder="1" applyAlignment="1">
      <alignment horizontal="left" vertical="center"/>
    </xf>
    <xf numFmtId="43" fontId="262" fillId="23" borderId="19" xfId="1" applyFont="1" applyFill="1" applyBorder="1" applyAlignment="1">
      <alignment vertical="center" wrapText="1"/>
    </xf>
    <xf numFmtId="43" fontId="262" fillId="23" borderId="20" xfId="1" applyFont="1" applyFill="1" applyBorder="1" applyAlignment="1">
      <alignment vertical="center" wrapText="1"/>
    </xf>
    <xf numFmtId="43" fontId="262" fillId="23" borderId="21" xfId="1" applyFont="1" applyFill="1" applyBorder="1" applyAlignment="1">
      <alignment vertical="center" wrapText="1"/>
    </xf>
    <xf numFmtId="0" fontId="268" fillId="24" borderId="0" xfId="10" applyNumberFormat="1" applyFont="1" applyFill="1" applyBorder="1" applyAlignment="1" applyProtection="1">
      <alignment horizontal="center"/>
      <protection hidden="1"/>
    </xf>
    <xf numFmtId="0" fontId="198" fillId="18" borderId="6" xfId="0" applyFont="1" applyFill="1" applyBorder="1" applyAlignment="1">
      <alignment horizontal="center" vertical="center"/>
    </xf>
    <xf numFmtId="14" fontId="146" fillId="18" borderId="0" xfId="0" applyNumberFormat="1" applyFont="1" applyFill="1" applyAlignment="1">
      <alignment horizontal="center" vertical="center" wrapText="1"/>
    </xf>
    <xf numFmtId="0" fontId="198" fillId="18" borderId="49" xfId="0" applyFont="1" applyFill="1" applyBorder="1" applyAlignment="1">
      <alignment horizontal="center" vertical="center"/>
    </xf>
    <xf numFmtId="0" fontId="201" fillId="23" borderId="83" xfId="0" applyFont="1" applyFill="1" applyBorder="1" applyAlignment="1">
      <alignment horizontal="center" vertical="center"/>
    </xf>
    <xf numFmtId="0" fontId="177" fillId="23" borderId="83" xfId="9" applyFont="1" applyFill="1" applyBorder="1" applyAlignment="1">
      <alignment horizontal="center" vertical="center"/>
    </xf>
    <xf numFmtId="168" fontId="201" fillId="23" borderId="83" xfId="0" applyNumberFormat="1" applyFont="1" applyFill="1" applyBorder="1" applyAlignment="1">
      <alignment vertical="center"/>
    </xf>
    <xf numFmtId="3" fontId="201" fillId="23" borderId="83" xfId="0" applyNumberFormat="1" applyFont="1" applyFill="1" applyBorder="1" applyAlignment="1">
      <alignment vertical="center"/>
    </xf>
    <xf numFmtId="14" fontId="201" fillId="23" borderId="83" xfId="9" applyNumberFormat="1" applyFont="1" applyFill="1" applyBorder="1" applyAlignment="1">
      <alignment horizontal="center" vertical="center"/>
    </xf>
    <xf numFmtId="43" fontId="201" fillId="23" borderId="83" xfId="1" applyFont="1" applyFill="1" applyBorder="1" applyAlignment="1" applyProtection="1">
      <alignment vertical="center"/>
    </xf>
    <xf numFmtId="10" fontId="273" fillId="23" borderId="83" xfId="8" applyNumberFormat="1" applyFont="1" applyFill="1" applyBorder="1" applyAlignment="1">
      <alignment horizontal="center" vertical="center"/>
    </xf>
    <xf numFmtId="0" fontId="0" fillId="24" borderId="86" xfId="0" applyFill="1" applyBorder="1"/>
    <xf numFmtId="189" fontId="201" fillId="24" borderId="87" xfId="7" applyNumberFormat="1" applyFont="1" applyFill="1" applyBorder="1" applyAlignment="1" applyProtection="1">
      <alignment vertical="center"/>
      <protection hidden="1"/>
    </xf>
    <xf numFmtId="189" fontId="201" fillId="24" borderId="87" xfId="0" applyNumberFormat="1" applyFont="1" applyFill="1" applyBorder="1" applyAlignment="1" applyProtection="1">
      <alignment horizontal="center" vertical="center"/>
      <protection hidden="1"/>
    </xf>
    <xf numFmtId="190" fontId="201" fillId="24" borderId="87" xfId="7" applyNumberFormat="1" applyFont="1" applyFill="1" applyBorder="1" applyAlignment="1" applyProtection="1">
      <alignment horizontal="center" vertical="center"/>
      <protection hidden="1"/>
    </xf>
    <xf numFmtId="0" fontId="0" fillId="24" borderId="87" xfId="0" applyFill="1" applyBorder="1"/>
    <xf numFmtId="4" fontId="103" fillId="24" borderId="87" xfId="0" applyNumberFormat="1" applyFont="1" applyFill="1" applyBorder="1" applyAlignment="1" applyProtection="1">
      <alignment vertical="center"/>
      <protection hidden="1"/>
    </xf>
    <xf numFmtId="10" fontId="103" fillId="24" borderId="87" xfId="8" applyNumberFormat="1" applyFont="1" applyFill="1" applyBorder="1" applyAlignment="1" applyProtection="1">
      <alignment vertical="center"/>
      <protection hidden="1"/>
    </xf>
    <xf numFmtId="182" fontId="201" fillId="24" borderId="87" xfId="1" applyNumberFormat="1" applyFont="1" applyFill="1" applyBorder="1" applyAlignment="1" applyProtection="1">
      <alignment horizontal="center" vertical="center"/>
      <protection hidden="1"/>
    </xf>
    <xf numFmtId="177" fontId="143" fillId="24" borderId="88" xfId="7" applyNumberFormat="1" applyFont="1" applyFill="1" applyBorder="1" applyAlignment="1" applyProtection="1">
      <alignment vertical="center"/>
      <protection hidden="1"/>
    </xf>
    <xf numFmtId="0" fontId="0" fillId="24" borderId="89" xfId="0" applyFill="1" applyBorder="1"/>
    <xf numFmtId="14" fontId="201" fillId="24" borderId="91" xfId="6" applyNumberFormat="1" applyFont="1" applyFill="1" applyBorder="1" applyAlignment="1">
      <alignment horizontal="center"/>
    </xf>
    <xf numFmtId="192" fontId="201" fillId="24" borderId="87" xfId="0" applyNumberFormat="1" applyFont="1" applyFill="1" applyBorder="1" applyAlignment="1">
      <alignment horizontal="center"/>
    </xf>
    <xf numFmtId="193" fontId="144" fillId="24" borderId="87" xfId="0" applyNumberFormat="1" applyFont="1" applyFill="1" applyBorder="1"/>
    <xf numFmtId="10" fontId="208" fillId="12" borderId="93" xfId="8" applyNumberFormat="1" applyFont="1" applyFill="1" applyBorder="1" applyAlignment="1">
      <alignment horizontal="center" vertical="center"/>
    </xf>
    <xf numFmtId="10" fontId="208" fillId="12" borderId="94" xfId="8" applyNumberFormat="1" applyFont="1" applyFill="1" applyBorder="1" applyAlignment="1">
      <alignment horizontal="left" vertical="center"/>
    </xf>
    <xf numFmtId="10" fontId="145" fillId="12" borderId="94" xfId="8" applyNumberFormat="1" applyFont="1" applyFill="1" applyBorder="1" applyAlignment="1">
      <alignment horizontal="left" vertical="center"/>
    </xf>
    <xf numFmtId="10" fontId="281" fillId="23" borderId="83" xfId="8" applyNumberFormat="1" applyFont="1" applyFill="1" applyBorder="1" applyAlignment="1">
      <alignment horizontal="center" vertical="center"/>
    </xf>
    <xf numFmtId="10" fontId="281" fillId="23" borderId="83" xfId="8" applyNumberFormat="1" applyFont="1" applyFill="1" applyBorder="1" applyAlignment="1">
      <alignment horizontal="left" vertical="center"/>
    </xf>
    <xf numFmtId="10" fontId="273" fillId="23" borderId="83" xfId="8" applyNumberFormat="1" applyFont="1" applyFill="1" applyBorder="1" applyAlignment="1">
      <alignment horizontal="left" vertical="center"/>
    </xf>
    <xf numFmtId="0" fontId="201" fillId="24" borderId="87" xfId="6" applyFont="1" applyFill="1" applyBorder="1" applyAlignment="1">
      <alignment horizontal="center"/>
    </xf>
    <xf numFmtId="0" fontId="176" fillId="24" borderId="87" xfId="6" applyFont="1" applyFill="1" applyBorder="1" applyAlignment="1">
      <alignment horizontal="center"/>
    </xf>
    <xf numFmtId="165" fontId="201" fillId="24" borderId="87" xfId="3" applyNumberFormat="1" applyFont="1" applyFill="1" applyBorder="1"/>
    <xf numFmtId="173" fontId="201" fillId="24" borderId="87" xfId="1" applyNumberFormat="1" applyFont="1" applyFill="1" applyBorder="1" applyAlignment="1">
      <alignment horizontal="center"/>
    </xf>
    <xf numFmtId="10" fontId="144" fillId="24" borderId="87" xfId="5" applyNumberFormat="1" applyFont="1" applyFill="1" applyBorder="1"/>
    <xf numFmtId="177" fontId="144" fillId="24" borderId="87" xfId="5" applyNumberFormat="1" applyFont="1" applyFill="1" applyBorder="1"/>
    <xf numFmtId="0" fontId="0" fillId="0" borderId="95" xfId="0" applyBorder="1"/>
    <xf numFmtId="0" fontId="281" fillId="18" borderId="6" xfId="0" applyFont="1" applyFill="1" applyBorder="1" applyAlignment="1">
      <alignment horizontal="center"/>
    </xf>
    <xf numFmtId="14" fontId="281" fillId="18" borderId="5" xfId="0" applyNumberFormat="1" applyFont="1" applyFill="1" applyBorder="1" applyAlignment="1">
      <alignment horizontal="center" vertical="center" wrapText="1"/>
    </xf>
    <xf numFmtId="0" fontId="281" fillId="18" borderId="0" xfId="0" applyFont="1" applyFill="1"/>
    <xf numFmtId="43" fontId="124" fillId="18" borderId="0" xfId="2" applyNumberFormat="1" applyFont="1" applyFill="1" applyAlignment="1">
      <alignment horizontal="center" vertical="top" wrapText="1"/>
    </xf>
    <xf numFmtId="0" fontId="40" fillId="18" borderId="0" xfId="2" applyFont="1" applyFill="1" applyAlignment="1">
      <alignment horizontal="center" vertical="center"/>
    </xf>
    <xf numFmtId="0" fontId="40" fillId="18" borderId="7" xfId="2" applyFont="1" applyFill="1" applyBorder="1" applyAlignment="1">
      <alignment horizontal="center"/>
    </xf>
    <xf numFmtId="0" fontId="202" fillId="18" borderId="6" xfId="0" applyFont="1" applyFill="1" applyBorder="1" applyAlignment="1">
      <alignment horizontal="center"/>
    </xf>
    <xf numFmtId="43" fontId="165" fillId="18" borderId="0" xfId="1" applyFont="1" applyFill="1" applyBorder="1" applyAlignment="1"/>
    <xf numFmtId="205" fontId="124" fillId="18" borderId="0" xfId="1" applyNumberFormat="1" applyFont="1" applyFill="1" applyBorder="1" applyAlignment="1" applyProtection="1">
      <alignment horizontal="center" vertical="center"/>
      <protection hidden="1"/>
    </xf>
    <xf numFmtId="205" fontId="150" fillId="18" borderId="0" xfId="1" applyNumberFormat="1" applyFont="1" applyFill="1" applyBorder="1" applyAlignment="1" applyProtection="1">
      <alignment horizontal="center"/>
      <protection hidden="1"/>
    </xf>
    <xf numFmtId="177" fontId="124" fillId="18" borderId="0" xfId="1" applyNumberFormat="1" applyFont="1" applyFill="1" applyBorder="1" applyAlignment="1" applyProtection="1">
      <alignment horizontal="center" vertical="center"/>
      <protection hidden="1"/>
    </xf>
    <xf numFmtId="177" fontId="110" fillId="18" borderId="0" xfId="1" applyNumberFormat="1" applyFont="1" applyFill="1" applyBorder="1" applyAlignment="1" applyProtection="1">
      <alignment horizontal="center"/>
      <protection hidden="1"/>
    </xf>
    <xf numFmtId="10" fontId="189" fillId="19" borderId="0" xfId="3" applyNumberFormat="1" applyFont="1" applyFill="1" applyAlignment="1" applyProtection="1">
      <alignment horizontal="center" vertical="center"/>
      <protection hidden="1"/>
    </xf>
    <xf numFmtId="177" fontId="189" fillId="19" borderId="0" xfId="1" applyNumberFormat="1" applyFont="1" applyFill="1" applyBorder="1" applyAlignment="1" applyProtection="1">
      <alignment horizontal="right" vertical="center"/>
      <protection hidden="1"/>
    </xf>
    <xf numFmtId="0" fontId="202" fillId="18" borderId="49" xfId="0" applyFont="1" applyFill="1" applyBorder="1" applyAlignment="1">
      <alignment horizontal="center"/>
    </xf>
    <xf numFmtId="172" fontId="119" fillId="8" borderId="96" xfId="2" applyNumberFormat="1" applyFont="1" applyFill="1" applyBorder="1" applyAlignment="1" applyProtection="1">
      <alignment horizontal="center"/>
      <protection hidden="1"/>
    </xf>
    <xf numFmtId="205" fontId="150" fillId="8" borderId="97" xfId="3" applyNumberFormat="1" applyFont="1" applyFill="1" applyBorder="1" applyAlignment="1" applyProtection="1">
      <alignment horizontal="center"/>
      <protection hidden="1"/>
    </xf>
    <xf numFmtId="170" fontId="150" fillId="19" borderId="97" xfId="3" applyNumberFormat="1" applyFont="1" applyFill="1" applyBorder="1" applyAlignment="1" applyProtection="1">
      <alignment horizontal="right"/>
      <protection hidden="1"/>
    </xf>
    <xf numFmtId="10" fontId="144" fillId="19" borderId="99" xfId="3" applyNumberFormat="1" applyFont="1" applyFill="1" applyBorder="1" applyAlignment="1" applyProtection="1">
      <alignment horizontal="center"/>
      <protection hidden="1"/>
    </xf>
    <xf numFmtId="177" fontId="150" fillId="19" borderId="100" xfId="1" applyNumberFormat="1" applyFont="1" applyFill="1" applyBorder="1" applyAlignment="1" applyProtection="1">
      <alignment horizontal="right"/>
      <protection hidden="1"/>
    </xf>
    <xf numFmtId="170" fontId="179" fillId="24" borderId="86" xfId="3" applyNumberFormat="1" applyFont="1" applyFill="1" applyBorder="1" applyAlignment="1" applyProtection="1">
      <alignment horizontal="right"/>
      <protection hidden="1"/>
    </xf>
    <xf numFmtId="10" fontId="179" fillId="24" borderId="86" xfId="3" applyNumberFormat="1" applyFont="1" applyFill="1" applyBorder="1" applyAlignment="1" applyProtection="1">
      <alignment horizontal="center"/>
      <protection hidden="1"/>
    </xf>
    <xf numFmtId="177" fontId="179" fillId="24" borderId="86" xfId="1" applyNumberFormat="1" applyFont="1" applyFill="1" applyBorder="1" applyAlignment="1" applyProtection="1">
      <alignment horizontal="right"/>
      <protection hidden="1"/>
    </xf>
    <xf numFmtId="170" fontId="179" fillId="24" borderId="87" xfId="3" applyNumberFormat="1" applyFont="1" applyFill="1" applyBorder="1" applyAlignment="1" applyProtection="1">
      <alignment horizontal="right"/>
      <protection hidden="1"/>
    </xf>
    <xf numFmtId="10" fontId="179" fillId="24" borderId="87" xfId="3" applyNumberFormat="1" applyFont="1" applyFill="1" applyBorder="1" applyAlignment="1" applyProtection="1">
      <alignment horizontal="center"/>
      <protection hidden="1"/>
    </xf>
    <xf numFmtId="177" fontId="179" fillId="24" borderId="87" xfId="1" applyNumberFormat="1" applyFont="1" applyFill="1" applyBorder="1" applyAlignment="1" applyProtection="1">
      <alignment horizontal="right"/>
      <protection hidden="1"/>
    </xf>
    <xf numFmtId="170" fontId="179" fillId="24" borderId="89" xfId="3" applyNumberFormat="1" applyFont="1" applyFill="1" applyBorder="1" applyAlignment="1" applyProtection="1">
      <alignment horizontal="right"/>
      <protection hidden="1"/>
    </xf>
    <xf numFmtId="10" fontId="179" fillId="24" borderId="89" xfId="3" applyNumberFormat="1" applyFont="1" applyFill="1" applyBorder="1" applyAlignment="1" applyProtection="1">
      <alignment horizontal="center"/>
      <protection hidden="1"/>
    </xf>
    <xf numFmtId="177" fontId="179" fillId="24" borderId="89" xfId="1" applyNumberFormat="1" applyFont="1" applyFill="1" applyBorder="1" applyAlignment="1" applyProtection="1">
      <alignment horizontal="right"/>
      <protection hidden="1"/>
    </xf>
    <xf numFmtId="205" fontId="150" fillId="18" borderId="102" xfId="1" applyNumberFormat="1" applyFont="1" applyFill="1" applyBorder="1" applyAlignment="1" applyProtection="1">
      <alignment horizontal="center"/>
      <protection hidden="1"/>
    </xf>
    <xf numFmtId="205" fontId="150" fillId="11" borderId="103" xfId="1" applyNumberFormat="1" applyFont="1" applyFill="1" applyBorder="1" applyAlignment="1" applyProtection="1">
      <alignment horizontal="center"/>
      <protection hidden="1"/>
    </xf>
    <xf numFmtId="205" fontId="150" fillId="14" borderId="104" xfId="1" applyNumberFormat="1" applyFont="1" applyFill="1" applyBorder="1" applyAlignment="1" applyProtection="1">
      <alignment horizontal="center"/>
      <protection hidden="1"/>
    </xf>
    <xf numFmtId="177" fontId="110" fillId="18" borderId="102" xfId="1" applyNumberFormat="1" applyFont="1" applyFill="1" applyBorder="1" applyAlignment="1" applyProtection="1">
      <alignment horizontal="center"/>
      <protection hidden="1"/>
    </xf>
    <xf numFmtId="177" fontId="110" fillId="11" borderId="103" xfId="1" applyNumberFormat="1" applyFont="1" applyFill="1" applyBorder="1" applyAlignment="1" applyProtection="1">
      <alignment horizontal="center"/>
      <protection hidden="1"/>
    </xf>
    <xf numFmtId="177" fontId="110" fillId="14" borderId="104" xfId="1" applyNumberFormat="1" applyFont="1" applyFill="1" applyBorder="1" applyAlignment="1" applyProtection="1">
      <alignment horizontal="center"/>
      <protection hidden="1"/>
    </xf>
    <xf numFmtId="0" fontId="74" fillId="18" borderId="0" xfId="2" applyFont="1" applyFill="1" applyAlignment="1" applyProtection="1">
      <alignment horizontal="center" vertical="center" wrapText="1"/>
      <protection hidden="1"/>
    </xf>
    <xf numFmtId="0" fontId="11" fillId="18" borderId="6" xfId="0" applyFont="1" applyFill="1" applyBorder="1" applyAlignment="1">
      <alignment horizontal="center"/>
    </xf>
    <xf numFmtId="193" fontId="180" fillId="18" borderId="0" xfId="0" applyNumberFormat="1" applyFont="1" applyFill="1"/>
    <xf numFmtId="193" fontId="0" fillId="18" borderId="0" xfId="0" applyNumberFormat="1" applyFill="1"/>
    <xf numFmtId="4" fontId="0" fillId="18" borderId="0" xfId="0" applyNumberFormat="1" applyFill="1"/>
    <xf numFmtId="168" fontId="201" fillId="12" borderId="105" xfId="0" applyNumberFormat="1" applyFont="1" applyFill="1" applyBorder="1" applyAlignment="1">
      <alignment vertical="center"/>
    </xf>
    <xf numFmtId="3" fontId="237" fillId="12" borderId="105" xfId="0" applyNumberFormat="1" applyFont="1" applyFill="1" applyBorder="1" applyAlignment="1">
      <alignment horizontal="center" vertical="center"/>
    </xf>
    <xf numFmtId="168" fontId="201" fillId="12" borderId="82" xfId="0" applyNumberFormat="1" applyFont="1" applyFill="1" applyBorder="1" applyAlignment="1">
      <alignment vertical="center"/>
    </xf>
    <xf numFmtId="167" fontId="201" fillId="12" borderId="82" xfId="0" applyNumberFormat="1" applyFont="1" applyFill="1" applyBorder="1" applyAlignment="1">
      <alignment vertical="center"/>
    </xf>
    <xf numFmtId="1" fontId="201" fillId="12" borderId="106" xfId="0" applyNumberFormat="1" applyFont="1" applyFill="1" applyBorder="1" applyAlignment="1">
      <alignment vertical="center"/>
    </xf>
    <xf numFmtId="167" fontId="201" fillId="12" borderId="73" xfId="0" applyNumberFormat="1" applyFont="1" applyFill="1" applyBorder="1" applyAlignment="1">
      <alignment vertical="center"/>
    </xf>
    <xf numFmtId="168" fontId="201" fillId="12" borderId="74" xfId="0" applyNumberFormat="1" applyFont="1" applyFill="1" applyBorder="1" applyAlignment="1">
      <alignment vertical="center"/>
    </xf>
    <xf numFmtId="1" fontId="219" fillId="9" borderId="111" xfId="10" applyNumberFormat="1" applyFont="1" applyFill="1" applyBorder="1" applyAlignment="1" applyProtection="1">
      <alignment horizontal="center" vertical="center"/>
      <protection hidden="1"/>
    </xf>
    <xf numFmtId="43" fontId="201" fillId="9" borderId="75" xfId="1" applyFont="1" applyFill="1" applyBorder="1" applyAlignment="1" applyProtection="1">
      <alignment vertical="center"/>
      <protection hidden="1"/>
    </xf>
    <xf numFmtId="193" fontId="178" fillId="9" borderId="90" xfId="2" applyNumberFormat="1" applyFont="1" applyFill="1" applyBorder="1" applyAlignment="1" applyProtection="1">
      <alignment horizontal="right" vertical="center"/>
      <protection hidden="1"/>
    </xf>
    <xf numFmtId="10" fontId="144" fillId="9" borderId="76" xfId="8" applyNumberFormat="1" applyFont="1" applyFill="1" applyBorder="1" applyAlignment="1" applyProtection="1">
      <alignment horizontal="center" vertical="center"/>
      <protection hidden="1"/>
    </xf>
    <xf numFmtId="1" fontId="219" fillId="24" borderId="86" xfId="10" applyNumberFormat="1" applyFont="1" applyFill="1" applyBorder="1" applyAlignment="1" applyProtection="1">
      <alignment horizontal="center" vertical="center"/>
      <protection hidden="1"/>
    </xf>
    <xf numFmtId="43" fontId="201" fillId="24" borderId="86" xfId="1" applyFont="1" applyFill="1" applyBorder="1" applyAlignment="1" applyProtection="1">
      <alignment vertical="center"/>
      <protection hidden="1"/>
    </xf>
    <xf numFmtId="193" fontId="178" fillId="24" borderId="86" xfId="2" applyNumberFormat="1" applyFont="1" applyFill="1" applyBorder="1" applyAlignment="1" applyProtection="1">
      <alignment horizontal="right" vertical="center"/>
      <protection hidden="1"/>
    </xf>
    <xf numFmtId="10" fontId="144" fillId="24" borderId="86" xfId="8" applyNumberFormat="1" applyFont="1" applyFill="1" applyBorder="1" applyAlignment="1" applyProtection="1">
      <alignment horizontal="center" vertical="center"/>
      <protection hidden="1"/>
    </xf>
    <xf numFmtId="1" fontId="219" fillId="24" borderId="87" xfId="10" applyNumberFormat="1" applyFont="1" applyFill="1" applyBorder="1" applyAlignment="1" applyProtection="1">
      <alignment horizontal="center" vertical="center"/>
      <protection hidden="1"/>
    </xf>
    <xf numFmtId="43" fontId="201" fillId="24" borderId="87" xfId="1" applyFont="1" applyFill="1" applyBorder="1" applyAlignment="1" applyProtection="1">
      <alignment vertical="center"/>
      <protection hidden="1"/>
    </xf>
    <xf numFmtId="193" fontId="178" fillId="24" borderId="87" xfId="2" applyNumberFormat="1" applyFont="1" applyFill="1" applyBorder="1" applyAlignment="1" applyProtection="1">
      <alignment horizontal="right" vertical="center"/>
      <protection hidden="1"/>
    </xf>
    <xf numFmtId="10" fontId="144" fillId="24" borderId="87" xfId="8" applyNumberFormat="1" applyFont="1" applyFill="1" applyBorder="1" applyAlignment="1" applyProtection="1">
      <alignment horizontal="center" vertical="center"/>
      <protection hidden="1"/>
    </xf>
    <xf numFmtId="1" fontId="219" fillId="24" borderId="89" xfId="10" applyNumberFormat="1" applyFont="1" applyFill="1" applyBorder="1" applyAlignment="1" applyProtection="1">
      <alignment horizontal="center" vertical="center"/>
      <protection hidden="1"/>
    </xf>
    <xf numFmtId="43" fontId="201" fillId="24" borderId="89" xfId="1" applyFont="1" applyFill="1" applyBorder="1" applyAlignment="1" applyProtection="1">
      <alignment vertical="center"/>
      <protection hidden="1"/>
    </xf>
    <xf numFmtId="193" fontId="178" fillId="24" borderId="89" xfId="2" applyNumberFormat="1" applyFont="1" applyFill="1" applyBorder="1" applyAlignment="1" applyProtection="1">
      <alignment horizontal="right" vertical="center"/>
      <protection hidden="1"/>
    </xf>
    <xf numFmtId="10" fontId="144" fillId="24" borderId="89" xfId="8" applyNumberFormat="1" applyFont="1" applyFill="1" applyBorder="1" applyAlignment="1" applyProtection="1">
      <alignment horizontal="center" vertical="center"/>
      <protection hidden="1"/>
    </xf>
    <xf numFmtId="43" fontId="208" fillId="12" borderId="48" xfId="1" applyFont="1" applyFill="1" applyBorder="1" applyAlignment="1" applyProtection="1">
      <alignment horizontal="left" vertical="center"/>
    </xf>
    <xf numFmtId="165" fontId="201" fillId="9" borderId="75" xfId="7" applyNumberFormat="1" applyFont="1" applyFill="1" applyBorder="1" applyAlignment="1" applyProtection="1">
      <alignment horizontal="center" vertical="center"/>
      <protection hidden="1"/>
    </xf>
    <xf numFmtId="165" fontId="201" fillId="9" borderId="76" xfId="7" applyNumberFormat="1" applyFont="1" applyFill="1" applyBorder="1" applyAlignment="1" applyProtection="1">
      <alignment horizontal="center" vertical="center"/>
      <protection hidden="1"/>
    </xf>
    <xf numFmtId="193" fontId="179" fillId="9" borderId="90" xfId="2" applyNumberFormat="1" applyFont="1" applyFill="1" applyBorder="1" applyAlignment="1" applyProtection="1">
      <alignment horizontal="right" vertical="center"/>
      <protection hidden="1"/>
    </xf>
    <xf numFmtId="10" fontId="179" fillId="9" borderId="90" xfId="8" applyNumberFormat="1" applyFont="1" applyFill="1" applyBorder="1" applyAlignment="1" applyProtection="1">
      <alignment vertical="center"/>
      <protection hidden="1"/>
    </xf>
    <xf numFmtId="4" fontId="179" fillId="9" borderId="75" xfId="2" applyNumberFormat="1" applyFont="1" applyFill="1" applyBorder="1" applyAlignment="1" applyProtection="1">
      <alignment horizontal="right" vertical="center"/>
      <protection hidden="1"/>
    </xf>
    <xf numFmtId="10" fontId="179" fillId="9" borderId="76" xfId="8" applyNumberFormat="1" applyFont="1" applyFill="1" applyBorder="1" applyAlignment="1" applyProtection="1">
      <alignment vertical="center"/>
      <protection hidden="1"/>
    </xf>
    <xf numFmtId="193" fontId="179" fillId="24" borderId="86" xfId="2" applyNumberFormat="1" applyFont="1" applyFill="1" applyBorder="1" applyAlignment="1" applyProtection="1">
      <alignment horizontal="right" vertical="center"/>
      <protection hidden="1"/>
    </xf>
    <xf numFmtId="10" fontId="179" fillId="24" borderId="86" xfId="8" applyNumberFormat="1" applyFont="1" applyFill="1" applyBorder="1" applyAlignment="1" applyProtection="1">
      <alignment vertical="center"/>
      <protection hidden="1"/>
    </xf>
    <xf numFmtId="0" fontId="239" fillId="24" borderId="86" xfId="0" applyFont="1" applyFill="1" applyBorder="1"/>
    <xf numFmtId="193" fontId="179" fillId="24" borderId="87" xfId="2" applyNumberFormat="1" applyFont="1" applyFill="1" applyBorder="1" applyAlignment="1" applyProtection="1">
      <alignment horizontal="right" vertical="center"/>
      <protection hidden="1"/>
    </xf>
    <xf numFmtId="10" fontId="179" fillId="24" borderId="87" xfId="8" applyNumberFormat="1" applyFont="1" applyFill="1" applyBorder="1" applyAlignment="1" applyProtection="1">
      <alignment vertical="center"/>
      <protection hidden="1"/>
    </xf>
    <xf numFmtId="0" fontId="239" fillId="24" borderId="87" xfId="0" applyFont="1" applyFill="1" applyBorder="1"/>
    <xf numFmtId="193" fontId="179" fillId="24" borderId="89" xfId="2" applyNumberFormat="1" applyFont="1" applyFill="1" applyBorder="1" applyAlignment="1" applyProtection="1">
      <alignment horizontal="right" vertical="center"/>
      <protection hidden="1"/>
    </xf>
    <xf numFmtId="10" fontId="179" fillId="24" borderId="89" xfId="8" applyNumberFormat="1" applyFont="1" applyFill="1" applyBorder="1" applyAlignment="1" applyProtection="1">
      <alignment vertical="center"/>
      <protection hidden="1"/>
    </xf>
    <xf numFmtId="0" fontId="239" fillId="24" borderId="89" xfId="0" applyFont="1" applyFill="1" applyBorder="1"/>
    <xf numFmtId="167" fontId="262" fillId="23" borderId="108" xfId="0" applyNumberFormat="1" applyFont="1" applyFill="1" applyBorder="1" applyAlignment="1">
      <alignment vertical="center"/>
    </xf>
    <xf numFmtId="168" fontId="262" fillId="23" borderId="112" xfId="0" applyNumberFormat="1" applyFont="1" applyFill="1" applyBorder="1" applyAlignment="1">
      <alignment vertical="center"/>
    </xf>
    <xf numFmtId="167" fontId="262" fillId="23" borderId="109" xfId="0" applyNumberFormat="1" applyFont="1" applyFill="1" applyBorder="1" applyAlignment="1">
      <alignment vertical="center"/>
    </xf>
    <xf numFmtId="168" fontId="262" fillId="23" borderId="107" xfId="0" applyNumberFormat="1" applyFont="1" applyFill="1" applyBorder="1" applyAlignment="1">
      <alignment vertical="center"/>
    </xf>
    <xf numFmtId="167" fontId="262" fillId="23" borderId="110" xfId="0" applyNumberFormat="1" applyFont="1" applyFill="1" applyBorder="1" applyAlignment="1">
      <alignment vertical="center"/>
    </xf>
    <xf numFmtId="168" fontId="262" fillId="23" borderId="113" xfId="0" applyNumberFormat="1" applyFont="1" applyFill="1" applyBorder="1" applyAlignment="1">
      <alignment vertical="center"/>
    </xf>
    <xf numFmtId="168" fontId="262" fillId="23" borderId="83" xfId="0" applyNumberFormat="1" applyFont="1" applyFill="1" applyBorder="1" applyAlignment="1">
      <alignment vertical="center"/>
    </xf>
    <xf numFmtId="167" fontId="262" fillId="23" borderId="83" xfId="0" applyNumberFormat="1" applyFont="1" applyFill="1" applyBorder="1" applyAlignment="1">
      <alignment vertical="center"/>
    </xf>
    <xf numFmtId="1" fontId="262" fillId="23" borderId="107" xfId="0" applyNumberFormat="1" applyFont="1" applyFill="1" applyBorder="1" applyAlignment="1">
      <alignment vertical="center"/>
    </xf>
    <xf numFmtId="3" fontId="288" fillId="23" borderId="83" xfId="0" applyNumberFormat="1" applyFont="1" applyFill="1" applyBorder="1" applyAlignment="1">
      <alignment horizontal="center" vertical="center"/>
    </xf>
    <xf numFmtId="165" fontId="262" fillId="24" borderId="86" xfId="7" applyNumberFormat="1" applyFont="1" applyFill="1" applyBorder="1" applyAlignment="1" applyProtection="1">
      <alignment horizontal="center" vertical="center"/>
      <protection hidden="1"/>
    </xf>
    <xf numFmtId="165" fontId="262" fillId="24" borderId="87" xfId="7" applyNumberFormat="1" applyFont="1" applyFill="1" applyBorder="1" applyAlignment="1" applyProtection="1">
      <alignment horizontal="center" vertical="center"/>
      <protection hidden="1"/>
    </xf>
    <xf numFmtId="165" fontId="262" fillId="24" borderId="89" xfId="7" applyNumberFormat="1" applyFont="1" applyFill="1" applyBorder="1" applyAlignment="1" applyProtection="1">
      <alignment horizontal="center" vertical="center"/>
      <protection hidden="1"/>
    </xf>
    <xf numFmtId="0" fontId="289" fillId="24" borderId="0" xfId="0" applyFont="1" applyFill="1"/>
    <xf numFmtId="10" fontId="260" fillId="24" borderId="0" xfId="10" applyNumberFormat="1" applyFont="1" applyFill="1" applyBorder="1" applyAlignment="1" applyProtection="1">
      <alignment vertical="center" wrapText="1"/>
      <protection hidden="1"/>
    </xf>
    <xf numFmtId="4" fontId="259" fillId="24" borderId="86" xfId="2" applyNumberFormat="1" applyFont="1" applyFill="1" applyBorder="1" applyAlignment="1" applyProtection="1">
      <alignment horizontal="right" vertical="center"/>
      <protection hidden="1"/>
    </xf>
    <xf numFmtId="10" fontId="259" fillId="24" borderId="86" xfId="8" applyNumberFormat="1" applyFont="1" applyFill="1" applyBorder="1" applyAlignment="1" applyProtection="1">
      <alignment vertical="center"/>
      <protection hidden="1"/>
    </xf>
    <xf numFmtId="4" fontId="259" fillId="24" borderId="87" xfId="2" applyNumberFormat="1" applyFont="1" applyFill="1" applyBorder="1" applyAlignment="1" applyProtection="1">
      <alignment horizontal="right" vertical="center"/>
      <protection hidden="1"/>
    </xf>
    <xf numFmtId="10" fontId="259" fillId="24" borderId="87" xfId="8" applyNumberFormat="1" applyFont="1" applyFill="1" applyBorder="1" applyAlignment="1" applyProtection="1">
      <alignment vertical="center"/>
      <protection hidden="1"/>
    </xf>
    <xf numFmtId="4" fontId="259" fillId="24" borderId="89" xfId="2" applyNumberFormat="1" applyFont="1" applyFill="1" applyBorder="1" applyAlignment="1" applyProtection="1">
      <alignment horizontal="right" vertical="center"/>
      <protection hidden="1"/>
    </xf>
    <xf numFmtId="10" fontId="259" fillId="24" borderId="89" xfId="8" applyNumberFormat="1" applyFont="1" applyFill="1" applyBorder="1" applyAlignment="1" applyProtection="1">
      <alignment vertical="center"/>
      <protection hidden="1"/>
    </xf>
    <xf numFmtId="180" fontId="290" fillId="2" borderId="78" xfId="2" applyNumberFormat="1" applyFont="1" applyFill="1" applyBorder="1" applyAlignment="1">
      <alignment horizontal="center" vertical="center" wrapText="1"/>
    </xf>
    <xf numFmtId="180" fontId="279" fillId="2" borderId="78" xfId="2" applyNumberFormat="1" applyFont="1" applyFill="1" applyBorder="1" applyAlignment="1">
      <alignment horizontal="center" vertical="center" wrapText="1"/>
    </xf>
    <xf numFmtId="0" fontId="286" fillId="24" borderId="0" xfId="0" applyFont="1" applyFill="1"/>
    <xf numFmtId="10" fontId="120" fillId="25" borderId="77" xfId="2" applyNumberFormat="1" applyFont="1" applyFill="1" applyBorder="1" applyAlignment="1" applyProtection="1">
      <alignment horizontal="center" vertical="center" wrapText="1"/>
      <protection hidden="1"/>
    </xf>
    <xf numFmtId="10" fontId="120" fillId="26" borderId="77" xfId="2" applyNumberFormat="1" applyFont="1" applyFill="1" applyBorder="1" applyAlignment="1" applyProtection="1">
      <alignment horizontal="center" vertical="center" wrapText="1"/>
      <protection hidden="1"/>
    </xf>
    <xf numFmtId="0" fontId="285" fillId="24" borderId="0" xfId="0" applyFont="1" applyFill="1"/>
    <xf numFmtId="0" fontId="18" fillId="24" borderId="0" xfId="2" applyFont="1" applyFill="1" applyProtection="1">
      <protection hidden="1"/>
    </xf>
    <xf numFmtId="10" fontId="27" fillId="24" borderId="0" xfId="2" applyNumberFormat="1" applyFont="1" applyFill="1" applyAlignment="1" applyProtection="1">
      <alignment vertical="center" wrapText="1"/>
      <protection hidden="1"/>
    </xf>
    <xf numFmtId="0" fontId="43" fillId="24" borderId="0" xfId="2" applyFont="1" applyFill="1" applyProtection="1">
      <protection hidden="1"/>
    </xf>
    <xf numFmtId="0" fontId="113" fillId="24" borderId="0" xfId="0" applyFont="1" applyFill="1"/>
    <xf numFmtId="0" fontId="136" fillId="24" borderId="0" xfId="2" applyFont="1" applyFill="1" applyProtection="1">
      <protection hidden="1"/>
    </xf>
    <xf numFmtId="10" fontId="216" fillId="24" borderId="0" xfId="2" applyNumberFormat="1" applyFont="1" applyFill="1" applyAlignment="1" applyProtection="1">
      <alignment vertical="center" wrapText="1"/>
      <protection hidden="1"/>
    </xf>
    <xf numFmtId="195" fontId="0" fillId="24" borderId="0" xfId="0" applyNumberFormat="1" applyFill="1"/>
    <xf numFmtId="0" fontId="0" fillId="18" borderId="0" xfId="0" applyFill="1" applyAlignment="1">
      <alignment horizontal="center"/>
    </xf>
    <xf numFmtId="0" fontId="244" fillId="18" borderId="0" xfId="0" applyFont="1" applyFill="1" applyAlignment="1">
      <alignment horizontal="center"/>
    </xf>
    <xf numFmtId="196" fontId="0" fillId="18" borderId="0" xfId="0" applyNumberFormat="1" applyFill="1"/>
    <xf numFmtId="43" fontId="48" fillId="18" borderId="0" xfId="1" applyFont="1" applyFill="1" applyBorder="1" applyAlignment="1" applyProtection="1">
      <alignment vertical="center"/>
      <protection hidden="1"/>
    </xf>
    <xf numFmtId="43" fontId="42" fillId="18" borderId="0" xfId="1" applyFont="1" applyFill="1" applyBorder="1" applyAlignment="1" applyProtection="1">
      <alignment vertical="center"/>
      <protection hidden="1"/>
    </xf>
    <xf numFmtId="0" fontId="166" fillId="18" borderId="0" xfId="2" applyFont="1" applyFill="1" applyProtection="1">
      <protection hidden="1"/>
    </xf>
    <xf numFmtId="0" fontId="26" fillId="18" borderId="0" xfId="2" applyFont="1" applyFill="1" applyAlignment="1" applyProtection="1">
      <alignment horizontal="center"/>
      <protection hidden="1"/>
    </xf>
    <xf numFmtId="0" fontId="26" fillId="18" borderId="0" xfId="2" applyFont="1" applyFill="1" applyProtection="1">
      <protection hidden="1"/>
    </xf>
    <xf numFmtId="0" fontId="18" fillId="18" borderId="0" xfId="2" applyFont="1" applyFill="1" applyProtection="1">
      <protection hidden="1"/>
    </xf>
    <xf numFmtId="0" fontId="43" fillId="18" borderId="0" xfId="2" applyFont="1" applyFill="1" applyProtection="1">
      <protection hidden="1"/>
    </xf>
    <xf numFmtId="0" fontId="97" fillId="18" borderId="0" xfId="2" applyFont="1" applyFill="1" applyProtection="1">
      <protection hidden="1"/>
    </xf>
    <xf numFmtId="196" fontId="176" fillId="9" borderId="114" xfId="2" applyNumberFormat="1" applyFont="1" applyFill="1" applyBorder="1" applyAlignment="1" applyProtection="1">
      <alignment horizontal="center"/>
      <protection hidden="1"/>
    </xf>
    <xf numFmtId="196" fontId="201" fillId="9" borderId="84" xfId="3" applyNumberFormat="1" applyFont="1" applyFill="1" applyBorder="1" applyProtection="1">
      <protection hidden="1"/>
    </xf>
    <xf numFmtId="196" fontId="201" fillId="9" borderId="84" xfId="2" applyNumberFormat="1" applyFont="1" applyFill="1" applyBorder="1" applyProtection="1">
      <protection hidden="1"/>
    </xf>
    <xf numFmtId="0" fontId="292" fillId="18" borderId="49" xfId="0" applyFont="1" applyFill="1" applyBorder="1" applyAlignment="1">
      <alignment horizontal="center"/>
    </xf>
    <xf numFmtId="0" fontId="177" fillId="9" borderId="116" xfId="2" applyFont="1" applyFill="1" applyBorder="1" applyAlignment="1" applyProtection="1">
      <alignment horizontal="center"/>
      <protection hidden="1"/>
    </xf>
    <xf numFmtId="14" fontId="201" fillId="12" borderId="81" xfId="9" applyNumberFormat="1" applyFont="1" applyFill="1" applyBorder="1" applyAlignment="1">
      <alignment horizontal="center" vertical="center"/>
    </xf>
    <xf numFmtId="0" fontId="201" fillId="12" borderId="82" xfId="0" applyFont="1" applyFill="1" applyBorder="1" applyAlignment="1">
      <alignment horizontal="center" vertical="center"/>
    </xf>
    <xf numFmtId="204" fontId="220" fillId="12" borderId="82" xfId="6" applyNumberFormat="1" applyFont="1" applyFill="1" applyBorder="1" applyAlignment="1">
      <alignment horizontal="center" vertical="center"/>
    </xf>
    <xf numFmtId="204" fontId="220" fillId="12" borderId="74" xfId="2" applyNumberFormat="1" applyFont="1" applyFill="1" applyBorder="1" applyAlignment="1">
      <alignment horizontal="center" vertical="center"/>
    </xf>
    <xf numFmtId="0" fontId="65" fillId="18" borderId="0" xfId="2" applyFont="1" applyFill="1"/>
    <xf numFmtId="0" fontId="149" fillId="18" borderId="0" xfId="2" applyFont="1" applyFill="1"/>
    <xf numFmtId="0" fontId="66" fillId="18" borderId="0" xfId="2" applyFont="1" applyFill="1" applyAlignment="1">
      <alignment wrapText="1"/>
    </xf>
    <xf numFmtId="14" fontId="4" fillId="18" borderId="0" xfId="2" applyNumberFormat="1" applyFont="1" applyFill="1" applyAlignment="1">
      <alignment horizontal="center"/>
    </xf>
    <xf numFmtId="166" fontId="4" fillId="18" borderId="0" xfId="2" applyNumberFormat="1" applyFont="1" applyFill="1"/>
    <xf numFmtId="0" fontId="4" fillId="18" borderId="0" xfId="2" applyFont="1" applyFill="1"/>
    <xf numFmtId="0" fontId="7" fillId="18" borderId="0" xfId="2" applyFont="1" applyFill="1" applyAlignment="1">
      <alignment vertical="center" textRotation="90"/>
    </xf>
    <xf numFmtId="14" fontId="12" fillId="18" borderId="0" xfId="2" applyNumberFormat="1" applyFont="1" applyFill="1" applyAlignment="1">
      <alignment horizontal="center" vertical="center" wrapText="1"/>
    </xf>
    <xf numFmtId="0" fontId="229" fillId="18" borderId="56" xfId="0" applyFont="1" applyFill="1" applyBorder="1" applyAlignment="1">
      <alignment horizontal="center"/>
    </xf>
    <xf numFmtId="14" fontId="8" fillId="24" borderId="0" xfId="2" applyNumberFormat="1" applyFont="1" applyFill="1" applyAlignment="1">
      <alignment horizontal="center"/>
    </xf>
    <xf numFmtId="0" fontId="9" fillId="24" borderId="0" xfId="2" applyFont="1" applyFill="1" applyAlignment="1">
      <alignment horizontal="right" vertical="center"/>
    </xf>
    <xf numFmtId="166" fontId="221" fillId="24" borderId="0" xfId="5" applyNumberFormat="1" applyFont="1" applyFill="1" applyAlignment="1">
      <alignment horizontal="center" vertical="center"/>
    </xf>
    <xf numFmtId="0" fontId="6" fillId="24" borderId="0" xfId="2" applyFont="1" applyFill="1"/>
    <xf numFmtId="3" fontId="60" fillId="24" borderId="0" xfId="2" applyNumberFormat="1" applyFont="1" applyFill="1" applyAlignment="1">
      <alignment horizontal="center" vertical="center"/>
    </xf>
    <xf numFmtId="166" fontId="62" fillId="24" borderId="0" xfId="2" applyNumberFormat="1" applyFont="1" applyFill="1" applyAlignment="1" applyProtection="1">
      <alignment wrapText="1"/>
      <protection hidden="1"/>
    </xf>
    <xf numFmtId="14" fontId="13" fillId="24" borderId="0" xfId="2" applyNumberFormat="1" applyFont="1" applyFill="1" applyAlignment="1" applyProtection="1">
      <alignment horizontal="left"/>
      <protection hidden="1"/>
    </xf>
    <xf numFmtId="166" fontId="8" fillId="24" borderId="0" xfId="2" applyNumberFormat="1" applyFont="1" applyFill="1" applyAlignment="1">
      <alignment horizontal="center"/>
    </xf>
    <xf numFmtId="14" fontId="4" fillId="24" borderId="0" xfId="2" applyNumberFormat="1" applyFont="1" applyFill="1" applyAlignment="1">
      <alignment horizontal="center"/>
    </xf>
    <xf numFmtId="164" fontId="8" fillId="24" borderId="0" xfId="2" applyNumberFormat="1" applyFont="1" applyFill="1" applyAlignment="1">
      <alignment horizontal="center"/>
    </xf>
    <xf numFmtId="166" fontId="15" fillId="24" borderId="0" xfId="2" applyNumberFormat="1" applyFont="1" applyFill="1" applyAlignment="1" applyProtection="1">
      <alignment wrapText="1"/>
      <protection hidden="1"/>
    </xf>
    <xf numFmtId="0" fontId="48" fillId="18" borderId="0" xfId="2" applyFont="1" applyFill="1" applyAlignment="1">
      <alignment vertical="center"/>
    </xf>
    <xf numFmtId="0" fontId="138" fillId="12" borderId="105" xfId="2" applyFont="1" applyFill="1" applyBorder="1" applyAlignment="1">
      <alignment horizontal="center"/>
    </xf>
    <xf numFmtId="0" fontId="138" fillId="12" borderId="82" xfId="2" applyFont="1" applyFill="1" applyBorder="1" applyAlignment="1">
      <alignment horizontal="center"/>
    </xf>
    <xf numFmtId="14" fontId="138" fillId="12" borderId="82" xfId="3" applyNumberFormat="1" applyFont="1" applyFill="1" applyBorder="1" applyAlignment="1">
      <alignment horizontal="center"/>
    </xf>
    <xf numFmtId="0" fontId="21" fillId="23" borderId="83" xfId="2" applyFont="1" applyFill="1" applyBorder="1" applyAlignment="1">
      <alignment horizontal="center"/>
    </xf>
    <xf numFmtId="14" fontId="21" fillId="23" borderId="83" xfId="3" applyNumberFormat="1" applyFont="1" applyFill="1" applyBorder="1" applyAlignment="1">
      <alignment horizontal="center"/>
    </xf>
    <xf numFmtId="0" fontId="3" fillId="18" borderId="0" xfId="2" applyFill="1"/>
    <xf numFmtId="0" fontId="7" fillId="18" borderId="0" xfId="2" applyFont="1" applyFill="1" applyAlignment="1">
      <alignment vertical="center" wrapText="1"/>
    </xf>
    <xf numFmtId="14" fontId="124" fillId="18" borderId="0" xfId="0" applyNumberFormat="1" applyFont="1" applyFill="1" applyAlignment="1">
      <alignment horizontal="center" vertical="center" wrapText="1"/>
    </xf>
    <xf numFmtId="0" fontId="293" fillId="18" borderId="0" xfId="0" applyFont="1" applyFill="1" applyAlignment="1" applyProtection="1">
      <alignment horizontal="left"/>
      <protection hidden="1"/>
    </xf>
    <xf numFmtId="0" fontId="294" fillId="18" borderId="0" xfId="2" applyFont="1" applyFill="1" applyAlignment="1">
      <alignment vertical="center" textRotation="90"/>
    </xf>
    <xf numFmtId="0" fontId="21" fillId="18" borderId="0" xfId="2" applyFont="1" applyFill="1"/>
    <xf numFmtId="0" fontId="294" fillId="18" borderId="0" xfId="2" applyFont="1" applyFill="1" applyAlignment="1">
      <alignment vertical="center" wrapText="1"/>
    </xf>
    <xf numFmtId="14" fontId="263" fillId="18" borderId="0" xfId="0" applyNumberFormat="1" applyFont="1" applyFill="1" applyAlignment="1">
      <alignment horizontal="center" vertical="center" wrapText="1"/>
    </xf>
    <xf numFmtId="0" fontId="206" fillId="24" borderId="0" xfId="0" applyFont="1" applyFill="1" applyAlignment="1">
      <alignment horizontal="center"/>
    </xf>
    <xf numFmtId="14" fontId="114" fillId="24" borderId="0" xfId="2" applyNumberFormat="1" applyFont="1" applyFill="1"/>
    <xf numFmtId="0" fontId="104" fillId="24" borderId="0" xfId="0" applyFont="1" applyFill="1" applyAlignment="1">
      <alignment horizontal="center"/>
    </xf>
    <xf numFmtId="43" fontId="4" fillId="24" borderId="0" xfId="1" applyFont="1" applyFill="1" applyAlignment="1">
      <alignment horizontal="center"/>
    </xf>
    <xf numFmtId="166" fontId="16" fillId="24" borderId="0" xfId="2" applyNumberFormat="1" applyFont="1" applyFill="1" applyAlignment="1">
      <alignment horizontal="right"/>
    </xf>
    <xf numFmtId="43" fontId="17" fillId="24" borderId="0" xfId="3" applyFont="1" applyFill="1"/>
    <xf numFmtId="0" fontId="46" fillId="18" borderId="0" xfId="2" applyFont="1" applyFill="1"/>
    <xf numFmtId="0" fontId="147" fillId="18" borderId="9" xfId="0" applyFont="1" applyFill="1" applyBorder="1"/>
    <xf numFmtId="43" fontId="262" fillId="23" borderId="21" xfId="1" applyFont="1" applyFill="1" applyBorder="1" applyAlignment="1">
      <alignment horizontal="center" vertical="center" wrapText="1"/>
    </xf>
    <xf numFmtId="1" fontId="262" fillId="23" borderId="21" xfId="1" applyNumberFormat="1" applyFont="1" applyFill="1" applyBorder="1" applyAlignment="1">
      <alignment horizontal="center" vertical="center" wrapText="1"/>
    </xf>
    <xf numFmtId="0" fontId="263" fillId="24" borderId="0" xfId="2" applyFont="1" applyFill="1" applyAlignment="1">
      <alignment horizontal="left"/>
    </xf>
    <xf numFmtId="43" fontId="262" fillId="24" borderId="0" xfId="1" applyFont="1" applyFill="1" applyAlignment="1">
      <alignment horizontal="center" vertical="center"/>
    </xf>
    <xf numFmtId="9" fontId="262" fillId="24" borderId="0" xfId="1" applyNumberFormat="1" applyFont="1" applyFill="1" applyBorder="1" applyAlignment="1" applyProtection="1">
      <alignment horizontal="center" vertical="center"/>
      <protection hidden="1"/>
    </xf>
    <xf numFmtId="196" fontId="259" fillId="24" borderId="0" xfId="2" applyNumberFormat="1" applyFont="1" applyFill="1" applyAlignment="1" applyProtection="1">
      <alignment vertical="center" wrapText="1"/>
      <protection hidden="1"/>
    </xf>
    <xf numFmtId="10" fontId="272" fillId="24" borderId="0" xfId="10" applyNumberFormat="1" applyFont="1" applyFill="1" applyBorder="1" applyAlignment="1" applyProtection="1">
      <alignment vertical="center" wrapText="1"/>
      <protection hidden="1"/>
    </xf>
    <xf numFmtId="0" fontId="277" fillId="24" borderId="0" xfId="0" applyFont="1" applyFill="1"/>
    <xf numFmtId="43" fontId="241" fillId="18" borderId="0" xfId="0" applyNumberFormat="1" applyFont="1" applyFill="1"/>
    <xf numFmtId="0" fontId="170" fillId="18" borderId="0" xfId="0" applyFont="1" applyFill="1"/>
    <xf numFmtId="0" fontId="263" fillId="24" borderId="0" xfId="0" applyFont="1" applyFill="1" applyAlignment="1">
      <alignment vertical="center"/>
    </xf>
    <xf numFmtId="14" fontId="263" fillId="24" borderId="0" xfId="0" applyNumberFormat="1" applyFont="1" applyFill="1" applyAlignment="1">
      <alignment vertical="center"/>
    </xf>
    <xf numFmtId="196" fontId="262" fillId="24" borderId="0" xfId="1" applyNumberFormat="1" applyFont="1" applyFill="1"/>
    <xf numFmtId="196" fontId="262" fillId="24" borderId="0" xfId="1" applyNumberFormat="1" applyFont="1" applyFill="1" applyBorder="1"/>
    <xf numFmtId="0" fontId="280" fillId="18" borderId="0" xfId="0" applyFont="1" applyFill="1"/>
    <xf numFmtId="0" fontId="201" fillId="24" borderId="86" xfId="3" applyNumberFormat="1" applyFont="1" applyFill="1" applyBorder="1" applyAlignment="1" applyProtection="1">
      <alignment horizontal="center"/>
      <protection hidden="1"/>
    </xf>
    <xf numFmtId="10" fontId="201" fillId="24" borderId="86" xfId="10" applyNumberFormat="1" applyFont="1" applyFill="1" applyBorder="1" applyAlignment="1" applyProtection="1">
      <alignment horizontal="center"/>
      <protection hidden="1"/>
    </xf>
    <xf numFmtId="2" fontId="201" fillId="24" borderId="86" xfId="2" applyNumberFormat="1" applyFont="1" applyFill="1" applyBorder="1" applyAlignment="1" applyProtection="1">
      <alignment horizontal="center"/>
      <protection hidden="1"/>
    </xf>
    <xf numFmtId="10" fontId="201" fillId="24" borderId="117" xfId="10" applyNumberFormat="1" applyFont="1" applyFill="1" applyBorder="1" applyAlignment="1" applyProtection="1">
      <alignment horizontal="center"/>
      <protection hidden="1"/>
    </xf>
    <xf numFmtId="196" fontId="0" fillId="0" borderId="0" xfId="0" applyNumberFormat="1"/>
    <xf numFmtId="196" fontId="136" fillId="24" borderId="0" xfId="2" applyNumberFormat="1" applyFont="1" applyFill="1" applyProtection="1">
      <protection hidden="1"/>
    </xf>
    <xf numFmtId="0" fontId="201" fillId="24" borderId="87" xfId="3" applyNumberFormat="1" applyFont="1" applyFill="1" applyBorder="1" applyAlignment="1" applyProtection="1">
      <alignment horizontal="center"/>
      <protection hidden="1"/>
    </xf>
    <xf numFmtId="10" fontId="201" fillId="24" borderId="87" xfId="10" applyNumberFormat="1" applyFont="1" applyFill="1" applyBorder="1" applyAlignment="1" applyProtection="1">
      <alignment horizontal="center"/>
      <protection hidden="1"/>
    </xf>
    <xf numFmtId="2" fontId="201" fillId="24" borderId="87" xfId="2" applyNumberFormat="1" applyFont="1" applyFill="1" applyBorder="1" applyAlignment="1" applyProtection="1">
      <alignment horizontal="center"/>
      <protection hidden="1"/>
    </xf>
    <xf numFmtId="10" fontId="201" fillId="24" borderId="118" xfId="10" applyNumberFormat="1" applyFont="1" applyFill="1" applyBorder="1" applyAlignment="1" applyProtection="1">
      <alignment horizontal="center"/>
      <protection hidden="1"/>
    </xf>
    <xf numFmtId="0" fontId="295" fillId="24" borderId="0" xfId="0" applyFont="1" applyFill="1" applyAlignment="1">
      <alignment vertical="center"/>
    </xf>
    <xf numFmtId="10" fontId="263" fillId="24" borderId="0" xfId="2" applyNumberFormat="1" applyFont="1" applyFill="1" applyAlignment="1" applyProtection="1">
      <alignment horizontal="center"/>
      <protection hidden="1"/>
    </xf>
    <xf numFmtId="0" fontId="202" fillId="18" borderId="129" xfId="0" applyFont="1" applyFill="1" applyBorder="1" applyAlignment="1">
      <alignment horizontal="center"/>
    </xf>
    <xf numFmtId="9" fontId="271" fillId="24" borderId="0" xfId="10" applyFont="1" applyFill="1" applyBorder="1"/>
    <xf numFmtId="0" fontId="76" fillId="18" borderId="0" xfId="0" applyFont="1" applyFill="1" applyAlignment="1">
      <alignment horizontal="left"/>
    </xf>
    <xf numFmtId="0" fontId="0" fillId="18" borderId="0" xfId="0" applyFill="1" applyAlignment="1">
      <alignment horizontal="left"/>
    </xf>
    <xf numFmtId="10" fontId="39" fillId="18" borderId="0" xfId="0" applyNumberFormat="1" applyFont="1" applyFill="1" applyAlignment="1" applyProtection="1">
      <alignment horizontal="left" vertical="center"/>
      <protection hidden="1"/>
    </xf>
    <xf numFmtId="10" fontId="202" fillId="18" borderId="0" xfId="0" applyNumberFormat="1" applyFont="1" applyFill="1" applyAlignment="1" applyProtection="1">
      <alignment horizontal="center" vertical="top"/>
      <protection hidden="1"/>
    </xf>
    <xf numFmtId="10" fontId="8" fillId="18" borderId="0" xfId="0" applyNumberFormat="1" applyFont="1" applyFill="1" applyAlignment="1" applyProtection="1">
      <alignment horizontal="right" vertical="top"/>
      <protection hidden="1"/>
    </xf>
    <xf numFmtId="3" fontId="280" fillId="18" borderId="0" xfId="0" applyNumberFormat="1" applyFont="1" applyFill="1"/>
    <xf numFmtId="199" fontId="284" fillId="24" borderId="0" xfId="1" applyNumberFormat="1" applyFont="1" applyFill="1" applyBorder="1" applyAlignment="1" applyProtection="1">
      <alignment horizontal="center"/>
      <protection hidden="1"/>
    </xf>
    <xf numFmtId="171" fontId="0" fillId="0" borderId="0" xfId="10" applyNumberFormat="1" applyFont="1"/>
    <xf numFmtId="43" fontId="296" fillId="24" borderId="0" xfId="1" applyFont="1" applyFill="1" applyBorder="1" applyAlignment="1">
      <alignment horizontal="left"/>
    </xf>
    <xf numFmtId="43" fontId="297" fillId="24" borderId="0" xfId="1" applyFont="1" applyFill="1" applyBorder="1" applyAlignment="1">
      <alignment horizontal="left"/>
    </xf>
    <xf numFmtId="43" fontId="297" fillId="24" borderId="0" xfId="1" applyFont="1" applyFill="1" applyBorder="1" applyAlignment="1"/>
    <xf numFmtId="186" fontId="267" fillId="24" borderId="0" xfId="10" applyNumberFormat="1" applyFont="1" applyFill="1" applyBorder="1" applyAlignment="1" applyProtection="1">
      <protection hidden="1"/>
    </xf>
    <xf numFmtId="43" fontId="297" fillId="19" borderId="0" xfId="1" applyFont="1" applyFill="1" applyBorder="1" applyAlignment="1">
      <alignment horizontal="left"/>
    </xf>
    <xf numFmtId="22" fontId="99" fillId="19" borderId="0" xfId="0" applyNumberFormat="1" applyFont="1" applyFill="1" applyAlignment="1" applyProtection="1">
      <alignment horizontal="left"/>
      <protection hidden="1"/>
    </xf>
    <xf numFmtId="22" fontId="99" fillId="19" borderId="0" xfId="0" applyNumberFormat="1" applyFont="1" applyFill="1" applyAlignment="1">
      <alignment horizontal="left"/>
    </xf>
    <xf numFmtId="10" fontId="233" fillId="19" borderId="0" xfId="10" applyNumberFormat="1" applyFont="1" applyFill="1" applyBorder="1" applyAlignment="1" applyProtection="1">
      <alignment horizontal="right"/>
      <protection hidden="1"/>
    </xf>
    <xf numFmtId="186" fontId="217" fillId="19" borderId="0" xfId="10" applyNumberFormat="1" applyFont="1" applyFill="1" applyBorder="1" applyAlignment="1" applyProtection="1">
      <protection hidden="1"/>
    </xf>
    <xf numFmtId="1" fontId="267" fillId="19" borderId="0" xfId="0" applyNumberFormat="1" applyFont="1" applyFill="1" applyProtection="1">
      <protection hidden="1"/>
    </xf>
    <xf numFmtId="10" fontId="267" fillId="19" borderId="0" xfId="10" applyNumberFormat="1" applyFont="1" applyFill="1" applyBorder="1" applyAlignment="1" applyProtection="1">
      <protection hidden="1"/>
    </xf>
    <xf numFmtId="22" fontId="99" fillId="19" borderId="0" xfId="0" applyNumberFormat="1" applyFont="1" applyFill="1" applyAlignment="1">
      <alignment horizontal="left" vertical="center"/>
    </xf>
    <xf numFmtId="1" fontId="217" fillId="19" borderId="0" xfId="0" applyNumberFormat="1" applyFont="1" applyFill="1" applyProtection="1">
      <protection hidden="1"/>
    </xf>
    <xf numFmtId="10" fontId="217" fillId="19" borderId="0" xfId="10" applyNumberFormat="1" applyFont="1" applyFill="1" applyBorder="1" applyAlignment="1" applyProtection="1">
      <protection hidden="1"/>
    </xf>
    <xf numFmtId="196" fontId="267" fillId="24" borderId="0" xfId="12" applyNumberFormat="1" applyFont="1" applyFill="1" applyBorder="1" applyAlignment="1" applyProtection="1">
      <alignment vertical="center"/>
      <protection hidden="1"/>
    </xf>
    <xf numFmtId="196" fontId="217" fillId="24" borderId="0" xfId="12" applyNumberFormat="1" applyFont="1" applyFill="1" applyBorder="1" applyAlignment="1" applyProtection="1">
      <alignment vertical="center"/>
      <protection hidden="1"/>
    </xf>
    <xf numFmtId="43" fontId="298" fillId="19" borderId="0" xfId="1" applyFont="1" applyFill="1" applyBorder="1" applyAlignment="1"/>
    <xf numFmtId="0" fontId="231" fillId="19" borderId="0" xfId="0" applyFont="1" applyFill="1" applyAlignment="1" applyProtection="1">
      <alignment horizontal="center" vertical="center"/>
      <protection hidden="1"/>
    </xf>
    <xf numFmtId="171" fontId="231" fillId="19" borderId="0" xfId="10" applyNumberFormat="1" applyFont="1" applyFill="1" applyBorder="1" applyAlignment="1" applyProtection="1">
      <alignment horizontal="center"/>
      <protection hidden="1"/>
    </xf>
    <xf numFmtId="43" fontId="21" fillId="24" borderId="0" xfId="1" applyFont="1" applyFill="1" applyBorder="1" applyAlignment="1" applyProtection="1">
      <alignment horizontal="right"/>
      <protection hidden="1"/>
    </xf>
    <xf numFmtId="43" fontId="99" fillId="24" borderId="0" xfId="1" applyFont="1" applyFill="1" applyAlignment="1">
      <alignment horizontal="left"/>
    </xf>
    <xf numFmtId="43" fontId="297" fillId="24" borderId="0" xfId="1" applyFont="1" applyFill="1" applyBorder="1" applyAlignment="1">
      <alignment horizontal="center"/>
    </xf>
    <xf numFmtId="212" fontId="286" fillId="24" borderId="0" xfId="0" applyNumberFormat="1" applyFont="1" applyFill="1"/>
    <xf numFmtId="0" fontId="277" fillId="24" borderId="0" xfId="0" applyFont="1" applyFill="1" applyAlignment="1">
      <alignment horizontal="right" vertical="center"/>
    </xf>
    <xf numFmtId="213" fontId="299" fillId="24" borderId="0" xfId="0" applyNumberFormat="1" applyFont="1" applyFill="1"/>
    <xf numFmtId="43" fontId="296" fillId="24" borderId="0" xfId="1" applyFont="1" applyFill="1" applyBorder="1" applyAlignment="1">
      <alignment horizontal="right"/>
    </xf>
    <xf numFmtId="43" fontId="296" fillId="24" borderId="0" xfId="1" applyFont="1" applyFill="1" applyBorder="1" applyAlignment="1">
      <alignment horizontal="center"/>
    </xf>
    <xf numFmtId="9" fontId="300" fillId="24" borderId="0" xfId="10" applyFont="1" applyFill="1" applyAlignment="1">
      <alignment horizontal="center"/>
    </xf>
    <xf numFmtId="43" fontId="296" fillId="19" borderId="0" xfId="1" applyFont="1" applyFill="1" applyBorder="1" applyAlignment="1">
      <alignment horizontal="left"/>
    </xf>
    <xf numFmtId="10" fontId="267" fillId="19" borderId="0" xfId="10" applyNumberFormat="1" applyFont="1" applyFill="1" applyBorder="1" applyAlignment="1" applyProtection="1">
      <alignment vertical="center"/>
      <protection hidden="1"/>
    </xf>
    <xf numFmtId="213" fontId="299" fillId="19" borderId="0" xfId="0" applyNumberFormat="1" applyFont="1" applyFill="1"/>
    <xf numFmtId="9" fontId="300" fillId="19" borderId="0" xfId="10" applyFont="1" applyFill="1" applyAlignment="1">
      <alignment horizontal="center"/>
    </xf>
    <xf numFmtId="10" fontId="217" fillId="19" borderId="0" xfId="10" applyNumberFormat="1" applyFont="1" applyFill="1" applyBorder="1" applyAlignment="1" applyProtection="1">
      <alignment vertical="center"/>
      <protection hidden="1"/>
    </xf>
    <xf numFmtId="199" fontId="21" fillId="19" borderId="0" xfId="1" applyNumberFormat="1" applyFont="1" applyFill="1" applyBorder="1" applyAlignment="1" applyProtection="1">
      <alignment horizontal="right"/>
      <protection hidden="1"/>
    </xf>
    <xf numFmtId="171" fontId="260" fillId="24" borderId="0" xfId="10" applyNumberFormat="1" applyFont="1" applyFill="1" applyBorder="1" applyAlignment="1" applyProtection="1">
      <alignment horizontal="center"/>
      <protection hidden="1"/>
    </xf>
    <xf numFmtId="0" fontId="204" fillId="24" borderId="0" xfId="0" applyFont="1" applyFill="1" applyAlignment="1">
      <alignment horizontal="right" vertical="center"/>
    </xf>
    <xf numFmtId="191" fontId="259" fillId="19" borderId="0" xfId="10" applyNumberFormat="1" applyFont="1" applyFill="1" applyBorder="1" applyAlignment="1" applyProtection="1">
      <alignment horizontal="right"/>
      <protection hidden="1"/>
    </xf>
    <xf numFmtId="43" fontId="297" fillId="19" borderId="0" xfId="1" applyFont="1" applyFill="1" applyBorder="1" applyAlignment="1"/>
    <xf numFmtId="184" fontId="259" fillId="19" borderId="0" xfId="10" applyNumberFormat="1" applyFont="1" applyFill="1" applyBorder="1" applyAlignment="1" applyProtection="1">
      <alignment horizontal="center"/>
      <protection hidden="1"/>
    </xf>
    <xf numFmtId="185" fontId="217" fillId="24" borderId="0" xfId="1" applyNumberFormat="1" applyFont="1" applyFill="1" applyBorder="1" applyAlignment="1" applyProtection="1">
      <alignment horizontal="right"/>
      <protection hidden="1"/>
    </xf>
    <xf numFmtId="187" fontId="267" fillId="24" borderId="0" xfId="1" applyNumberFormat="1" applyFont="1" applyFill="1" applyBorder="1" applyAlignment="1" applyProtection="1">
      <alignment horizontal="right"/>
      <protection hidden="1"/>
    </xf>
    <xf numFmtId="43" fontId="104" fillId="19" borderId="0" xfId="1" applyFont="1" applyFill="1" applyBorder="1" applyAlignment="1">
      <alignment horizontal="left"/>
    </xf>
    <xf numFmtId="0" fontId="107" fillId="19" borderId="0" xfId="0" applyFont="1" applyFill="1"/>
    <xf numFmtId="4" fontId="116" fillId="19" borderId="0" xfId="1" applyNumberFormat="1" applyFont="1" applyFill="1" applyBorder="1" applyProtection="1">
      <protection hidden="1"/>
    </xf>
    <xf numFmtId="185" fontId="267" fillId="19" borderId="0" xfId="1" applyNumberFormat="1" applyFont="1" applyFill="1" applyBorder="1" applyAlignment="1" applyProtection="1">
      <alignment horizontal="right"/>
      <protection hidden="1"/>
    </xf>
    <xf numFmtId="44" fontId="104" fillId="19" borderId="0" xfId="12" applyFont="1" applyFill="1" applyBorder="1" applyAlignment="1"/>
    <xf numFmtId="181" fontId="126" fillId="19" borderId="0" xfId="1" applyNumberFormat="1" applyFont="1" applyFill="1" applyBorder="1" applyAlignment="1" applyProtection="1">
      <alignment horizontal="right"/>
      <protection hidden="1"/>
    </xf>
    <xf numFmtId="0" fontId="268" fillId="19" borderId="0" xfId="10" applyNumberFormat="1" applyFont="1" applyFill="1" applyBorder="1" applyAlignment="1" applyProtection="1">
      <alignment horizontal="center"/>
      <protection hidden="1"/>
    </xf>
    <xf numFmtId="43" fontId="205" fillId="24" borderId="0" xfId="1" quotePrefix="1" applyFont="1" applyFill="1" applyBorder="1" applyAlignment="1" applyProtection="1">
      <alignment vertical="center"/>
      <protection hidden="1"/>
    </xf>
    <xf numFmtId="9" fontId="0" fillId="0" borderId="4" xfId="10" applyFont="1" applyBorder="1"/>
    <xf numFmtId="0" fontId="263" fillId="24" borderId="0" xfId="4" applyFont="1" applyFill="1" applyBorder="1" applyAlignment="1">
      <alignment horizontal="left" vertical="center"/>
    </xf>
    <xf numFmtId="0" fontId="302" fillId="0" borderId="0" xfId="0" applyFont="1"/>
    <xf numFmtId="170" fontId="23" fillId="19" borderId="8" xfId="3" applyNumberFormat="1" applyFont="1" applyFill="1" applyBorder="1" applyAlignment="1" applyProtection="1">
      <alignment horizontal="right" vertical="center"/>
      <protection hidden="1"/>
    </xf>
    <xf numFmtId="170" fontId="261" fillId="8" borderId="97" xfId="3" applyNumberFormat="1" applyFont="1" applyFill="1" applyBorder="1" applyAlignment="1" applyProtection="1">
      <alignment horizontal="right"/>
      <protection hidden="1"/>
    </xf>
    <xf numFmtId="170" fontId="261" fillId="24" borderId="86" xfId="3" applyNumberFormat="1" applyFont="1" applyFill="1" applyBorder="1" applyAlignment="1" applyProtection="1">
      <alignment horizontal="right"/>
      <protection hidden="1"/>
    </xf>
    <xf numFmtId="170" fontId="261" fillId="24" borderId="87" xfId="3" applyNumberFormat="1" applyFont="1" applyFill="1" applyBorder="1" applyAlignment="1" applyProtection="1">
      <alignment horizontal="right"/>
      <protection hidden="1"/>
    </xf>
    <xf numFmtId="170" fontId="261" fillId="24" borderId="89" xfId="3" applyNumberFormat="1" applyFont="1" applyFill="1" applyBorder="1" applyAlignment="1" applyProtection="1">
      <alignment horizontal="right"/>
      <protection hidden="1"/>
    </xf>
    <xf numFmtId="171" fontId="261" fillId="19" borderId="0" xfId="10" applyNumberFormat="1" applyFont="1" applyFill="1" applyBorder="1" applyAlignment="1" applyProtection="1">
      <alignment horizontal="center" vertical="center"/>
      <protection hidden="1"/>
    </xf>
    <xf numFmtId="171" fontId="261" fillId="8" borderId="101" xfId="10" applyNumberFormat="1" applyFont="1" applyFill="1" applyBorder="1" applyAlignment="1" applyProtection="1">
      <alignment horizontal="center"/>
      <protection hidden="1"/>
    </xf>
    <xf numFmtId="171" fontId="261" fillId="24" borderId="86" xfId="10" applyNumberFormat="1" applyFont="1" applyFill="1" applyBorder="1" applyAlignment="1" applyProtection="1">
      <alignment horizontal="center"/>
      <protection hidden="1"/>
    </xf>
    <xf numFmtId="171" fontId="261" fillId="24" borderId="87" xfId="10" applyNumberFormat="1" applyFont="1" applyFill="1" applyBorder="1" applyAlignment="1" applyProtection="1">
      <alignment horizontal="center"/>
      <protection hidden="1"/>
    </xf>
    <xf numFmtId="171" fontId="261" fillId="24" borderId="89" xfId="10" applyNumberFormat="1" applyFont="1" applyFill="1" applyBorder="1" applyAlignment="1" applyProtection="1">
      <alignment horizontal="center"/>
      <protection hidden="1"/>
    </xf>
    <xf numFmtId="3" fontId="262" fillId="8" borderId="99" xfId="3" applyNumberFormat="1" applyFont="1" applyFill="1" applyBorder="1" applyAlignment="1" applyProtection="1">
      <alignment horizontal="center"/>
      <protection hidden="1"/>
    </xf>
    <xf numFmtId="171" fontId="262" fillId="8" borderId="101" xfId="10" applyNumberFormat="1" applyFont="1" applyFill="1" applyBorder="1" applyAlignment="1" applyProtection="1">
      <alignment horizontal="center"/>
      <protection hidden="1"/>
    </xf>
    <xf numFmtId="3" fontId="262" fillId="24" borderId="86" xfId="3" applyNumberFormat="1" applyFont="1" applyFill="1" applyBorder="1" applyAlignment="1" applyProtection="1">
      <alignment horizontal="center"/>
      <protection hidden="1"/>
    </xf>
    <xf numFmtId="171" fontId="262" fillId="24" borderId="86" xfId="10" applyNumberFormat="1" applyFont="1" applyFill="1" applyBorder="1" applyAlignment="1" applyProtection="1">
      <alignment horizontal="center"/>
      <protection hidden="1"/>
    </xf>
    <xf numFmtId="3" fontId="262" fillId="24" borderId="87" xfId="3" applyNumberFormat="1" applyFont="1" applyFill="1" applyBorder="1" applyAlignment="1" applyProtection="1">
      <alignment horizontal="center"/>
      <protection hidden="1"/>
    </xf>
    <xf numFmtId="171" fontId="262" fillId="24" borderId="87" xfId="10" applyNumberFormat="1" applyFont="1" applyFill="1" applyBorder="1" applyAlignment="1" applyProtection="1">
      <alignment horizontal="center"/>
      <protection hidden="1"/>
    </xf>
    <xf numFmtId="3" fontId="262" fillId="24" borderId="89" xfId="3" applyNumberFormat="1" applyFont="1" applyFill="1" applyBorder="1" applyAlignment="1" applyProtection="1">
      <alignment horizontal="center"/>
      <protection hidden="1"/>
    </xf>
    <xf numFmtId="171" fontId="262" fillId="24" borderId="89" xfId="10" applyNumberFormat="1" applyFont="1" applyFill="1" applyBorder="1" applyAlignment="1" applyProtection="1">
      <alignment horizontal="center"/>
      <protection hidden="1"/>
    </xf>
    <xf numFmtId="170" fontId="262" fillId="24" borderId="0" xfId="3" applyNumberFormat="1" applyFont="1" applyFill="1" applyAlignment="1" applyProtection="1">
      <alignment horizontal="center"/>
      <protection hidden="1"/>
    </xf>
    <xf numFmtId="170" fontId="262" fillId="8" borderId="100" xfId="3" applyNumberFormat="1" applyFont="1" applyFill="1" applyBorder="1" applyAlignment="1" applyProtection="1">
      <alignment horizontal="center"/>
      <protection hidden="1"/>
    </xf>
    <xf numFmtId="170" fontId="262" fillId="24" borderId="86" xfId="3" applyNumberFormat="1" applyFont="1" applyFill="1" applyBorder="1" applyAlignment="1" applyProtection="1">
      <alignment horizontal="center"/>
      <protection hidden="1"/>
    </xf>
    <xf numFmtId="170" fontId="262" fillId="24" borderId="87" xfId="3" applyNumberFormat="1" applyFont="1" applyFill="1" applyBorder="1" applyAlignment="1" applyProtection="1">
      <alignment horizontal="center"/>
      <protection hidden="1"/>
    </xf>
    <xf numFmtId="170" fontId="262" fillId="24" borderId="89" xfId="3" applyNumberFormat="1" applyFont="1" applyFill="1" applyBorder="1" applyAlignment="1" applyProtection="1">
      <alignment horizontal="center"/>
      <protection hidden="1"/>
    </xf>
    <xf numFmtId="205" fontId="262" fillId="8" borderId="97" xfId="3" applyNumberFormat="1" applyFont="1" applyFill="1" applyBorder="1" applyAlignment="1" applyProtection="1">
      <alignment horizontal="center"/>
      <protection hidden="1"/>
    </xf>
    <xf numFmtId="205" fontId="262" fillId="8" borderId="98" xfId="3" applyNumberFormat="1" applyFont="1" applyFill="1" applyBorder="1" applyAlignment="1" applyProtection="1">
      <alignment horizontal="center"/>
      <protection hidden="1"/>
    </xf>
    <xf numFmtId="205" fontId="262" fillId="24" borderId="86" xfId="3" applyNumberFormat="1" applyFont="1" applyFill="1" applyBorder="1" applyAlignment="1" applyProtection="1">
      <alignment horizontal="center"/>
      <protection hidden="1"/>
    </xf>
    <xf numFmtId="205" fontId="262" fillId="24" borderId="87" xfId="3" applyNumberFormat="1" applyFont="1" applyFill="1" applyBorder="1" applyAlignment="1" applyProtection="1">
      <alignment horizontal="center"/>
      <protection hidden="1"/>
    </xf>
    <xf numFmtId="205" fontId="262" fillId="24" borderId="89" xfId="3" applyNumberFormat="1" applyFont="1" applyFill="1" applyBorder="1" applyAlignment="1" applyProtection="1">
      <alignment horizontal="center"/>
      <protection hidden="1"/>
    </xf>
    <xf numFmtId="205" fontId="282" fillId="19" borderId="8" xfId="3" applyNumberFormat="1" applyFont="1" applyFill="1" applyBorder="1" applyAlignment="1" applyProtection="1">
      <alignment horizontal="center" vertical="center"/>
      <protection hidden="1"/>
    </xf>
    <xf numFmtId="3" fontId="303" fillId="19" borderId="0" xfId="3" applyNumberFormat="1" applyFont="1" applyFill="1" applyAlignment="1" applyProtection="1">
      <alignment horizontal="center" vertical="center"/>
      <protection hidden="1"/>
    </xf>
    <xf numFmtId="171" fontId="303" fillId="19" borderId="0" xfId="10" applyNumberFormat="1" applyFont="1" applyFill="1" applyBorder="1" applyAlignment="1" applyProtection="1">
      <alignment horizontal="center" vertical="center"/>
      <protection hidden="1"/>
    </xf>
    <xf numFmtId="172" fontId="262" fillId="24" borderId="86" xfId="2" applyNumberFormat="1" applyFont="1" applyFill="1" applyBorder="1" applyAlignment="1" applyProtection="1">
      <alignment horizontal="center"/>
      <protection hidden="1"/>
    </xf>
    <xf numFmtId="172" fontId="262" fillId="24" borderId="87" xfId="2" applyNumberFormat="1" applyFont="1" applyFill="1" applyBorder="1" applyAlignment="1" applyProtection="1">
      <alignment horizontal="center"/>
      <protection hidden="1"/>
    </xf>
    <xf numFmtId="172" fontId="262" fillId="24" borderId="89" xfId="2" applyNumberFormat="1" applyFont="1" applyFill="1" applyBorder="1" applyAlignment="1" applyProtection="1">
      <alignment horizontal="center"/>
      <protection hidden="1"/>
    </xf>
    <xf numFmtId="0" fontId="114" fillId="18" borderId="0" xfId="0" applyFont="1" applyFill="1" applyAlignment="1" applyProtection="1">
      <alignment vertical="center"/>
      <protection hidden="1"/>
    </xf>
    <xf numFmtId="211" fontId="21" fillId="24" borderId="0" xfId="0" applyNumberFormat="1" applyFont="1" applyFill="1" applyAlignment="1" applyProtection="1">
      <alignment horizontal="right"/>
      <protection hidden="1"/>
    </xf>
    <xf numFmtId="186" fontId="21" fillId="19" borderId="0" xfId="10" applyNumberFormat="1" applyFont="1" applyFill="1" applyBorder="1" applyAlignment="1" applyProtection="1">
      <alignment horizontal="right"/>
      <protection hidden="1"/>
    </xf>
    <xf numFmtId="43" fontId="297" fillId="19" borderId="0" xfId="1" applyFont="1" applyFill="1" applyBorder="1" applyAlignment="1">
      <alignment horizontal="center"/>
    </xf>
    <xf numFmtId="0" fontId="277" fillId="19" borderId="0" xfId="0" applyFont="1" applyFill="1" applyAlignment="1">
      <alignment vertical="center"/>
    </xf>
    <xf numFmtId="186" fontId="21" fillId="19" borderId="0" xfId="10" applyNumberFormat="1" applyFont="1" applyFill="1" applyBorder="1" applyAlignment="1" applyProtection="1">
      <protection hidden="1"/>
    </xf>
    <xf numFmtId="211" fontId="21" fillId="24" borderId="0" xfId="0" applyNumberFormat="1" applyFont="1" applyFill="1" applyAlignment="1" applyProtection="1">
      <alignment horizontal="center"/>
      <protection hidden="1"/>
    </xf>
    <xf numFmtId="10" fontId="21" fillId="24" borderId="0" xfId="10" applyNumberFormat="1" applyFont="1" applyFill="1" applyAlignment="1" applyProtection="1">
      <alignment horizontal="center"/>
      <protection hidden="1"/>
    </xf>
    <xf numFmtId="10" fontId="137" fillId="24" borderId="0" xfId="10" applyNumberFormat="1" applyFont="1" applyFill="1" applyAlignment="1" applyProtection="1">
      <alignment horizontal="center"/>
      <protection hidden="1"/>
    </xf>
    <xf numFmtId="10" fontId="267" fillId="24" borderId="0" xfId="10" applyNumberFormat="1" applyFont="1" applyFill="1" applyAlignment="1" applyProtection="1">
      <alignment horizontal="center"/>
      <protection hidden="1"/>
    </xf>
    <xf numFmtId="0" fontId="0" fillId="0" borderId="0" xfId="0" pivotButton="1"/>
    <xf numFmtId="3" fontId="278" fillId="24" borderId="0" xfId="0" applyNumberFormat="1" applyFont="1" applyFill="1" applyAlignment="1" applyProtection="1">
      <alignment vertical="center" wrapText="1"/>
      <protection hidden="1"/>
    </xf>
    <xf numFmtId="0" fontId="304" fillId="18" borderId="0" xfId="0" applyFont="1" applyFill="1" applyAlignment="1" applyProtection="1">
      <alignment horizontal="left"/>
      <protection hidden="1"/>
    </xf>
    <xf numFmtId="0" fontId="286" fillId="18" borderId="0" xfId="0" applyFont="1" applyFill="1"/>
    <xf numFmtId="0" fontId="286" fillId="18" borderId="0" xfId="0" applyFont="1" applyFill="1" applyAlignment="1">
      <alignment horizontal="center"/>
    </xf>
    <xf numFmtId="10" fontId="305" fillId="18" borderId="0" xfId="2" applyNumberFormat="1" applyFont="1" applyFill="1" applyProtection="1">
      <protection hidden="1"/>
    </xf>
    <xf numFmtId="0" fontId="306" fillId="18" borderId="0" xfId="2" applyFont="1" applyFill="1" applyProtection="1">
      <protection hidden="1"/>
    </xf>
    <xf numFmtId="0" fontId="305" fillId="18" borderId="0" xfId="2" applyFont="1" applyFill="1" applyProtection="1">
      <protection hidden="1"/>
    </xf>
    <xf numFmtId="164" fontId="306" fillId="18" borderId="0" xfId="2" applyNumberFormat="1" applyFont="1" applyFill="1" applyAlignment="1" applyProtection="1">
      <alignment vertical="top"/>
      <protection hidden="1"/>
    </xf>
    <xf numFmtId="43" fontId="206" fillId="24" borderId="0" xfId="1" applyFont="1" applyFill="1" applyBorder="1" applyAlignment="1">
      <alignment horizontal="center" vertical="center"/>
    </xf>
    <xf numFmtId="43" fontId="104" fillId="24" borderId="0" xfId="1" applyFont="1" applyFill="1" applyBorder="1" applyAlignment="1">
      <alignment horizontal="center" vertical="center"/>
    </xf>
    <xf numFmtId="0" fontId="307" fillId="18" borderId="0" xfId="2" applyFont="1" applyFill="1" applyAlignment="1">
      <alignment vertical="center" textRotation="90"/>
    </xf>
    <xf numFmtId="166" fontId="296" fillId="24" borderId="0" xfId="5" applyNumberFormat="1" applyFont="1" applyFill="1" applyAlignment="1">
      <alignment horizontal="left" vertical="top"/>
    </xf>
    <xf numFmtId="196" fontId="296" fillId="24" borderId="0" xfId="1" applyNumberFormat="1" applyFont="1" applyFill="1" applyBorder="1" applyAlignment="1" applyProtection="1">
      <alignment horizontal="left" vertical="center"/>
      <protection hidden="1"/>
    </xf>
    <xf numFmtId="196" fontId="296" fillId="24" borderId="0" xfId="1" applyNumberFormat="1" applyFont="1" applyFill="1" applyBorder="1" applyAlignment="1" applyProtection="1">
      <alignment vertical="center"/>
      <protection hidden="1"/>
    </xf>
    <xf numFmtId="14" fontId="75" fillId="18" borderId="0" xfId="0" applyNumberFormat="1" applyFont="1" applyFill="1" applyAlignment="1">
      <alignment horizontal="left" vertical="center"/>
    </xf>
    <xf numFmtId="0" fontId="81" fillId="18" borderId="0" xfId="0" applyFont="1" applyFill="1"/>
    <xf numFmtId="0" fontId="4" fillId="18" borderId="0" xfId="2" applyFont="1" applyFill="1" applyAlignment="1" applyProtection="1">
      <alignment horizontal="center"/>
      <protection hidden="1"/>
    </xf>
    <xf numFmtId="0" fontId="4" fillId="18" borderId="0" xfId="2" applyFont="1" applyFill="1" applyProtection="1">
      <protection hidden="1"/>
    </xf>
    <xf numFmtId="196" fontId="4" fillId="18" borderId="0" xfId="2" applyNumberFormat="1" applyFont="1" applyFill="1" applyProtection="1">
      <protection hidden="1"/>
    </xf>
    <xf numFmtId="43" fontId="308" fillId="19" borderId="0" xfId="1" applyFont="1" applyFill="1" applyBorder="1" applyAlignment="1" applyProtection="1">
      <alignment horizontal="left"/>
      <protection hidden="1"/>
    </xf>
    <xf numFmtId="43" fontId="308" fillId="24" borderId="0" xfId="1" applyFont="1" applyFill="1" applyBorder="1" applyAlignment="1" applyProtection="1">
      <alignment horizontal="left"/>
      <protection hidden="1"/>
    </xf>
    <xf numFmtId="43" fontId="309" fillId="19" borderId="0" xfId="1" applyFont="1" applyFill="1" applyBorder="1" applyAlignment="1" applyProtection="1">
      <alignment horizontal="left"/>
      <protection hidden="1"/>
    </xf>
    <xf numFmtId="43" fontId="309" fillId="24" borderId="0" xfId="1" applyFont="1" applyFill="1" applyBorder="1" applyAlignment="1" applyProtection="1">
      <alignment horizontal="left"/>
      <protection hidden="1"/>
    </xf>
    <xf numFmtId="43" fontId="310" fillId="24" borderId="0" xfId="1" applyFont="1" applyFill="1" applyAlignment="1">
      <alignment horizontal="left"/>
    </xf>
    <xf numFmtId="0" fontId="293" fillId="18" borderId="0" xfId="0" applyFont="1" applyFill="1" applyProtection="1">
      <protection hidden="1"/>
    </xf>
    <xf numFmtId="10" fontId="0" fillId="0" borderId="0" xfId="10" applyNumberFormat="1" applyFont="1"/>
    <xf numFmtId="0" fontId="80" fillId="18" borderId="0" xfId="0" applyFont="1" applyFill="1"/>
    <xf numFmtId="22" fontId="94" fillId="18" borderId="0" xfId="11" applyNumberFormat="1" applyFont="1" applyFill="1" applyBorder="1" applyAlignment="1">
      <alignment horizontal="right"/>
    </xf>
    <xf numFmtId="0" fontId="312" fillId="18" borderId="0" xfId="0" applyFont="1" applyFill="1"/>
    <xf numFmtId="201" fontId="0" fillId="19" borderId="0" xfId="0" applyNumberFormat="1" applyFill="1"/>
    <xf numFmtId="201" fontId="233" fillId="24" borderId="0" xfId="10" applyNumberFormat="1" applyFont="1" applyFill="1" applyBorder="1" applyAlignment="1" applyProtection="1">
      <alignment horizontal="right"/>
      <protection hidden="1"/>
    </xf>
    <xf numFmtId="201" fontId="233" fillId="19" borderId="0" xfId="10" applyNumberFormat="1" applyFont="1" applyFill="1" applyBorder="1" applyAlignment="1" applyProtection="1">
      <alignment horizontal="right"/>
      <protection hidden="1"/>
    </xf>
    <xf numFmtId="201" fontId="217" fillId="24" borderId="0" xfId="12" applyNumberFormat="1" applyFont="1" applyFill="1" applyBorder="1" applyAlignment="1" applyProtection="1">
      <alignment vertical="center"/>
      <protection hidden="1"/>
    </xf>
    <xf numFmtId="201" fontId="91" fillId="19" borderId="0" xfId="0" applyNumberFormat="1" applyFont="1" applyFill="1" applyAlignment="1">
      <alignment vertical="center"/>
    </xf>
    <xf numFmtId="214" fontId="0" fillId="18" borderId="0" xfId="0" applyNumberFormat="1" applyFill="1"/>
    <xf numFmtId="183" fontId="258" fillId="18" borderId="0" xfId="12" applyNumberFormat="1" applyFont="1" applyFill="1" applyBorder="1" applyAlignment="1" applyProtection="1">
      <protection hidden="1"/>
    </xf>
    <xf numFmtId="10" fontId="267" fillId="24" borderId="0" xfId="10" applyNumberFormat="1" applyFont="1" applyFill="1" applyBorder="1" applyAlignment="1" applyProtection="1">
      <protection hidden="1"/>
    </xf>
    <xf numFmtId="204" fontId="21" fillId="24" borderId="80" xfId="12" applyNumberFormat="1" applyFont="1" applyFill="1" applyBorder="1" applyAlignment="1" applyProtection="1">
      <protection hidden="1"/>
    </xf>
    <xf numFmtId="215" fontId="266" fillId="18" borderId="0" xfId="12" applyNumberFormat="1" applyFont="1" applyFill="1" applyBorder="1" applyAlignment="1" applyProtection="1">
      <protection hidden="1"/>
    </xf>
    <xf numFmtId="215" fontId="265" fillId="18" borderId="0" xfId="12" applyNumberFormat="1" applyFont="1" applyFill="1" applyBorder="1" applyAlignment="1" applyProtection="1">
      <protection hidden="1"/>
    </xf>
    <xf numFmtId="215" fontId="258" fillId="18" borderId="0" xfId="12" applyNumberFormat="1" applyFont="1" applyFill="1" applyBorder="1" applyAlignment="1" applyProtection="1">
      <protection hidden="1"/>
    </xf>
    <xf numFmtId="216" fontId="259" fillId="19" borderId="0" xfId="0" applyNumberFormat="1" applyFont="1" applyFill="1" applyAlignment="1" applyProtection="1">
      <alignment horizontal="center"/>
      <protection hidden="1"/>
    </xf>
    <xf numFmtId="216" fontId="259" fillId="24" borderId="0" xfId="0" applyNumberFormat="1" applyFont="1" applyFill="1" applyAlignment="1" applyProtection="1">
      <alignment horizontal="center"/>
      <protection hidden="1"/>
    </xf>
    <xf numFmtId="216" fontId="179" fillId="24" borderId="0" xfId="0" applyNumberFormat="1" applyFont="1" applyFill="1" applyAlignment="1" applyProtection="1">
      <alignment horizontal="center"/>
      <protection hidden="1"/>
    </xf>
    <xf numFmtId="216" fontId="179" fillId="19" borderId="0" xfId="0" applyNumberFormat="1" applyFont="1" applyFill="1" applyAlignment="1" applyProtection="1">
      <alignment horizontal="center"/>
      <protection hidden="1"/>
    </xf>
    <xf numFmtId="216" fontId="259" fillId="24" borderId="0" xfId="1" applyNumberFormat="1" applyFont="1" applyFill="1" applyBorder="1" applyAlignment="1" applyProtection="1">
      <alignment horizontal="center"/>
      <protection hidden="1"/>
    </xf>
    <xf numFmtId="216" fontId="0" fillId="11" borderId="0" xfId="0" applyNumberFormat="1" applyFill="1"/>
    <xf numFmtId="216" fontId="267" fillId="19" borderId="0" xfId="1" applyNumberFormat="1" applyFont="1" applyFill="1" applyBorder="1" applyAlignment="1" applyProtection="1">
      <alignment horizontal="right"/>
      <protection hidden="1"/>
    </xf>
    <xf numFmtId="216" fontId="267" fillId="19" borderId="0" xfId="1" applyNumberFormat="1" applyFont="1" applyFill="1" applyAlignment="1">
      <alignment horizontal="left"/>
    </xf>
    <xf numFmtId="216" fontId="0" fillId="24" borderId="0" xfId="0" applyNumberFormat="1" applyFill="1"/>
    <xf numFmtId="216" fontId="267" fillId="24" borderId="0" xfId="12" applyNumberFormat="1" applyFont="1" applyFill="1" applyBorder="1" applyAlignment="1" applyProtection="1">
      <protection hidden="1"/>
    </xf>
    <xf numFmtId="216" fontId="99" fillId="24" borderId="0" xfId="0" applyNumberFormat="1" applyFont="1" applyFill="1" applyAlignment="1">
      <alignment horizontal="left" vertical="center"/>
    </xf>
    <xf numFmtId="216" fontId="267" fillId="24" borderId="0" xfId="12" applyNumberFormat="1" applyFont="1" applyFill="1" applyBorder="1" applyAlignment="1" applyProtection="1">
      <alignment vertical="center"/>
      <protection hidden="1"/>
    </xf>
    <xf numFmtId="216" fontId="217" fillId="19" borderId="0" xfId="12" applyNumberFormat="1" applyFont="1" applyFill="1" applyBorder="1" applyAlignment="1" applyProtection="1">
      <protection hidden="1"/>
    </xf>
    <xf numFmtId="216" fontId="99" fillId="19" borderId="0" xfId="0" applyNumberFormat="1" applyFont="1" applyFill="1" applyAlignment="1">
      <alignment horizontal="left"/>
    </xf>
    <xf numFmtId="216" fontId="217" fillId="19" borderId="0" xfId="12" applyNumberFormat="1" applyFont="1" applyFill="1" applyBorder="1" applyAlignment="1" applyProtection="1">
      <alignment vertical="center"/>
      <protection hidden="1"/>
    </xf>
    <xf numFmtId="216" fontId="285" fillId="24" borderId="0" xfId="0" applyNumberFormat="1" applyFont="1" applyFill="1"/>
    <xf numFmtId="216" fontId="168" fillId="6" borderId="0" xfId="2" applyNumberFormat="1" applyFont="1" applyFill="1" applyAlignment="1" applyProtection="1">
      <alignment horizontal="right"/>
      <protection hidden="1"/>
    </xf>
    <xf numFmtId="216" fontId="201" fillId="24" borderId="86" xfId="3" applyNumberFormat="1" applyFont="1" applyFill="1" applyBorder="1" applyProtection="1">
      <protection hidden="1"/>
    </xf>
    <xf numFmtId="216" fontId="201" fillId="24" borderId="87" xfId="3" applyNumberFormat="1" applyFont="1" applyFill="1" applyBorder="1" applyProtection="1">
      <protection hidden="1"/>
    </xf>
    <xf numFmtId="216" fontId="201" fillId="9" borderId="84" xfId="3" applyNumberFormat="1" applyFont="1" applyFill="1" applyBorder="1" applyProtection="1">
      <protection hidden="1"/>
    </xf>
    <xf numFmtId="216" fontId="193" fillId="15" borderId="26" xfId="3" applyNumberFormat="1" applyFont="1" applyFill="1" applyBorder="1" applyProtection="1">
      <protection hidden="1"/>
    </xf>
    <xf numFmtId="216" fontId="259" fillId="24" borderId="86" xfId="1" applyNumberFormat="1" applyFont="1" applyFill="1" applyBorder="1" applyAlignment="1" applyProtection="1">
      <alignment horizontal="right"/>
      <protection hidden="1"/>
    </xf>
    <xf numFmtId="216" fontId="259" fillId="24" borderId="87" xfId="1" applyNumberFormat="1" applyFont="1" applyFill="1" applyBorder="1" applyAlignment="1" applyProtection="1">
      <alignment horizontal="right"/>
      <protection hidden="1"/>
    </xf>
    <xf numFmtId="216" fontId="179" fillId="9" borderId="85" xfId="5" applyNumberFormat="1" applyFont="1" applyFill="1" applyBorder="1" applyAlignment="1" applyProtection="1">
      <alignment horizontal="center"/>
      <protection hidden="1"/>
    </xf>
    <xf numFmtId="216" fontId="224" fillId="15" borderId="26" xfId="5" applyNumberFormat="1" applyFont="1" applyFill="1" applyBorder="1" applyAlignment="1" applyProtection="1">
      <alignment horizontal="center"/>
      <protection hidden="1"/>
    </xf>
    <xf numFmtId="216" fontId="201" fillId="24" borderId="117" xfId="3" applyNumberFormat="1" applyFont="1" applyFill="1" applyBorder="1" applyProtection="1">
      <protection hidden="1"/>
    </xf>
    <xf numFmtId="216" fontId="201" fillId="24" borderId="118" xfId="3" applyNumberFormat="1" applyFont="1" applyFill="1" applyBorder="1" applyProtection="1">
      <protection hidden="1"/>
    </xf>
    <xf numFmtId="216" fontId="261" fillId="24" borderId="117" xfId="1" applyNumberFormat="1" applyFont="1" applyFill="1" applyBorder="1" applyAlignment="1" applyProtection="1">
      <alignment horizontal="right"/>
      <protection hidden="1"/>
    </xf>
    <xf numFmtId="216" fontId="261" fillId="24" borderId="118" xfId="1" applyNumberFormat="1" applyFont="1" applyFill="1" applyBorder="1" applyAlignment="1" applyProtection="1">
      <alignment horizontal="right"/>
      <protection hidden="1"/>
    </xf>
    <xf numFmtId="216" fontId="178" fillId="9" borderId="115" xfId="5" applyNumberFormat="1" applyFont="1" applyFill="1" applyBorder="1" applyAlignment="1" applyProtection="1">
      <alignment horizontal="center"/>
      <protection hidden="1"/>
    </xf>
    <xf numFmtId="216" fontId="225" fillId="15" borderId="54" xfId="5" applyNumberFormat="1" applyFont="1" applyFill="1" applyBorder="1" applyAlignment="1" applyProtection="1">
      <alignment horizontal="center"/>
      <protection hidden="1"/>
    </xf>
    <xf numFmtId="216" fontId="259" fillId="24" borderId="0" xfId="2" applyNumberFormat="1" applyFont="1" applyFill="1" applyAlignment="1" applyProtection="1">
      <alignment vertical="center" wrapText="1"/>
      <protection hidden="1"/>
    </xf>
    <xf numFmtId="216" fontId="260" fillId="24" borderId="0" xfId="1" applyNumberFormat="1" applyFont="1" applyFill="1" applyBorder="1" applyAlignment="1" applyProtection="1">
      <alignment vertical="center"/>
      <protection hidden="1"/>
    </xf>
    <xf numFmtId="216" fontId="272" fillId="24" borderId="0" xfId="2" applyNumberFormat="1" applyFont="1" applyFill="1" applyAlignment="1" applyProtection="1">
      <alignment vertical="center" wrapText="1"/>
      <protection hidden="1"/>
    </xf>
    <xf numFmtId="216" fontId="268" fillId="24" borderId="0" xfId="2" applyNumberFormat="1" applyFont="1" applyFill="1" applyAlignment="1" applyProtection="1">
      <alignment vertical="center" wrapText="1"/>
      <protection hidden="1"/>
    </xf>
    <xf numFmtId="216" fontId="220" fillId="23" borderId="83" xfId="6" applyNumberFormat="1" applyFont="1" applyFill="1" applyBorder="1" applyAlignment="1">
      <alignment horizontal="center" vertical="center"/>
    </xf>
    <xf numFmtId="216" fontId="220" fillId="23" borderId="83" xfId="2" applyNumberFormat="1" applyFont="1" applyFill="1" applyBorder="1" applyAlignment="1">
      <alignment horizontal="center" vertical="center"/>
    </xf>
    <xf numFmtId="216" fontId="220" fillId="24" borderId="125" xfId="3" applyNumberFormat="1" applyFont="1" applyFill="1" applyBorder="1" applyAlignment="1" applyProtection="1">
      <alignment horizontal="center" vertical="center"/>
      <protection hidden="1"/>
    </xf>
    <xf numFmtId="216" fontId="220" fillId="24" borderId="126" xfId="3" applyNumberFormat="1" applyFont="1" applyFill="1" applyBorder="1" applyAlignment="1" applyProtection="1">
      <alignment horizontal="center" vertical="center"/>
      <protection hidden="1"/>
    </xf>
    <xf numFmtId="216" fontId="220" fillId="24" borderId="127" xfId="3" applyNumberFormat="1" applyFont="1" applyFill="1" applyBorder="1" applyAlignment="1" applyProtection="1">
      <alignment horizontal="center" vertical="center"/>
      <protection hidden="1"/>
    </xf>
    <xf numFmtId="216" fontId="262" fillId="24" borderId="0" xfId="1" applyNumberFormat="1" applyFont="1" applyFill="1" applyBorder="1" applyAlignment="1" applyProtection="1">
      <alignment vertical="center"/>
      <protection hidden="1"/>
    </xf>
    <xf numFmtId="216" fontId="259" fillId="24" borderId="0" xfId="1" applyNumberFormat="1" applyFont="1" applyFill="1" applyBorder="1" applyAlignment="1" applyProtection="1">
      <alignment vertical="center"/>
      <protection hidden="1"/>
    </xf>
    <xf numFmtId="216" fontId="261" fillId="24" borderId="0" xfId="2" applyNumberFormat="1" applyFont="1" applyFill="1" applyAlignment="1">
      <alignment vertical="center"/>
    </xf>
    <xf numFmtId="216" fontId="259" fillId="24" borderId="0" xfId="1" applyNumberFormat="1" applyFont="1" applyFill="1" applyBorder="1" applyAlignment="1">
      <alignment horizontal="center" vertical="center"/>
    </xf>
    <xf numFmtId="216" fontId="288" fillId="24" borderId="0" xfId="1" applyNumberFormat="1" applyFont="1" applyFill="1" applyBorder="1" applyAlignment="1">
      <alignment horizontal="center" vertical="center"/>
    </xf>
    <xf numFmtId="216" fontId="260" fillId="24" borderId="0" xfId="1" applyNumberFormat="1" applyFont="1" applyFill="1" applyBorder="1" applyAlignment="1">
      <alignment horizontal="center" vertical="center"/>
    </xf>
    <xf numFmtId="216" fontId="21" fillId="23" borderId="83" xfId="1" applyNumberFormat="1" applyFont="1" applyFill="1" applyBorder="1" applyAlignment="1" applyProtection="1">
      <alignment horizontal="center"/>
    </xf>
    <xf numFmtId="216" fontId="138" fillId="12" borderId="82" xfId="1" applyNumberFormat="1" applyFont="1" applyFill="1" applyBorder="1" applyAlignment="1">
      <alignment horizontal="center"/>
    </xf>
    <xf numFmtId="216" fontId="230" fillId="13" borderId="26" xfId="1" applyNumberFormat="1" applyFont="1" applyFill="1" applyBorder="1" applyAlignment="1">
      <alignment horizontal="center"/>
    </xf>
    <xf numFmtId="216" fontId="206" fillId="24" borderId="0" xfId="12" applyNumberFormat="1" applyFont="1" applyFill="1" applyBorder="1" applyAlignment="1" applyProtection="1">
      <alignment horizontal="right" vertical="center"/>
      <protection hidden="1"/>
    </xf>
    <xf numFmtId="216" fontId="238" fillId="24" borderId="0" xfId="12" applyNumberFormat="1" applyFont="1" applyFill="1" applyBorder="1" applyAlignment="1" applyProtection="1">
      <alignment horizontal="right" vertical="center"/>
      <protection hidden="1"/>
    </xf>
    <xf numFmtId="216" fontId="179" fillId="24" borderId="0" xfId="10" applyNumberFormat="1" applyFont="1" applyFill="1" applyBorder="1" applyAlignment="1" applyProtection="1">
      <alignment horizontal="center"/>
      <protection hidden="1"/>
    </xf>
    <xf numFmtId="216" fontId="179" fillId="24" borderId="0" xfId="0" applyNumberFormat="1" applyFont="1" applyFill="1" applyProtection="1">
      <protection hidden="1"/>
    </xf>
    <xf numFmtId="216" fontId="252" fillId="23" borderId="70" xfId="1" applyNumberFormat="1" applyFont="1" applyFill="1" applyBorder="1" applyAlignment="1" applyProtection="1">
      <alignment horizontal="left" vertical="top"/>
      <protection hidden="1"/>
    </xf>
    <xf numFmtId="9" fontId="283" fillId="23" borderId="79" xfId="10" applyFont="1" applyFill="1" applyBorder="1" applyAlignment="1">
      <alignment horizontal="center" vertical="center"/>
    </xf>
    <xf numFmtId="9" fontId="0" fillId="7" borderId="0" xfId="0" applyNumberFormat="1" applyFill="1"/>
    <xf numFmtId="0" fontId="314" fillId="23" borderId="79" xfId="0" applyFont="1" applyFill="1" applyBorder="1" applyAlignment="1">
      <alignment horizontal="center" vertical="center"/>
    </xf>
    <xf numFmtId="0" fontId="107" fillId="24" borderId="0" xfId="0" applyFont="1" applyFill="1" applyAlignment="1">
      <alignment vertical="center"/>
    </xf>
    <xf numFmtId="0" fontId="315" fillId="24" borderId="0" xfId="0" applyFont="1" applyFill="1"/>
    <xf numFmtId="191" fontId="261" fillId="24" borderId="0" xfId="10" applyNumberFormat="1" applyFont="1" applyFill="1" applyBorder="1" applyAlignment="1" applyProtection="1">
      <alignment horizontal="right"/>
      <protection hidden="1"/>
    </xf>
    <xf numFmtId="217" fontId="0" fillId="0" borderId="0" xfId="1" applyNumberFormat="1" applyFont="1"/>
    <xf numFmtId="0" fontId="317" fillId="0" borderId="0" xfId="0" applyFont="1" applyAlignment="1">
      <alignment vertical="center"/>
    </xf>
    <xf numFmtId="0" fontId="316" fillId="0" borderId="0" xfId="0" quotePrefix="1" applyFont="1"/>
    <xf numFmtId="0" fontId="316" fillId="0" borderId="0" xfId="0" applyFont="1" applyAlignment="1">
      <alignment vertical="top"/>
    </xf>
    <xf numFmtId="0" fontId="318" fillId="0" borderId="0" xfId="0" applyFont="1"/>
    <xf numFmtId="0" fontId="319" fillId="0" borderId="0" xfId="0" applyFont="1" applyAlignment="1">
      <alignment vertical="center"/>
    </xf>
    <xf numFmtId="0" fontId="0" fillId="0" borderId="0" xfId="0" applyAlignment="1">
      <alignment horizontal="left" vertical="center" indent="1"/>
    </xf>
    <xf numFmtId="0" fontId="320" fillId="0" borderId="0" xfId="0" applyFont="1" applyAlignment="1">
      <alignment horizontal="left" vertical="center" indent="1"/>
    </xf>
    <xf numFmtId="0" fontId="321" fillId="0" borderId="0" xfId="0" applyFont="1" applyAlignment="1">
      <alignment vertical="center"/>
    </xf>
    <xf numFmtId="0" fontId="322" fillId="0" borderId="0" xfId="0" applyFont="1" applyAlignment="1">
      <alignment vertical="center"/>
    </xf>
    <xf numFmtId="9" fontId="211" fillId="23" borderId="41" xfId="10" applyFont="1" applyFill="1" applyBorder="1" applyAlignment="1" applyProtection="1">
      <alignment horizontal="center" vertical="center"/>
    </xf>
    <xf numFmtId="14" fontId="210" fillId="23" borderId="32" xfId="2" applyNumberFormat="1" applyFont="1" applyFill="1" applyBorder="1" applyAlignment="1">
      <alignment horizontal="center" vertical="center"/>
    </xf>
    <xf numFmtId="3" fontId="273" fillId="23" borderId="83" xfId="7" applyNumberFormat="1" applyFont="1" applyFill="1" applyBorder="1" applyAlignment="1">
      <alignment horizontal="left"/>
    </xf>
    <xf numFmtId="43" fontId="260" fillId="24" borderId="86" xfId="1" applyFont="1" applyFill="1" applyBorder="1" applyAlignment="1" applyProtection="1">
      <alignment horizontal="left"/>
      <protection hidden="1"/>
    </xf>
    <xf numFmtId="43" fontId="260" fillId="24" borderId="87" xfId="1" applyFont="1" applyFill="1" applyBorder="1" applyAlignment="1" applyProtection="1">
      <alignment horizontal="left"/>
      <protection hidden="1"/>
    </xf>
    <xf numFmtId="43" fontId="272" fillId="24" borderId="117" xfId="1" applyFont="1" applyFill="1" applyBorder="1" applyAlignment="1" applyProtection="1">
      <alignment horizontal="left"/>
      <protection hidden="1"/>
    </xf>
    <xf numFmtId="43" fontId="272" fillId="24" borderId="118" xfId="1" applyFont="1" applyFill="1" applyBorder="1" applyAlignment="1" applyProtection="1">
      <alignment horizontal="left"/>
      <protection hidden="1"/>
    </xf>
    <xf numFmtId="0" fontId="281" fillId="24" borderId="87" xfId="1" applyNumberFormat="1" applyFont="1" applyFill="1" applyBorder="1" applyAlignment="1">
      <alignment horizontal="left"/>
    </xf>
    <xf numFmtId="3" fontId="281" fillId="24" borderId="92" xfId="3" applyNumberFormat="1" applyFont="1" applyFill="1" applyBorder="1" applyAlignment="1">
      <alignment horizontal="left"/>
    </xf>
    <xf numFmtId="0" fontId="301" fillId="19" borderId="0" xfId="0" applyFont="1" applyFill="1" applyAlignment="1">
      <alignment horizontal="center" vertical="center" wrapText="1"/>
    </xf>
    <xf numFmtId="0" fontId="323" fillId="19" borderId="0" xfId="0" applyFont="1" applyFill="1" applyAlignment="1">
      <alignment horizontal="center" vertical="center" wrapText="1"/>
    </xf>
    <xf numFmtId="0" fontId="301" fillId="19" borderId="0" xfId="0" applyFont="1" applyFill="1" applyAlignment="1">
      <alignment horizontal="left" vertical="center" wrapText="1"/>
    </xf>
    <xf numFmtId="14" fontId="301" fillId="19" borderId="0" xfId="0" applyNumberFormat="1" applyFont="1" applyFill="1" applyAlignment="1">
      <alignment horizontal="left" vertical="center"/>
    </xf>
    <xf numFmtId="43" fontId="325" fillId="24" borderId="0" xfId="1" applyFont="1" applyFill="1" applyBorder="1" applyAlignment="1" applyProtection="1">
      <alignment horizontal="center" vertical="center"/>
      <protection hidden="1"/>
    </xf>
    <xf numFmtId="196" fontId="325" fillId="24" borderId="0" xfId="1" applyNumberFormat="1" applyFont="1" applyFill="1" applyBorder="1" applyAlignment="1" applyProtection="1">
      <alignment horizontal="center" vertical="center"/>
      <protection hidden="1"/>
    </xf>
    <xf numFmtId="216" fontId="325" fillId="24" borderId="0" xfId="0" applyNumberFormat="1" applyFont="1" applyFill="1" applyAlignment="1">
      <alignment horizontal="center" vertical="center"/>
    </xf>
    <xf numFmtId="14" fontId="301" fillId="19" borderId="0" xfId="0" applyNumberFormat="1" applyFont="1" applyFill="1" applyAlignment="1">
      <alignment horizontal="center" vertical="center" wrapText="1"/>
    </xf>
    <xf numFmtId="14" fontId="324" fillId="19" borderId="0" xfId="0" applyNumberFormat="1" applyFont="1" applyFill="1" applyAlignment="1">
      <alignment horizontal="center" vertical="center" wrapText="1"/>
    </xf>
    <xf numFmtId="14" fontId="325" fillId="19" borderId="0" xfId="0" applyNumberFormat="1" applyFont="1" applyFill="1" applyAlignment="1">
      <alignment horizontal="center" vertical="center" wrapText="1"/>
    </xf>
    <xf numFmtId="14" fontId="301" fillId="19" borderId="0" xfId="0" applyNumberFormat="1" applyFont="1" applyFill="1" applyAlignment="1">
      <alignment horizontal="left" vertical="center" wrapText="1"/>
    </xf>
    <xf numFmtId="43" fontId="301" fillId="19" borderId="0" xfId="2" applyNumberFormat="1" applyFont="1" applyFill="1" applyAlignment="1">
      <alignment horizontal="center" vertical="center" wrapText="1"/>
    </xf>
    <xf numFmtId="14" fontId="301" fillId="19" borderId="0" xfId="0" applyNumberFormat="1" applyFont="1" applyFill="1" applyAlignment="1" applyProtection="1">
      <alignment horizontal="center" vertical="center" wrapText="1"/>
      <protection hidden="1"/>
    </xf>
    <xf numFmtId="164" fontId="326" fillId="19" borderId="2" xfId="2" applyNumberFormat="1" applyFont="1" applyFill="1" applyBorder="1" applyAlignment="1" applyProtection="1">
      <alignment horizontal="centerContinuous" vertical="center"/>
      <protection hidden="1"/>
    </xf>
    <xf numFmtId="164" fontId="326" fillId="19" borderId="0" xfId="2" applyNumberFormat="1" applyFont="1" applyFill="1" applyAlignment="1" applyProtection="1">
      <alignment horizontal="centerContinuous" vertical="center"/>
      <protection hidden="1"/>
    </xf>
    <xf numFmtId="14" fontId="301" fillId="10" borderId="0" xfId="0" applyNumberFormat="1" applyFont="1" applyFill="1" applyAlignment="1" applyProtection="1">
      <alignment horizontal="left" vertical="center" wrapText="1"/>
      <protection hidden="1"/>
    </xf>
    <xf numFmtId="43" fontId="328" fillId="24" borderId="0" xfId="1" applyFont="1" applyFill="1" applyBorder="1" applyAlignment="1" applyProtection="1">
      <alignment horizontal="left" vertical="center"/>
      <protection hidden="1"/>
    </xf>
    <xf numFmtId="43" fontId="297" fillId="24" borderId="0" xfId="1" applyFont="1" applyFill="1" applyBorder="1" applyAlignment="1" applyProtection="1">
      <alignment horizontal="left" vertical="center"/>
      <protection hidden="1"/>
    </xf>
    <xf numFmtId="43" fontId="297" fillId="24" borderId="0" xfId="1" applyFont="1" applyFill="1" applyBorder="1" applyAlignment="1" applyProtection="1">
      <alignment horizontal="left"/>
      <protection hidden="1"/>
    </xf>
    <xf numFmtId="0" fontId="329" fillId="24" borderId="0" xfId="11" applyFont="1" applyFill="1" applyBorder="1" applyAlignment="1">
      <alignment horizontal="right"/>
    </xf>
    <xf numFmtId="1" fontId="310" fillId="24" borderId="0" xfId="0" applyNumberFormat="1" applyFont="1" applyFill="1" applyAlignment="1" applyProtection="1">
      <alignment horizontal="center" vertical="center"/>
      <protection hidden="1"/>
    </xf>
    <xf numFmtId="4" fontId="310" fillId="24" borderId="0" xfId="0" applyNumberFormat="1" applyFont="1" applyFill="1" applyAlignment="1" applyProtection="1">
      <alignment horizontal="center" vertical="center"/>
      <protection hidden="1"/>
    </xf>
    <xf numFmtId="171" fontId="310" fillId="24" borderId="0" xfId="10" applyNumberFormat="1" applyFont="1" applyFill="1" applyBorder="1" applyAlignment="1" applyProtection="1">
      <alignment horizontal="center" vertical="center"/>
      <protection hidden="1"/>
    </xf>
    <xf numFmtId="43" fontId="310" fillId="24" borderId="0" xfId="1" applyFont="1" applyFill="1" applyBorder="1" applyAlignment="1" applyProtection="1">
      <alignment horizontal="left"/>
      <protection hidden="1"/>
    </xf>
    <xf numFmtId="0" fontId="330" fillId="18" borderId="0" xfId="0" applyFont="1" applyFill="1" applyAlignment="1" applyProtection="1">
      <alignment vertical="top"/>
      <protection hidden="1"/>
    </xf>
    <xf numFmtId="0" fontId="331" fillId="18" borderId="0" xfId="0" applyFont="1" applyFill="1" applyAlignment="1">
      <alignment vertical="top"/>
    </xf>
    <xf numFmtId="0" fontId="330" fillId="18" borderId="0" xfId="0" applyFont="1" applyFill="1" applyAlignment="1" applyProtection="1">
      <alignment horizontal="center" vertical="top"/>
      <protection hidden="1"/>
    </xf>
    <xf numFmtId="0" fontId="330" fillId="18" borderId="0" xfId="0" applyFont="1" applyFill="1" applyAlignment="1" applyProtection="1">
      <alignment horizontal="right" vertical="top"/>
      <protection hidden="1"/>
    </xf>
    <xf numFmtId="0" fontId="332" fillId="24" borderId="0" xfId="0" applyFont="1" applyFill="1" applyAlignment="1">
      <alignment horizontal="center" vertical="center" wrapText="1"/>
    </xf>
    <xf numFmtId="0" fontId="332" fillId="0" borderId="0" xfId="0" applyFont="1"/>
    <xf numFmtId="0" fontId="301" fillId="19" borderId="0" xfId="0" applyFont="1" applyFill="1"/>
    <xf numFmtId="0" fontId="327" fillId="24" borderId="0" xfId="0" applyFont="1" applyFill="1"/>
    <xf numFmtId="0" fontId="332" fillId="24" borderId="0" xfId="1" applyNumberFormat="1" applyFont="1" applyFill="1" applyAlignment="1">
      <alignment horizontal="left"/>
    </xf>
    <xf numFmtId="0" fontId="332" fillId="24" borderId="0" xfId="0" applyFont="1" applyFill="1"/>
    <xf numFmtId="0" fontId="332" fillId="24" borderId="0" xfId="0" applyFont="1" applyFill="1" applyAlignment="1">
      <alignment horizontal="center" vertical="center"/>
    </xf>
    <xf numFmtId="0" fontId="301" fillId="18" borderId="0" xfId="2" applyFont="1" applyFill="1" applyAlignment="1">
      <alignment horizontal="center" vertical="center" wrapText="1"/>
    </xf>
    <xf numFmtId="0" fontId="301" fillId="19" borderId="0" xfId="2" applyFont="1" applyFill="1" applyAlignment="1">
      <alignment horizontal="center" vertical="center" wrapText="1"/>
    </xf>
    <xf numFmtId="43" fontId="332" fillId="24" borderId="0" xfId="1" applyFont="1" applyFill="1" applyBorder="1" applyAlignment="1">
      <alignment horizontal="left"/>
    </xf>
    <xf numFmtId="43" fontId="332" fillId="24" borderId="0" xfId="1" applyFont="1" applyFill="1" applyBorder="1" applyAlignment="1">
      <alignment horizontal="left" vertical="center"/>
    </xf>
    <xf numFmtId="10" fontId="332" fillId="24" borderId="0" xfId="2" applyNumberFormat="1" applyFont="1" applyFill="1" applyAlignment="1" applyProtection="1">
      <alignment horizontal="left" vertical="center"/>
      <protection hidden="1"/>
    </xf>
    <xf numFmtId="43" fontId="332" fillId="24" borderId="0" xfId="1" applyFont="1" applyFill="1" applyBorder="1" applyAlignment="1" applyProtection="1">
      <alignment horizontal="left" vertical="center"/>
      <protection hidden="1"/>
    </xf>
    <xf numFmtId="43" fontId="333" fillId="24" borderId="0" xfId="1" applyFont="1" applyFill="1" applyBorder="1" applyAlignment="1">
      <alignment horizontal="left"/>
    </xf>
    <xf numFmtId="0" fontId="301" fillId="10" borderId="0" xfId="2" applyFont="1" applyFill="1" applyProtection="1">
      <protection hidden="1"/>
    </xf>
    <xf numFmtId="0" fontId="327" fillId="24" borderId="0" xfId="0" applyFont="1" applyFill="1" applyAlignment="1">
      <alignment horizontal="center" wrapText="1"/>
    </xf>
    <xf numFmtId="0" fontId="302" fillId="18" borderId="0" xfId="0" applyFont="1" applyFill="1"/>
    <xf numFmtId="10" fontId="332" fillId="24" borderId="0" xfId="2" applyNumberFormat="1" applyFont="1" applyFill="1" applyAlignment="1" applyProtection="1">
      <alignment horizontal="center" vertical="center"/>
      <protection hidden="1"/>
    </xf>
    <xf numFmtId="4" fontId="332" fillId="24" borderId="0" xfId="0" applyNumberFormat="1" applyFont="1" applyFill="1" applyAlignment="1" applyProtection="1">
      <alignment vertical="center"/>
      <protection hidden="1"/>
    </xf>
    <xf numFmtId="4" fontId="332" fillId="24" borderId="0" xfId="0" applyNumberFormat="1" applyFont="1" applyFill="1" applyAlignment="1" applyProtection="1">
      <alignment horizontal="left" vertical="center"/>
      <protection hidden="1"/>
    </xf>
    <xf numFmtId="0" fontId="332" fillId="24" borderId="0" xfId="1" applyNumberFormat="1" applyFont="1" applyFill="1" applyBorder="1" applyAlignment="1">
      <alignment horizontal="center" vertical="center"/>
    </xf>
    <xf numFmtId="43" fontId="332" fillId="24" borderId="0" xfId="1" applyFont="1" applyFill="1" applyBorder="1"/>
    <xf numFmtId="0" fontId="301" fillId="24" borderId="0" xfId="1" applyNumberFormat="1" applyFont="1" applyFill="1" applyBorder="1" applyAlignment="1">
      <alignment vertical="center"/>
    </xf>
    <xf numFmtId="0" fontId="301" fillId="24" borderId="0" xfId="1" applyNumberFormat="1" applyFont="1" applyFill="1" applyBorder="1" applyAlignment="1">
      <alignment horizontal="center" vertical="center"/>
    </xf>
    <xf numFmtId="43" fontId="301" fillId="24" borderId="0" xfId="1" applyFont="1" applyFill="1" applyAlignment="1">
      <alignment vertical="center"/>
    </xf>
    <xf numFmtId="0" fontId="301" fillId="24" borderId="0" xfId="1" applyNumberFormat="1" applyFont="1" applyFill="1" applyAlignment="1">
      <alignment vertical="center"/>
    </xf>
    <xf numFmtId="14" fontId="270" fillId="0" borderId="0" xfId="0" applyNumberFormat="1" applyFont="1" applyAlignment="1" applyProtection="1">
      <alignment horizontal="center" vertical="center"/>
      <protection hidden="1"/>
    </xf>
    <xf numFmtId="0" fontId="181" fillId="0" borderId="0" xfId="0" applyFont="1" applyAlignment="1" applyProtection="1">
      <alignment horizontal="center" vertical="center"/>
      <protection hidden="1"/>
    </xf>
    <xf numFmtId="0" fontId="320" fillId="0" borderId="0" xfId="0" applyFont="1" applyAlignment="1">
      <alignment horizontal="left" vertical="top" wrapText="1"/>
    </xf>
    <xf numFmtId="216" fontId="261" fillId="24" borderId="0" xfId="1" applyNumberFormat="1" applyFont="1" applyFill="1" applyBorder="1" applyAlignment="1" applyProtection="1">
      <alignment horizontal="center"/>
      <protection hidden="1"/>
    </xf>
    <xf numFmtId="216" fontId="259" fillId="19" borderId="0" xfId="1" applyNumberFormat="1" applyFont="1" applyFill="1" applyBorder="1" applyAlignment="1" applyProtection="1">
      <alignment horizontal="center"/>
      <protection hidden="1"/>
    </xf>
    <xf numFmtId="216" fontId="178" fillId="24" borderId="0" xfId="1" applyNumberFormat="1" applyFont="1" applyFill="1" applyBorder="1" applyAlignment="1" applyProtection="1">
      <alignment horizontal="center"/>
      <protection hidden="1"/>
    </xf>
    <xf numFmtId="0" fontId="215" fillId="18" borderId="0" xfId="0" applyFont="1" applyFill="1" applyAlignment="1">
      <alignment horizontal="left" vertical="top"/>
    </xf>
    <xf numFmtId="10" fontId="90" fillId="18" borderId="0" xfId="0" applyNumberFormat="1" applyFont="1" applyFill="1" applyAlignment="1">
      <alignment horizontal="center" vertical="center"/>
    </xf>
    <xf numFmtId="216" fontId="259" fillId="24" borderId="0" xfId="12" applyNumberFormat="1" applyFont="1" applyFill="1" applyBorder="1" applyAlignment="1" applyProtection="1">
      <alignment horizontal="right"/>
      <protection hidden="1"/>
    </xf>
    <xf numFmtId="216" fontId="261" fillId="24" borderId="0" xfId="12" applyNumberFormat="1" applyFont="1" applyFill="1" applyBorder="1" applyAlignment="1" applyProtection="1">
      <alignment horizontal="right"/>
      <protection hidden="1"/>
    </xf>
    <xf numFmtId="169" fontId="274" fillId="24" borderId="0" xfId="0" applyNumberFormat="1" applyFont="1" applyFill="1" applyAlignment="1">
      <alignment horizontal="center" vertical="center"/>
    </xf>
    <xf numFmtId="0" fontId="185" fillId="24" borderId="0" xfId="0" applyFont="1" applyFill="1" applyAlignment="1">
      <alignment horizontal="center"/>
    </xf>
    <xf numFmtId="4" fontId="313" fillId="24" borderId="0" xfId="0" applyNumberFormat="1" applyFont="1" applyFill="1" applyAlignment="1">
      <alignment horizontal="right"/>
    </xf>
    <xf numFmtId="216" fontId="260" fillId="24" borderId="0" xfId="12" applyNumberFormat="1" applyFont="1" applyFill="1" applyBorder="1" applyAlignment="1" applyProtection="1">
      <alignment horizontal="right"/>
      <protection hidden="1"/>
    </xf>
    <xf numFmtId="216" fontId="259" fillId="19" borderId="0" xfId="12" applyNumberFormat="1" applyFont="1" applyFill="1" applyBorder="1" applyAlignment="1" applyProtection="1">
      <alignment horizontal="right"/>
      <protection hidden="1"/>
    </xf>
    <xf numFmtId="0" fontId="277" fillId="24" borderId="0" xfId="0" applyFont="1" applyFill="1" applyAlignment="1">
      <alignment horizontal="left"/>
    </xf>
    <xf numFmtId="0" fontId="90" fillId="24" borderId="0" xfId="0" applyFont="1" applyFill="1" applyAlignment="1">
      <alignment horizontal="center"/>
    </xf>
    <xf numFmtId="216" fontId="21" fillId="24" borderId="0" xfId="1" applyNumberFormat="1" applyFont="1" applyFill="1" applyBorder="1" applyAlignment="1" applyProtection="1">
      <alignment horizontal="center"/>
      <protection hidden="1"/>
    </xf>
    <xf numFmtId="43" fontId="21" fillId="24" borderId="0" xfId="1" applyFont="1" applyFill="1" applyBorder="1" applyAlignment="1" applyProtection="1">
      <alignment horizontal="center"/>
      <protection hidden="1"/>
    </xf>
    <xf numFmtId="216" fontId="179" fillId="24" borderId="0" xfId="12" applyNumberFormat="1" applyFont="1" applyFill="1" applyBorder="1" applyAlignment="1" applyProtection="1">
      <alignment horizontal="right"/>
      <protection hidden="1"/>
    </xf>
    <xf numFmtId="0" fontId="244" fillId="23" borderId="0" xfId="0" applyFont="1" applyFill="1" applyAlignment="1">
      <alignment horizontal="left"/>
    </xf>
    <xf numFmtId="0" fontId="311" fillId="24" borderId="0" xfId="1" applyNumberFormat="1" applyFont="1" applyFill="1" applyBorder="1" applyAlignment="1">
      <alignment horizontal="left" vertical="center" wrapText="1"/>
    </xf>
    <xf numFmtId="201" fontId="311" fillId="24" borderId="0" xfId="1" applyNumberFormat="1" applyFont="1" applyFill="1" applyBorder="1" applyAlignment="1">
      <alignment horizontal="left" vertical="center" wrapText="1"/>
    </xf>
    <xf numFmtId="216" fontId="203" fillId="24" borderId="0" xfId="7" applyNumberFormat="1" applyFont="1" applyFill="1" applyAlignment="1" applyProtection="1">
      <alignment horizontal="center"/>
      <protection hidden="1"/>
    </xf>
    <xf numFmtId="167" fontId="259" fillId="24" borderId="0" xfId="0" applyNumberFormat="1" applyFont="1" applyFill="1" applyAlignment="1" applyProtection="1">
      <alignment horizontal="center" vertical="center"/>
      <protection hidden="1"/>
    </xf>
    <xf numFmtId="180" fontId="260" fillId="23" borderId="0" xfId="0" applyNumberFormat="1" applyFont="1" applyFill="1" applyAlignment="1" applyProtection="1">
      <alignment horizontal="center" vertical="center"/>
      <protection hidden="1"/>
    </xf>
    <xf numFmtId="196" fontId="174" fillId="24" borderId="0" xfId="1" applyNumberFormat="1" applyFont="1" applyFill="1" applyBorder="1" applyAlignment="1" applyProtection="1">
      <alignment horizontal="center" vertical="center"/>
      <protection hidden="1"/>
    </xf>
    <xf numFmtId="216" fontId="174" fillId="24" borderId="0" xfId="1" applyNumberFormat="1" applyFont="1" applyFill="1" applyBorder="1" applyAlignment="1" applyProtection="1">
      <alignment horizontal="center" vertical="center"/>
      <protection hidden="1"/>
    </xf>
    <xf numFmtId="216" fontId="206" fillId="24" borderId="0" xfId="7" applyNumberFormat="1" applyFont="1" applyFill="1" applyAlignment="1" applyProtection="1">
      <alignment horizontal="center"/>
      <protection hidden="1"/>
    </xf>
    <xf numFmtId="216" fontId="133" fillId="24" borderId="0" xfId="7" applyNumberFormat="1" applyFont="1" applyFill="1" applyAlignment="1" applyProtection="1">
      <alignment horizontal="center" vertical="center"/>
      <protection hidden="1"/>
    </xf>
    <xf numFmtId="203" fontId="279" fillId="24" borderId="0" xfId="0" applyNumberFormat="1" applyFont="1" applyFill="1" applyAlignment="1">
      <alignment horizontal="center" vertical="center" wrapText="1"/>
    </xf>
    <xf numFmtId="3" fontId="278" fillId="24" borderId="0" xfId="0" applyNumberFormat="1" applyFont="1" applyFill="1" applyAlignment="1" applyProtection="1">
      <alignment horizontal="center" vertical="center" wrapText="1"/>
      <protection hidden="1"/>
    </xf>
    <xf numFmtId="216" fontId="235" fillId="24" borderId="0" xfId="12" applyNumberFormat="1" applyFont="1" applyFill="1" applyBorder="1" applyAlignment="1" applyProtection="1">
      <alignment horizontal="right"/>
      <protection hidden="1"/>
    </xf>
    <xf numFmtId="0" fontId="332" fillId="24" borderId="0" xfId="0" applyFont="1" applyFill="1" applyAlignment="1">
      <alignment horizontal="center" vertical="center" wrapText="1"/>
    </xf>
    <xf numFmtId="43" fontId="263" fillId="24" borderId="0" xfId="7" applyFont="1" applyFill="1" applyAlignment="1" applyProtection="1">
      <alignment horizontal="left" vertical="center"/>
      <protection hidden="1"/>
    </xf>
    <xf numFmtId="166" fontId="220" fillId="23" borderId="122" xfId="3" applyNumberFormat="1" applyFont="1" applyFill="1" applyBorder="1" applyAlignment="1">
      <alignment horizontal="left" vertical="center"/>
    </xf>
    <xf numFmtId="166" fontId="220" fillId="23" borderId="123" xfId="3" applyNumberFormat="1" applyFont="1" applyFill="1" applyBorder="1" applyAlignment="1">
      <alignment horizontal="left" vertical="center"/>
    </xf>
    <xf numFmtId="166" fontId="220" fillId="23" borderId="124" xfId="3" applyNumberFormat="1" applyFont="1" applyFill="1" applyBorder="1" applyAlignment="1">
      <alignment horizontal="left" vertical="center"/>
    </xf>
    <xf numFmtId="166" fontId="220" fillId="12" borderId="119" xfId="3" applyNumberFormat="1" applyFont="1" applyFill="1" applyBorder="1" applyAlignment="1">
      <alignment horizontal="left" vertical="center"/>
    </xf>
    <xf numFmtId="166" fontId="220" fillId="12" borderId="120" xfId="3" applyNumberFormat="1" applyFont="1" applyFill="1" applyBorder="1" applyAlignment="1">
      <alignment horizontal="left" vertical="center"/>
    </xf>
    <xf numFmtId="166" fontId="220" fillId="12" borderId="121" xfId="3" applyNumberFormat="1" applyFont="1" applyFill="1" applyBorder="1" applyAlignment="1">
      <alignment horizontal="left" vertical="center"/>
    </xf>
    <xf numFmtId="166" fontId="230" fillId="13" borderId="58" xfId="3" applyNumberFormat="1" applyFont="1" applyFill="1" applyBorder="1" applyAlignment="1">
      <alignment horizontal="left" vertical="center"/>
    </xf>
    <xf numFmtId="166" fontId="230" fillId="13" borderId="51" xfId="3" applyNumberFormat="1" applyFont="1" applyFill="1" applyBorder="1" applyAlignment="1">
      <alignment horizontal="left" vertical="center"/>
    </xf>
    <xf numFmtId="166" fontId="230" fillId="13" borderId="59" xfId="3" applyNumberFormat="1" applyFont="1" applyFill="1" applyBorder="1" applyAlignment="1">
      <alignment horizontal="left" vertical="center"/>
    </xf>
    <xf numFmtId="197" fontId="144" fillId="4" borderId="0" xfId="0" applyNumberFormat="1" applyFont="1" applyFill="1" applyAlignment="1" applyProtection="1">
      <alignment horizontal="center"/>
      <protection hidden="1"/>
    </xf>
    <xf numFmtId="216" fontId="179" fillId="24" borderId="0" xfId="0" applyNumberFormat="1" applyFont="1" applyFill="1" applyAlignment="1" applyProtection="1">
      <alignment horizontal="center"/>
      <protection hidden="1"/>
    </xf>
    <xf numFmtId="210" fontId="179" fillId="24" borderId="0" xfId="0" applyNumberFormat="1" applyFont="1" applyFill="1" applyAlignment="1" applyProtection="1">
      <alignment horizontal="center"/>
      <protection hidden="1"/>
    </xf>
    <xf numFmtId="196" fontId="179" fillId="24" borderId="0" xfId="0" applyNumberFormat="1" applyFont="1" applyFill="1" applyAlignment="1" applyProtection="1">
      <alignment horizontal="center"/>
      <protection hidden="1"/>
    </xf>
    <xf numFmtId="0" fontId="332" fillId="24" borderId="0" xfId="0" applyFont="1" applyFill="1" applyAlignment="1">
      <alignment horizontal="center" vertical="center"/>
    </xf>
    <xf numFmtId="216" fontId="179" fillId="24" borderId="0" xfId="10" applyNumberFormat="1" applyFont="1" applyFill="1" applyBorder="1" applyAlignment="1" applyProtection="1">
      <alignment horizontal="center"/>
      <protection hidden="1"/>
    </xf>
    <xf numFmtId="210" fontId="179" fillId="24" borderId="0" xfId="10" applyNumberFormat="1" applyFont="1" applyFill="1" applyBorder="1" applyAlignment="1" applyProtection="1">
      <alignment horizontal="center"/>
      <protection hidden="1"/>
    </xf>
    <xf numFmtId="200" fontId="268" fillId="24" borderId="0" xfId="10" applyNumberFormat="1" applyFont="1" applyFill="1" applyBorder="1" applyAlignment="1" applyProtection="1">
      <alignment horizontal="center" vertical="center"/>
      <protection hidden="1"/>
    </xf>
    <xf numFmtId="0" fontId="172" fillId="24" borderId="0" xfId="0" applyFont="1" applyFill="1" applyAlignment="1">
      <alignment horizontal="center"/>
    </xf>
    <xf numFmtId="0" fontId="200" fillId="24" borderId="0" xfId="2" applyFont="1" applyFill="1" applyAlignment="1">
      <alignment horizontal="center"/>
    </xf>
    <xf numFmtId="0" fontId="199" fillId="24" borderId="0" xfId="0" applyFont="1" applyFill="1" applyAlignment="1">
      <alignment horizontal="center"/>
    </xf>
    <xf numFmtId="196" fontId="125" fillId="24" borderId="0" xfId="7" applyNumberFormat="1" applyFont="1" applyFill="1" applyAlignment="1" applyProtection="1">
      <alignment horizontal="center"/>
      <protection hidden="1"/>
    </xf>
    <xf numFmtId="196" fontId="125" fillId="24" borderId="0" xfId="12" applyNumberFormat="1" applyFont="1" applyFill="1" applyBorder="1" applyAlignment="1" applyProtection="1">
      <alignment horizontal="right"/>
      <protection hidden="1"/>
    </xf>
    <xf numFmtId="196" fontId="117" fillId="24" borderId="0" xfId="7" applyNumberFormat="1" applyFont="1" applyFill="1" applyAlignment="1" applyProtection="1">
      <alignment horizontal="center"/>
      <protection hidden="1"/>
    </xf>
    <xf numFmtId="196" fontId="103" fillId="24" borderId="0" xfId="7" applyNumberFormat="1" applyFont="1" applyFill="1" applyAlignment="1" applyProtection="1">
      <alignment horizontal="center"/>
      <protection hidden="1"/>
    </xf>
    <xf numFmtId="196" fontId="128" fillId="24" borderId="0" xfId="7" applyNumberFormat="1" applyFont="1" applyFill="1" applyAlignment="1" applyProtection="1">
      <alignment horizontal="center"/>
      <protection hidden="1"/>
    </xf>
    <xf numFmtId="43" fontId="291" fillId="24" borderId="0" xfId="1" applyFont="1" applyFill="1" applyBorder="1" applyAlignment="1" applyProtection="1">
      <alignment horizontal="left"/>
      <protection hidden="1"/>
    </xf>
    <xf numFmtId="216" fontId="234" fillId="24" borderId="0" xfId="7" applyNumberFormat="1" applyFont="1" applyFill="1" applyAlignment="1" applyProtection="1">
      <alignment horizontal="center"/>
      <protection hidden="1"/>
    </xf>
    <xf numFmtId="166" fontId="234" fillId="24" borderId="0" xfId="7" applyNumberFormat="1" applyFont="1" applyFill="1" applyAlignment="1" applyProtection="1">
      <alignment horizontal="center"/>
      <protection hidden="1"/>
    </xf>
    <xf numFmtId="216" fontId="276" fillId="24" borderId="0" xfId="1" applyNumberFormat="1" applyFont="1" applyFill="1" applyBorder="1" applyAlignment="1" applyProtection="1">
      <alignment vertical="center" wrapText="1"/>
      <protection hidden="1"/>
    </xf>
    <xf numFmtId="201" fontId="276" fillId="24" borderId="0" xfId="1" applyNumberFormat="1" applyFont="1" applyFill="1" applyBorder="1" applyAlignment="1" applyProtection="1">
      <alignment vertical="center" wrapText="1"/>
      <protection hidden="1"/>
    </xf>
    <xf numFmtId="216" fontId="176" fillId="24" borderId="0" xfId="1" applyNumberFormat="1" applyFont="1" applyFill="1" applyBorder="1" applyAlignment="1" applyProtection="1">
      <alignment horizontal="center" vertical="center"/>
      <protection hidden="1"/>
    </xf>
    <xf numFmtId="201" fontId="176" fillId="24" borderId="0" xfId="1" applyNumberFormat="1" applyFont="1" applyFill="1" applyBorder="1" applyAlignment="1" applyProtection="1">
      <alignment horizontal="center" vertical="center"/>
      <protection hidden="1"/>
    </xf>
    <xf numFmtId="10" fontId="175" fillId="23" borderId="0" xfId="10" applyNumberFormat="1" applyFont="1" applyFill="1" applyBorder="1" applyAlignment="1" applyProtection="1">
      <alignment horizontal="right" vertical="center"/>
      <protection hidden="1"/>
    </xf>
    <xf numFmtId="0" fontId="288" fillId="24" borderId="0" xfId="2" applyFont="1" applyFill="1" applyAlignment="1" applyProtection="1">
      <alignment horizontal="center" vertical="center"/>
      <protection hidden="1"/>
    </xf>
    <xf numFmtId="216" fontId="260" fillId="24" borderId="0" xfId="1" applyNumberFormat="1" applyFont="1" applyFill="1" applyBorder="1" applyAlignment="1" applyProtection="1">
      <alignment horizontal="right" vertical="center"/>
      <protection hidden="1"/>
    </xf>
    <xf numFmtId="43" fontId="260" fillId="24" borderId="0" xfId="1" applyFont="1" applyFill="1" applyBorder="1" applyAlignment="1" applyProtection="1">
      <alignment horizontal="right" vertical="center"/>
      <protection hidden="1"/>
    </xf>
    <xf numFmtId="216" fontId="177" fillId="24" borderId="0" xfId="1" applyNumberFormat="1" applyFont="1" applyFill="1" applyBorder="1" applyAlignment="1" applyProtection="1">
      <alignment horizontal="right" vertical="center"/>
      <protection hidden="1"/>
    </xf>
    <xf numFmtId="201" fontId="260" fillId="24" borderId="0" xfId="1" applyNumberFormat="1" applyFont="1" applyFill="1" applyBorder="1" applyAlignment="1" applyProtection="1">
      <alignment horizontal="right" vertical="center"/>
      <protection hidden="1"/>
    </xf>
    <xf numFmtId="10" fontId="282" fillId="26" borderId="77" xfId="2" applyNumberFormat="1" applyFont="1" applyFill="1" applyBorder="1" applyAlignment="1" applyProtection="1">
      <alignment horizontal="center" vertical="center" wrapText="1"/>
      <protection hidden="1"/>
    </xf>
    <xf numFmtId="10" fontId="282" fillId="26" borderId="78" xfId="2" applyNumberFormat="1" applyFont="1" applyFill="1" applyBorder="1" applyAlignment="1" applyProtection="1">
      <alignment horizontal="center" vertical="center" wrapText="1"/>
      <protection hidden="1"/>
    </xf>
    <xf numFmtId="10" fontId="282" fillId="25" borderId="77" xfId="2" applyNumberFormat="1" applyFont="1" applyFill="1" applyBorder="1" applyAlignment="1" applyProtection="1">
      <alignment horizontal="center" vertical="center" wrapText="1"/>
      <protection hidden="1"/>
    </xf>
    <xf numFmtId="10" fontId="282" fillId="25" borderId="78" xfId="2" applyNumberFormat="1" applyFont="1" applyFill="1" applyBorder="1" applyAlignment="1" applyProtection="1">
      <alignment horizontal="center" vertical="center" wrapText="1"/>
      <protection hidden="1"/>
    </xf>
    <xf numFmtId="0" fontId="326" fillId="19" borderId="0" xfId="2" applyFont="1" applyFill="1" applyAlignment="1" applyProtection="1">
      <alignment horizontal="center" vertical="center"/>
      <protection hidden="1"/>
    </xf>
    <xf numFmtId="216" fontId="288" fillId="24" borderId="0" xfId="1" applyNumberFormat="1" applyFont="1" applyFill="1" applyBorder="1" applyAlignment="1" applyProtection="1">
      <alignment horizontal="center" vertical="center" wrapText="1"/>
      <protection hidden="1"/>
    </xf>
    <xf numFmtId="201" fontId="288" fillId="24" borderId="0" xfId="1" applyNumberFormat="1" applyFont="1" applyFill="1" applyBorder="1" applyAlignment="1" applyProtection="1">
      <alignment horizontal="center" vertical="center" wrapText="1"/>
      <protection hidden="1"/>
    </xf>
    <xf numFmtId="0" fontId="159" fillId="24" borderId="0" xfId="2" applyFont="1" applyFill="1" applyAlignment="1" applyProtection="1">
      <alignment horizontal="center"/>
      <protection hidden="1"/>
    </xf>
    <xf numFmtId="0" fontId="301" fillId="19" borderId="0" xfId="2" applyFont="1" applyFill="1" applyAlignment="1" applyProtection="1">
      <alignment horizontal="center" vertical="center" wrapText="1"/>
      <protection hidden="1"/>
    </xf>
    <xf numFmtId="216" fontId="234" fillId="24" borderId="0" xfId="1" applyNumberFormat="1" applyFont="1" applyFill="1" applyBorder="1" applyAlignment="1" applyProtection="1">
      <alignment horizontal="center" vertical="center"/>
      <protection hidden="1"/>
    </xf>
    <xf numFmtId="201" fontId="234" fillId="24" borderId="0" xfId="1" applyNumberFormat="1" applyFont="1" applyFill="1" applyBorder="1" applyAlignment="1" applyProtection="1">
      <alignment horizontal="center" vertical="center"/>
      <protection hidden="1"/>
    </xf>
    <xf numFmtId="164" fontId="176" fillId="23" borderId="0" xfId="2" applyNumberFormat="1" applyFont="1" applyFill="1" applyAlignment="1" applyProtection="1">
      <alignment horizontal="right" vertical="center"/>
      <protection hidden="1"/>
    </xf>
    <xf numFmtId="43" fontId="288" fillId="24" borderId="0" xfId="1" applyFont="1" applyFill="1" applyBorder="1" applyAlignment="1" applyProtection="1">
      <alignment horizontal="center" vertical="center" wrapText="1"/>
      <protection hidden="1"/>
    </xf>
    <xf numFmtId="14" fontId="142" fillId="18" borderId="0" xfId="2" applyNumberFormat="1" applyFont="1" applyFill="1" applyAlignment="1" applyProtection="1">
      <alignment horizontal="center" vertical="center" wrapText="1"/>
      <protection hidden="1"/>
    </xf>
    <xf numFmtId="14" fontId="301" fillId="19" borderId="0" xfId="2" applyNumberFormat="1" applyFont="1" applyFill="1" applyAlignment="1" applyProtection="1">
      <alignment horizontal="center" vertical="center" wrapText="1"/>
      <protection hidden="1"/>
    </xf>
    <xf numFmtId="201" fontId="230" fillId="13" borderId="26" xfId="1" applyNumberFormat="1" applyFont="1" applyFill="1" applyBorder="1" applyAlignment="1" applyProtection="1">
      <alignment horizontal="center"/>
    </xf>
    <xf numFmtId="201" fontId="230" fillId="13" borderId="61" xfId="1" applyNumberFormat="1" applyFont="1" applyFill="1" applyBorder="1" applyAlignment="1" applyProtection="1">
      <alignment horizontal="center"/>
    </xf>
    <xf numFmtId="201" fontId="21" fillId="23" borderId="83" xfId="1" applyNumberFormat="1" applyFont="1" applyFill="1" applyBorder="1" applyAlignment="1" applyProtection="1">
      <alignment horizontal="center"/>
    </xf>
    <xf numFmtId="201" fontId="138" fillId="12" borderId="82" xfId="1" applyNumberFormat="1" applyFont="1" applyFill="1" applyBorder="1" applyAlignment="1" applyProtection="1">
      <alignment horizontal="center"/>
    </xf>
    <xf numFmtId="201" fontId="138" fillId="12" borderId="128" xfId="1" applyNumberFormat="1" applyFont="1" applyFill="1" applyBorder="1" applyAlignment="1" applyProtection="1">
      <alignment horizontal="center"/>
    </xf>
    <xf numFmtId="14" fontId="301" fillId="19" borderId="0" xfId="0" applyNumberFormat="1" applyFont="1" applyFill="1" applyAlignment="1">
      <alignment horizontal="center" vertical="center" wrapText="1"/>
    </xf>
    <xf numFmtId="0" fontId="282" fillId="24" borderId="0" xfId="2" applyFont="1" applyFill="1" applyAlignment="1">
      <alignment horizontal="left" vertical="center"/>
    </xf>
    <xf numFmtId="0" fontId="263" fillId="23" borderId="34" xfId="0" applyFont="1" applyFill="1" applyBorder="1" applyAlignment="1">
      <alignment horizontal="left" vertical="center"/>
    </xf>
    <xf numFmtId="0" fontId="263" fillId="23" borderId="35" xfId="0" applyFont="1" applyFill="1" applyBorder="1" applyAlignment="1">
      <alignment horizontal="left" vertical="center"/>
    </xf>
    <xf numFmtId="43" fontId="263" fillId="23" borderId="31" xfId="1" applyFont="1" applyFill="1" applyBorder="1" applyAlignment="1">
      <alignment horizontal="left" vertical="center"/>
    </xf>
    <xf numFmtId="43" fontId="263" fillId="23" borderId="32" xfId="1" applyFont="1" applyFill="1" applyBorder="1" applyAlignment="1">
      <alignment horizontal="left" vertical="center"/>
    </xf>
    <xf numFmtId="43" fontId="263" fillId="23" borderId="34" xfId="1" applyFont="1" applyFill="1" applyBorder="1" applyAlignment="1">
      <alignment horizontal="left" vertical="center"/>
    </xf>
    <xf numFmtId="43" fontId="263" fillId="23" borderId="35" xfId="1" applyFont="1" applyFill="1" applyBorder="1" applyAlignment="1">
      <alignment horizontal="left" vertical="center"/>
    </xf>
    <xf numFmtId="43" fontId="122" fillId="24" borderId="63" xfId="1" applyFont="1" applyFill="1" applyBorder="1" applyAlignment="1">
      <alignment horizontal="center"/>
    </xf>
    <xf numFmtId="43" fontId="122" fillId="24" borderId="0" xfId="1" applyFont="1" applyFill="1" applyBorder="1" applyAlignment="1">
      <alignment horizontal="center"/>
    </xf>
    <xf numFmtId="43" fontId="122" fillId="24" borderId="63" xfId="1" applyFont="1" applyFill="1" applyBorder="1" applyAlignment="1">
      <alignment horizontal="center" vertical="center"/>
    </xf>
    <xf numFmtId="43" fontId="122" fillId="24" borderId="0" xfId="1" applyFont="1" applyFill="1" applyBorder="1" applyAlignment="1">
      <alignment horizontal="center" vertical="center"/>
    </xf>
    <xf numFmtId="0" fontId="301" fillId="24" borderId="0" xfId="1" applyNumberFormat="1" applyFont="1" applyFill="1" applyAlignment="1">
      <alignment vertical="center"/>
    </xf>
    <xf numFmtId="0" fontId="263" fillId="23" borderId="31" xfId="0" applyFont="1" applyFill="1" applyBorder="1" applyAlignment="1">
      <alignment horizontal="left" vertical="center"/>
    </xf>
    <xf numFmtId="0" fontId="263" fillId="23" borderId="32" xfId="0" applyFont="1" applyFill="1" applyBorder="1" applyAlignment="1">
      <alignment horizontal="left" vertical="center"/>
    </xf>
    <xf numFmtId="0" fontId="282" fillId="24" borderId="63" xfId="2" applyFont="1" applyFill="1" applyBorder="1" applyAlignment="1">
      <alignment horizontal="left" vertical="center"/>
    </xf>
    <xf numFmtId="43" fontId="263" fillId="23" borderId="37" xfId="1" applyFont="1" applyFill="1" applyBorder="1" applyAlignment="1">
      <alignment horizontal="left" vertical="center"/>
    </xf>
  </cellXfs>
  <cellStyles count="13">
    <cellStyle name="Comma" xfId="1" builtinId="3"/>
    <cellStyle name="Comma 2" xfId="3" xr:uid="{00000000-0005-0000-0000-000001000000}"/>
    <cellStyle name="Comma 2 2" xfId="7" xr:uid="{00000000-0005-0000-0000-000002000000}"/>
    <cellStyle name="Currency" xfId="12" builtinId="4"/>
    <cellStyle name="Hyperlink" xfId="11" builtinId="8"/>
    <cellStyle name="Hyperlink 2" xfId="4" xr:uid="{00000000-0005-0000-0000-000005000000}"/>
    <cellStyle name="Normal" xfId="0" builtinId="0"/>
    <cellStyle name="Normal 2" xfId="2" xr:uid="{00000000-0005-0000-0000-000007000000}"/>
    <cellStyle name="Normal 2 2" xfId="6" xr:uid="{00000000-0005-0000-0000-000008000000}"/>
    <cellStyle name="Normal 2 2 2" xfId="9" xr:uid="{00000000-0005-0000-0000-000009000000}"/>
    <cellStyle name="Percent" xfId="10" builtinId="5"/>
    <cellStyle name="Percent 2" xfId="5" xr:uid="{00000000-0005-0000-0000-00000B000000}"/>
    <cellStyle name="Percent 2 2" xfId="8" xr:uid="{00000000-0005-0000-0000-00000C000000}"/>
  </cellStyles>
  <dxfs count="239">
    <dxf>
      <font>
        <color theme="6" tint="-0.249977111117893"/>
      </font>
      <numFmt numFmtId="0" formatCode="General"/>
    </dxf>
    <dxf>
      <font>
        <color theme="6" tint="-0.249977111117893"/>
      </font>
      <numFmt numFmtId="0" formatCode="General"/>
    </dxf>
    <dxf>
      <font>
        <b val="0"/>
        <i val="0"/>
        <strike val="0"/>
        <condense val="0"/>
        <extend val="0"/>
        <outline val="0"/>
        <shadow val="0"/>
        <u val="none"/>
        <vertAlign val="baseline"/>
        <sz val="8"/>
        <color theme="2"/>
        <name val="Arial Narrow"/>
        <family val="2"/>
        <scheme val="none"/>
      </font>
      <numFmt numFmtId="3" formatCode="#,##0"/>
      <fill>
        <patternFill patternType="solid">
          <fgColor indexed="64"/>
          <bgColor theme="8"/>
        </patternFill>
      </fill>
      <alignment horizontal="left" vertical="bottom" textRotation="0" wrapText="0" indent="0" justifyLastLine="0" shrinkToFit="0" readingOrder="0"/>
      <border diagonalUp="0" diagonalDown="0">
        <left style="thin">
          <color theme="7"/>
        </left>
        <right style="thin">
          <color theme="1"/>
        </right>
        <top style="thin">
          <color theme="9" tint="9.9948118533890809E-2"/>
        </top>
        <bottom style="thin">
          <color theme="9" tint="9.9948118533890809E-2"/>
        </bottom>
        <vertical/>
        <horizontal/>
      </border>
      <protection locked="1" hidden="1"/>
    </dxf>
    <dxf>
      <font>
        <b val="0"/>
        <i val="0"/>
        <strike val="0"/>
        <condense val="0"/>
        <extend val="0"/>
        <outline val="0"/>
        <shadow val="0"/>
        <u val="none"/>
        <vertAlign val="baseline"/>
        <sz val="8"/>
        <color theme="2"/>
        <name val="Arial Narrow"/>
        <family val="2"/>
        <scheme val="none"/>
      </font>
      <numFmt numFmtId="0" formatCode="General"/>
      <fill>
        <patternFill patternType="solid">
          <fgColor indexed="64"/>
          <bgColor theme="8"/>
        </patternFill>
      </fill>
      <alignment horizontal="left" vertical="bottom" textRotation="0" wrapText="0" indent="0" justifyLastLine="0" shrinkToFit="0" readingOrder="0"/>
      <border diagonalUp="0" diagonalDown="0">
        <left style="thin">
          <color theme="7"/>
        </left>
        <right style="thin">
          <color theme="7"/>
        </right>
        <top style="thin">
          <color theme="9" tint="9.9948118533890809E-2"/>
        </top>
        <bottom style="thin">
          <color theme="9" tint="9.9948118533890809E-2"/>
        </bottom>
        <vertical/>
        <horizontal/>
      </border>
      <protection locked="1" hidden="1"/>
    </dxf>
    <dxf>
      <font>
        <b val="0"/>
        <i val="0"/>
        <strike val="0"/>
        <condense val="0"/>
        <extend val="0"/>
        <outline val="0"/>
        <shadow val="0"/>
        <u val="none"/>
        <vertAlign val="baseline"/>
        <sz val="9"/>
        <color rgb="FF32AC69"/>
        <name val="Arial"/>
        <family val="2"/>
        <scheme val="none"/>
      </font>
      <numFmt numFmtId="177" formatCode="0.00&quot;R&quot;"/>
      <fill>
        <patternFill patternType="solid">
          <fgColor indexed="64"/>
          <bgColor theme="8"/>
        </patternFill>
      </fill>
      <alignment horizontal="general" vertical="bottom" textRotation="0" wrapText="0" indent="0" justifyLastLine="0" shrinkToFit="0" readingOrder="0"/>
      <border diagonalUp="0" diagonalDown="0">
        <left style="thin">
          <color theme="7"/>
        </left>
        <right style="thin">
          <color theme="7"/>
        </right>
        <top style="thin">
          <color theme="9" tint="9.9948118533890809E-2"/>
        </top>
        <bottom style="thin">
          <color theme="9" tint="9.9948118533890809E-2"/>
        </bottom>
        <vertical/>
        <horizontal/>
      </border>
      <protection locked="1" hidden="1"/>
    </dxf>
    <dxf>
      <font>
        <b val="0"/>
        <i val="0"/>
        <strike val="0"/>
        <condense val="0"/>
        <extend val="0"/>
        <outline val="0"/>
        <shadow val="0"/>
        <u val="none"/>
        <vertAlign val="baseline"/>
        <sz val="9"/>
        <color rgb="FF32AC69"/>
        <name val="Arial"/>
        <family val="2"/>
        <scheme val="none"/>
      </font>
      <numFmt numFmtId="14" formatCode="0.00%"/>
      <fill>
        <patternFill patternType="solid">
          <fgColor indexed="64"/>
          <bgColor theme="8"/>
        </patternFill>
      </fill>
      <alignment horizontal="general" vertical="bottom" textRotation="0" wrapText="0" indent="0" justifyLastLine="0" shrinkToFit="0" readingOrder="0"/>
      <border diagonalUp="0" diagonalDown="0">
        <left style="thin">
          <color theme="7"/>
        </left>
        <right style="thin">
          <color theme="7"/>
        </right>
        <top style="thin">
          <color theme="9" tint="9.9948118533890809E-2"/>
        </top>
        <bottom style="thin">
          <color theme="9" tint="9.9948118533890809E-2"/>
        </bottom>
        <vertical/>
        <horizontal/>
      </border>
      <protection locked="1" hidden="1"/>
    </dxf>
    <dxf>
      <font>
        <b val="0"/>
        <i val="0"/>
        <strike val="0"/>
        <condense val="0"/>
        <extend val="0"/>
        <outline val="0"/>
        <shadow val="0"/>
        <u val="none"/>
        <vertAlign val="baseline"/>
        <sz val="9"/>
        <color rgb="FF32AC69"/>
        <name val="Arial"/>
        <family val="2"/>
        <scheme val="none"/>
      </font>
      <numFmt numFmtId="193" formatCode="_(* #,##0.00_);_(* \-#,##0.00;_(* &quot;-&quot;??_);_(@_)"/>
      <fill>
        <patternFill patternType="solid">
          <fgColor indexed="64"/>
          <bgColor theme="8"/>
        </patternFill>
      </fill>
      <border diagonalUp="0" diagonalDown="0">
        <left style="thin">
          <color theme="7"/>
        </left>
        <right style="thin">
          <color theme="7"/>
        </right>
        <top style="thin">
          <color theme="9" tint="9.9948118533890809E-2"/>
        </top>
        <bottom style="thin">
          <color theme="9" tint="9.9948118533890809E-2"/>
        </bottom>
        <vertical/>
        <horizontal/>
      </border>
      <protection locked="1" hidden="1"/>
    </dxf>
    <dxf>
      <font>
        <b val="0"/>
        <i val="0"/>
        <strike val="0"/>
        <condense val="0"/>
        <extend val="0"/>
        <outline val="0"/>
        <shadow val="0"/>
        <u val="none"/>
        <vertAlign val="baseline"/>
        <sz val="9"/>
        <color rgb="FFB3BAC1"/>
        <name val="Arial"/>
        <family val="2"/>
        <scheme val="none"/>
      </font>
      <numFmt numFmtId="192" formatCode="_(* #,##0.00_);_(* \(#,##0.00\);_(* &quot;&quot;??_);_(@_)"/>
      <fill>
        <patternFill patternType="solid">
          <fgColor indexed="64"/>
          <bgColor theme="8"/>
        </patternFill>
      </fill>
      <alignment horizontal="center" vertical="bottom" textRotation="0" wrapText="0" indent="0" justifyLastLine="0" shrinkToFit="0" readingOrder="0"/>
      <border diagonalUp="0" diagonalDown="0">
        <left style="thin">
          <color theme="7"/>
        </left>
        <right style="thin">
          <color theme="7"/>
        </right>
        <top style="thin">
          <color theme="9" tint="9.9948118533890809E-2"/>
        </top>
        <bottom style="thin">
          <color theme="9" tint="9.9948118533890809E-2"/>
        </bottom>
        <vertical/>
        <horizontal/>
      </border>
      <protection locked="1" hidden="0"/>
    </dxf>
    <dxf>
      <font>
        <b val="0"/>
        <i val="0"/>
        <strike val="0"/>
        <condense val="0"/>
        <extend val="0"/>
        <outline val="0"/>
        <shadow val="0"/>
        <u val="none"/>
        <vertAlign val="baseline"/>
        <sz val="9"/>
        <color rgb="FFB3BAC1"/>
        <name val="Arial"/>
        <family val="2"/>
        <scheme val="none"/>
      </font>
      <numFmt numFmtId="192" formatCode="_(* #,##0.00_);_(* \(#,##0.00\);_(* &quot;&quot;??_);_(@_)"/>
      <fill>
        <patternFill patternType="solid">
          <fgColor indexed="64"/>
          <bgColor theme="8"/>
        </patternFill>
      </fill>
      <alignment horizontal="center" vertical="bottom" textRotation="0" wrapText="0" indent="0" justifyLastLine="0" shrinkToFit="0" readingOrder="0"/>
      <border diagonalUp="0" diagonalDown="0">
        <left style="thin">
          <color theme="7"/>
        </left>
        <right style="thin">
          <color theme="7"/>
        </right>
        <top style="thin">
          <color theme="9" tint="9.9948118533890809E-2"/>
        </top>
        <bottom style="thin">
          <color theme="9" tint="9.9948118533890809E-2"/>
        </bottom>
        <vertical/>
        <horizontal/>
      </border>
      <protection locked="1" hidden="0"/>
    </dxf>
    <dxf>
      <font>
        <b val="0"/>
        <i val="0"/>
        <strike val="0"/>
        <condense val="0"/>
        <extend val="0"/>
        <outline val="0"/>
        <shadow val="0"/>
        <u val="none"/>
        <vertAlign val="baseline"/>
        <sz val="9"/>
        <color rgb="FFB3BAC1"/>
        <name val="Arial"/>
        <family val="2"/>
        <scheme val="none"/>
      </font>
      <numFmt numFmtId="173" formatCode="_(* #,##0_);_(* \(#,##0\);_(* &quot;-&quot;??_);_(@_)"/>
      <fill>
        <patternFill patternType="solid">
          <fgColor indexed="64"/>
          <bgColor theme="8"/>
        </patternFill>
      </fill>
      <alignment horizontal="center" vertical="bottom" textRotation="0" wrapText="0" indent="0" justifyLastLine="0" shrinkToFit="0" readingOrder="0"/>
      <border diagonalUp="0" diagonalDown="0">
        <left style="thin">
          <color theme="7"/>
        </left>
        <right style="thin">
          <color theme="7"/>
        </right>
        <top style="thin">
          <color theme="9" tint="9.9948118533890809E-2"/>
        </top>
        <bottom style="thin">
          <color theme="9" tint="9.9948118533890809E-2"/>
        </bottom>
        <vertical/>
        <horizontal/>
      </border>
      <protection locked="1" hidden="0"/>
    </dxf>
    <dxf>
      <font>
        <b val="0"/>
        <i val="0"/>
        <strike val="0"/>
        <condense val="0"/>
        <extend val="0"/>
        <outline val="0"/>
        <shadow val="0"/>
        <u val="none"/>
        <vertAlign val="baseline"/>
        <sz val="9"/>
        <color rgb="FFB3BAC1"/>
        <name val="Arial"/>
        <family val="2"/>
        <scheme val="none"/>
      </font>
      <numFmt numFmtId="165" formatCode="_(* #,##0.000_);_(* \(#,##0.000\);_(* &quot;-&quot;??_);_(@_)"/>
      <fill>
        <patternFill patternType="solid">
          <fgColor indexed="64"/>
          <bgColor theme="8"/>
        </patternFill>
      </fill>
      <alignment horizontal="general" vertical="bottom" textRotation="0" wrapText="0" indent="0" justifyLastLine="0" shrinkToFit="0" readingOrder="0"/>
      <border diagonalUp="0" diagonalDown="0">
        <left style="thin">
          <color theme="7"/>
        </left>
        <right style="thin">
          <color theme="7"/>
        </right>
        <top style="thin">
          <color theme="9" tint="9.9948118533890809E-2"/>
        </top>
        <bottom style="thin">
          <color theme="9" tint="9.9948118533890809E-2"/>
        </bottom>
        <vertical/>
        <horizontal/>
      </border>
      <protection locked="1" hidden="0"/>
    </dxf>
    <dxf>
      <font>
        <b/>
        <i val="0"/>
        <strike val="0"/>
        <condense val="0"/>
        <extend val="0"/>
        <outline val="0"/>
        <shadow val="0"/>
        <u val="none"/>
        <vertAlign val="baseline"/>
        <sz val="9"/>
        <color rgb="FFF84960"/>
        <name val="Arial"/>
        <family val="2"/>
        <scheme val="none"/>
      </font>
      <numFmt numFmtId="0" formatCode="General"/>
      <fill>
        <patternFill patternType="solid">
          <fgColor indexed="64"/>
          <bgColor theme="8"/>
        </patternFill>
      </fill>
      <alignment horizontal="center" vertical="bottom" textRotation="0" wrapText="0" indent="0" justifyLastLine="0" shrinkToFit="0" readingOrder="0"/>
      <border diagonalUp="0" diagonalDown="0">
        <left style="thin">
          <color theme="7"/>
        </left>
        <right style="thin">
          <color theme="7"/>
        </right>
        <top style="thin">
          <color theme="9" tint="9.9948118533890809E-2"/>
        </top>
        <bottom style="thin">
          <color theme="9" tint="9.9948118533890809E-2"/>
        </bottom>
        <vertical/>
        <horizontal/>
      </border>
      <protection locked="1" hidden="0"/>
    </dxf>
    <dxf>
      <font>
        <b val="0"/>
        <i val="0"/>
        <strike val="0"/>
        <condense val="0"/>
        <extend val="0"/>
        <outline val="0"/>
        <shadow val="0"/>
        <u val="none"/>
        <vertAlign val="baseline"/>
        <sz val="9"/>
        <color rgb="FFB3BAC1"/>
        <name val="Arial"/>
        <family val="2"/>
        <scheme val="none"/>
      </font>
      <numFmt numFmtId="0" formatCode="General"/>
      <fill>
        <patternFill patternType="solid">
          <fgColor indexed="64"/>
          <bgColor theme="8"/>
        </patternFill>
      </fill>
      <alignment horizontal="center" vertical="bottom" textRotation="0" wrapText="0" indent="0" justifyLastLine="0" shrinkToFit="0" readingOrder="0"/>
      <border diagonalUp="0" diagonalDown="0">
        <left style="thin">
          <color theme="7"/>
        </left>
        <right style="thin">
          <color theme="7"/>
        </right>
        <top style="thin">
          <color theme="9" tint="9.9948118533890809E-2"/>
        </top>
        <bottom style="thin">
          <color theme="9" tint="9.9948118533890809E-2"/>
        </bottom>
        <vertical/>
        <horizontal/>
      </border>
      <protection locked="1" hidden="0"/>
    </dxf>
    <dxf>
      <font>
        <b val="0"/>
        <i val="0"/>
        <strike val="0"/>
        <condense val="0"/>
        <extend val="0"/>
        <outline val="0"/>
        <shadow val="0"/>
        <u val="none"/>
        <vertAlign val="baseline"/>
        <sz val="9"/>
        <color rgb="FFB3BAC1"/>
        <name val="Arial"/>
        <family val="2"/>
        <scheme val="none"/>
      </font>
      <numFmt numFmtId="19" formatCode="mm/dd/yy"/>
      <fill>
        <patternFill patternType="solid">
          <fgColor indexed="64"/>
          <bgColor theme="8"/>
        </patternFill>
      </fill>
      <alignment horizontal="center" vertical="bottom" textRotation="0" wrapText="0" indent="0" justifyLastLine="0" shrinkToFit="0" readingOrder="0"/>
      <border diagonalUp="0" diagonalDown="0">
        <left style="thin">
          <color theme="1"/>
        </left>
        <right style="thin">
          <color theme="7"/>
        </right>
        <top style="thin">
          <color theme="9" tint="9.9948118533890809E-2"/>
        </top>
        <bottom style="thin">
          <color theme="9" tint="9.9948118533890809E-2"/>
        </bottom>
        <vertical/>
        <horizontal/>
      </border>
      <protection locked="1" hidden="0"/>
    </dxf>
    <dxf>
      <font>
        <b val="0"/>
        <i val="0"/>
        <strike val="0"/>
        <condense val="0"/>
        <extend val="0"/>
        <outline val="0"/>
        <shadow val="0"/>
        <u val="none"/>
        <vertAlign val="baseline"/>
        <sz val="8"/>
        <color theme="2"/>
        <name val="Arial Narrow"/>
        <family val="2"/>
        <scheme val="none"/>
      </font>
      <numFmt numFmtId="0" formatCode="General"/>
      <fill>
        <patternFill patternType="solid">
          <fgColor indexed="64"/>
          <bgColor theme="9"/>
        </patternFill>
      </fill>
      <alignment horizontal="center" vertical="bottom" textRotation="0" wrapText="0" indent="0" justifyLastLine="0" shrinkToFit="0" readingOrder="0"/>
      <border diagonalUp="0" diagonalDown="0">
        <left style="thin">
          <color rgb="FF141414"/>
        </left>
        <right style="thin">
          <color auto="1"/>
        </right>
        <top style="thin">
          <color theme="2" tint="-0.89996032593768116"/>
        </top>
        <bottom/>
        <vertical/>
        <horizontal/>
      </border>
      <protection locked="1" hidden="0"/>
    </dxf>
    <dxf>
      <font>
        <color theme="8"/>
      </font>
    </dxf>
    <dxf>
      <font>
        <color theme="4"/>
      </font>
    </dxf>
    <dxf>
      <font>
        <color theme="8"/>
      </font>
    </dxf>
    <dxf>
      <font>
        <color theme="5"/>
      </font>
    </dxf>
    <dxf>
      <numFmt numFmtId="218" formatCode="_(&quot;$&quot;* #,##0.00_);_(&quot;$&quot;* \-#,##0.00\ ;_(&quot;$&quot;* &quot;-&quot;??_);_(@_)"/>
    </dxf>
    <dxf>
      <numFmt numFmtId="219" formatCode="_([$€-2]\ * #,##0.00_);_([$€-2]\ * \-#,##0.00_);_([$€-2]\ * &quot;-&quot;??_);_(@_)"/>
    </dxf>
    <dxf>
      <numFmt numFmtId="220" formatCode="_-[$£-809]* #,##0.00_-;\-[$£-809]* #,##0.00_-;_-[$£-809]* &quot;-&quot;??_-;_-@_-"/>
    </dxf>
    <dxf>
      <numFmt numFmtId="221" formatCode="_-[$¥-411]* #,##0.00_-;\-[$¥-411]* #,##0.00_-;_-[$¥-411]* &quot;-&quot;??_-;_-@_-"/>
    </dxf>
    <dxf>
      <numFmt numFmtId="222" formatCode="_([$CHF]\ * #,##0.00_);_([$CHF]\ * \-#,##0.00;_([$CHF]\ * &quot;-&quot;??_);_(@_)"/>
    </dxf>
    <dxf>
      <font>
        <color rgb="FFEC3838"/>
      </font>
    </dxf>
    <dxf>
      <numFmt numFmtId="223" formatCode="_-[$₱-3409]* #,##0.00_-;\-[$₱-3409]* #,##0.00_-;_-[$₱-3409]* &quot;-&quot;??_-;_-@_-"/>
    </dxf>
    <dxf>
      <numFmt numFmtId="224" formatCode="_-* #,##0.00\ [$₫-42A]_-;\-* #,##0.00\ [$₫-42A]_-;_-* &quot;-&quot;??\ [$₫-42A]_-;_-@_-"/>
    </dxf>
    <dxf>
      <numFmt numFmtId="225" formatCode="_-[$Rs-420]\ * #,##0.00_-;\-[$Rs-420]\ * #,##0.00_-;_-[$Rs-420]\ * &quot;-&quot;??_-;_-@_-"/>
    </dxf>
    <dxf>
      <numFmt numFmtId="226" formatCode="_([$SAR]\ * #,##0.00_);_([$SAR]\ * \(#,##0.00\);_([$SAR]\ * &quot;-&quot;??_);_(@_)"/>
    </dxf>
    <dxf>
      <font>
        <color theme="5"/>
      </font>
    </dxf>
    <dxf>
      <font>
        <color theme="0"/>
      </font>
      <fill>
        <patternFill>
          <bgColor theme="4"/>
        </patternFill>
      </fill>
    </dxf>
    <dxf>
      <font>
        <color theme="0"/>
      </font>
      <fill>
        <patternFill>
          <bgColor theme="5"/>
        </patternFill>
      </fill>
    </dxf>
    <dxf>
      <font>
        <color theme="8"/>
      </font>
    </dxf>
    <dxf>
      <font>
        <color theme="8"/>
      </font>
    </dxf>
    <dxf>
      <font>
        <color theme="4"/>
      </font>
    </dxf>
    <dxf>
      <font>
        <b/>
        <i val="0"/>
        <color theme="0"/>
      </font>
      <fill>
        <patternFill>
          <bgColor theme="5"/>
        </patternFill>
      </fill>
    </dxf>
    <dxf>
      <font>
        <color theme="5"/>
      </font>
    </dxf>
    <dxf>
      <font>
        <color theme="5"/>
      </font>
    </dxf>
    <dxf>
      <font>
        <color theme="5"/>
      </font>
    </dxf>
    <dxf>
      <font>
        <color theme="5"/>
      </font>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6"/>
      </font>
      <fill>
        <patternFill>
          <bgColor theme="6"/>
        </patternFill>
      </fill>
    </dxf>
    <dxf>
      <font>
        <color theme="3"/>
      </font>
      <fill>
        <patternFill>
          <bgColor theme="5"/>
        </patternFill>
      </fill>
    </dxf>
    <dxf>
      <font>
        <color theme="3"/>
      </font>
      <fill>
        <patternFill>
          <bgColor theme="4"/>
        </patternFill>
      </fill>
    </dxf>
    <dxf>
      <font>
        <color theme="3"/>
      </font>
      <fill>
        <patternFill>
          <bgColor theme="4"/>
        </patternFill>
      </fill>
    </dxf>
    <dxf>
      <font>
        <color theme="2"/>
      </font>
      <fill>
        <patternFill>
          <bgColor theme="6"/>
        </patternFill>
      </fill>
    </dxf>
    <dxf>
      <font>
        <color theme="3"/>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rgb="FF1E2026"/>
      </font>
    </dxf>
    <dxf>
      <font>
        <color rgb="FFF84960"/>
      </font>
    </dxf>
    <dxf>
      <font>
        <color rgb="FFD2D7DC"/>
      </font>
    </dxf>
    <dxf>
      <font>
        <color rgb="FF1E2026"/>
      </font>
    </dxf>
    <dxf>
      <font>
        <color rgb="FFF72D4A"/>
      </font>
    </dxf>
    <dxf>
      <font>
        <color rgb="FFF84960"/>
      </font>
    </dxf>
    <dxf>
      <font>
        <color theme="1" tint="0.24994659260841701"/>
      </font>
    </dxf>
    <dxf>
      <font>
        <color theme="5"/>
      </font>
    </dxf>
    <dxf>
      <border outline="0">
        <left style="thin">
          <color rgb="FF252B33"/>
        </left>
      </border>
    </dxf>
    <dxf>
      <font>
        <b val="0"/>
        <i val="0"/>
        <strike val="0"/>
        <condense val="0"/>
        <extend val="0"/>
        <outline val="0"/>
        <shadow val="0"/>
        <u val="none"/>
        <vertAlign val="baseline"/>
        <sz val="10"/>
        <color theme="2"/>
        <name val="Arial Narrow"/>
        <family val="2"/>
        <scheme val="none"/>
      </font>
      <numFmt numFmtId="14" formatCode="0.00%"/>
      <fill>
        <patternFill patternType="solid">
          <fgColor indexed="64"/>
          <bgColor theme="6"/>
        </patternFill>
      </fill>
      <alignment horizontal="left" vertical="center" textRotation="0" wrapText="0" indent="0" justifyLastLine="0" shrinkToFit="0" readingOrder="0"/>
      <border diagonalUp="0" diagonalDown="0" outline="0">
        <left style="thin">
          <color rgb="FF252B33"/>
        </left>
        <right style="thin">
          <color rgb="FF252B33"/>
        </right>
        <top style="thin">
          <color rgb="FF20252C"/>
        </top>
        <bottom style="thin">
          <color rgb="FF20252C"/>
        </bottom>
      </border>
      <protection locked="1" hidden="0"/>
    </dxf>
    <dxf>
      <font>
        <b val="0"/>
        <i val="0"/>
        <strike val="0"/>
        <condense val="0"/>
        <extend val="0"/>
        <outline val="0"/>
        <shadow val="0"/>
        <u val="none"/>
        <vertAlign val="baseline"/>
        <sz val="8"/>
        <color theme="2"/>
        <name val="Arial Narrow"/>
        <family val="2"/>
        <scheme val="none"/>
      </font>
      <numFmt numFmtId="14" formatCode="0.00%"/>
      <fill>
        <patternFill patternType="solid">
          <fgColor indexed="64"/>
          <bgColor theme="6"/>
        </patternFill>
      </fill>
      <alignment horizontal="left" vertical="center" textRotation="0" wrapText="0" indent="0" justifyLastLine="0" shrinkToFit="0" readingOrder="0"/>
      <border diagonalUp="0" diagonalDown="0" outline="0">
        <left style="thin">
          <color rgb="FF252B33"/>
        </left>
        <right style="thin">
          <color rgb="FF252B33"/>
        </right>
        <top style="thin">
          <color rgb="FF20252C"/>
        </top>
        <bottom style="thin">
          <color rgb="FF20252C"/>
        </bottom>
      </border>
    </dxf>
    <dxf>
      <font>
        <b/>
        <i val="0"/>
        <strike val="0"/>
        <condense val="0"/>
        <extend val="0"/>
        <outline val="0"/>
        <shadow val="0"/>
        <u val="none"/>
        <vertAlign val="baseline"/>
        <sz val="8"/>
        <color theme="2"/>
        <name val="Arial Narrow"/>
        <family val="2"/>
        <scheme val="none"/>
      </font>
      <numFmt numFmtId="14" formatCode="0.00%"/>
      <fill>
        <patternFill patternType="solid">
          <fgColor indexed="64"/>
          <bgColor theme="6"/>
        </patternFill>
      </fill>
      <alignment horizontal="left" vertical="center" textRotation="0" wrapText="0" indent="0" justifyLastLine="0" shrinkToFit="0" readingOrder="0"/>
      <border diagonalUp="0" diagonalDown="0" outline="0">
        <left style="thin">
          <color rgb="FF252B33"/>
        </left>
        <right style="thin">
          <color rgb="FF252B33"/>
        </right>
        <top style="thin">
          <color rgb="FF20252C"/>
        </top>
        <bottom style="thin">
          <color rgb="FF20252C"/>
        </bottom>
      </border>
    </dxf>
    <dxf>
      <font>
        <b val="0"/>
        <i val="0"/>
        <strike val="0"/>
        <condense val="0"/>
        <extend val="0"/>
        <outline val="0"/>
        <shadow val="0"/>
        <u val="none"/>
        <vertAlign val="baseline"/>
        <sz val="8"/>
        <color theme="2"/>
        <name val="Arial Narrow"/>
        <family val="2"/>
        <scheme val="none"/>
      </font>
      <numFmt numFmtId="14" formatCode="0.00%"/>
      <fill>
        <patternFill patternType="solid">
          <fgColor indexed="64"/>
          <bgColor theme="6"/>
        </patternFill>
      </fill>
      <alignment horizontal="left" vertical="center" textRotation="0" wrapText="0" indent="0" justifyLastLine="0" shrinkToFit="0" readingOrder="0"/>
      <border diagonalUp="0" diagonalDown="0" outline="0">
        <left style="thin">
          <color rgb="FF252B33"/>
        </left>
        <right style="thin">
          <color rgb="FF252B33"/>
        </right>
        <top style="thin">
          <color rgb="FF20252C"/>
        </top>
        <bottom style="thin">
          <color rgb="FF20252C"/>
        </bottom>
      </border>
    </dxf>
    <dxf>
      <font>
        <b val="0"/>
        <i val="0"/>
        <strike val="0"/>
        <condense val="0"/>
        <extend val="0"/>
        <outline val="0"/>
        <shadow val="0"/>
        <u val="none"/>
        <vertAlign val="baseline"/>
        <sz val="8"/>
        <color theme="2"/>
        <name val="Arial Narrow"/>
        <family val="2"/>
        <scheme val="none"/>
      </font>
      <numFmt numFmtId="14" formatCode="0.00%"/>
      <fill>
        <patternFill patternType="solid">
          <fgColor indexed="64"/>
          <bgColor theme="6"/>
        </patternFill>
      </fill>
      <alignment horizontal="left" vertical="center" textRotation="0" wrapText="0" indent="0" justifyLastLine="0" shrinkToFit="0" readingOrder="0"/>
      <border diagonalUp="0" diagonalDown="0" outline="0">
        <left style="thin">
          <color rgb="FF252B33"/>
        </left>
        <right style="thin">
          <color rgb="FF252B33"/>
        </right>
        <top style="thin">
          <color rgb="FF20252C"/>
        </top>
        <bottom style="thin">
          <color rgb="FF20252C"/>
        </bottom>
      </border>
    </dxf>
    <dxf>
      <font>
        <b val="0"/>
        <i val="0"/>
        <strike val="0"/>
        <condense val="0"/>
        <extend val="0"/>
        <outline val="0"/>
        <shadow val="0"/>
        <u val="none"/>
        <vertAlign val="baseline"/>
        <sz val="8"/>
        <color theme="2"/>
        <name val="Arial Narrow"/>
        <family val="2"/>
        <scheme val="none"/>
      </font>
      <numFmt numFmtId="14" formatCode="0.00%"/>
      <fill>
        <patternFill patternType="solid">
          <fgColor indexed="64"/>
          <bgColor theme="6"/>
        </patternFill>
      </fill>
      <alignment horizontal="center" vertical="center" textRotation="0" wrapText="0" indent="0" justifyLastLine="0" shrinkToFit="0" readingOrder="0"/>
      <border diagonalUp="0" diagonalDown="0" outline="0">
        <left style="thin">
          <color rgb="FF181A20"/>
        </left>
        <right style="thin">
          <color rgb="FF252B33"/>
        </right>
        <top style="thin">
          <color rgb="FF20252C"/>
        </top>
        <bottom style="thin">
          <color rgb="FF20252C"/>
        </bottom>
      </border>
    </dxf>
    <dxf>
      <font>
        <color theme="8"/>
      </font>
    </dxf>
    <dxf>
      <font>
        <color theme="4"/>
      </font>
    </dxf>
    <dxf>
      <font>
        <color theme="8"/>
      </font>
    </dxf>
    <dxf>
      <font>
        <color theme="5"/>
      </font>
    </dxf>
    <dxf>
      <font>
        <color theme="8"/>
      </font>
    </dxf>
    <dxf>
      <font>
        <color theme="4"/>
      </font>
    </dxf>
    <dxf>
      <font>
        <color theme="8"/>
      </font>
    </dxf>
    <dxf>
      <font>
        <color theme="5"/>
      </font>
    </dxf>
    <dxf>
      <font>
        <color rgb="FFF84960"/>
      </font>
    </dxf>
    <dxf>
      <font>
        <color theme="5"/>
      </font>
    </dxf>
    <dxf>
      <font>
        <color theme="5"/>
      </font>
    </dxf>
    <dxf>
      <font>
        <color theme="1" tint="0.14996795556505021"/>
      </font>
    </dxf>
    <dxf>
      <font>
        <color theme="5"/>
      </font>
    </dxf>
    <dxf>
      <font>
        <color rgb="FFF84960"/>
      </font>
    </dxf>
    <dxf>
      <font>
        <color rgb="FFF84960"/>
      </font>
    </dxf>
    <dxf>
      <font>
        <color rgb="FFF84960"/>
      </font>
    </dxf>
    <dxf>
      <font>
        <color theme="5"/>
      </font>
    </dxf>
    <dxf>
      <font>
        <color rgb="FFF84960"/>
      </font>
    </dxf>
    <dxf>
      <font>
        <color theme="4"/>
      </font>
    </dxf>
    <dxf>
      <font>
        <color theme="5"/>
      </font>
    </dxf>
    <dxf>
      <font>
        <color theme="4"/>
      </font>
    </dxf>
    <dxf>
      <font>
        <color theme="5"/>
      </font>
    </dxf>
    <dxf>
      <font>
        <color rgb="FFF84960"/>
      </font>
    </dxf>
    <dxf>
      <font>
        <color rgb="FF2B3139"/>
      </font>
    </dxf>
    <dxf>
      <font>
        <color theme="4"/>
      </font>
    </dxf>
    <dxf>
      <font>
        <color theme="5"/>
      </font>
    </dxf>
    <dxf>
      <font>
        <color theme="0"/>
      </font>
      <fill>
        <patternFill>
          <bgColor theme="5"/>
        </patternFill>
      </fill>
    </dxf>
    <dxf>
      <font>
        <color theme="8"/>
      </font>
    </dxf>
    <dxf>
      <font>
        <color theme="0"/>
      </font>
      <fill>
        <patternFill>
          <bgColor rgb="FFF84960"/>
        </patternFill>
      </fill>
    </dxf>
    <dxf>
      <font>
        <color theme="0"/>
      </font>
      <fill>
        <patternFill>
          <bgColor rgb="FFF84960"/>
        </patternFill>
      </fill>
    </dxf>
    <dxf>
      <font>
        <color rgb="FF67737F"/>
      </font>
    </dxf>
    <dxf>
      <font>
        <color rgb="FFF84960"/>
      </font>
    </dxf>
    <dxf>
      <font>
        <color theme="0"/>
      </font>
      <fill>
        <patternFill>
          <bgColor rgb="FFF84960"/>
        </patternFill>
      </fill>
    </dxf>
    <dxf>
      <font>
        <color theme="0"/>
      </font>
      <fill>
        <patternFill>
          <bgColor rgb="FFF84960"/>
        </patternFill>
      </fill>
    </dxf>
    <dxf>
      <font>
        <color rgb="FFF84960"/>
      </font>
    </dxf>
    <dxf>
      <font>
        <color rgb="FF9C0006"/>
      </font>
      <fill>
        <patternFill patternType="none">
          <bgColor auto="1"/>
        </patternFill>
      </fill>
    </dxf>
    <dxf>
      <font>
        <b/>
        <color theme="1"/>
      </font>
      <border>
        <bottom style="thin">
          <color theme="4"/>
        </bottom>
        <vertical/>
        <horizontal/>
      </border>
    </dxf>
    <dxf>
      <font>
        <color theme="2"/>
      </font>
      <fill>
        <patternFill>
          <bgColor theme="8"/>
        </patternFill>
      </fill>
      <border diagonalUp="0" diagonalDown="0">
        <left/>
        <right/>
        <top/>
        <bottom/>
        <vertical/>
        <horizontal/>
      </border>
    </dxf>
    <dxf>
      <font>
        <b/>
        <color theme="1"/>
      </font>
      <border>
        <bottom style="thin">
          <color theme="4"/>
        </bottom>
        <vertical/>
        <horizontal/>
      </border>
    </dxf>
    <dxf>
      <font>
        <color theme="2"/>
      </font>
      <fill>
        <patternFill>
          <bgColor theme="9"/>
        </patternFill>
      </fill>
      <border diagonalUp="0" diagonalDown="0">
        <left/>
        <right/>
        <top/>
        <bottom/>
        <vertical/>
        <horizontal/>
      </border>
    </dxf>
  </dxfs>
  <tableStyles count="2" defaultTableStyle="TableStyleMedium9" defaultPivotStyle="PivotStyleLight16">
    <tableStyle name="SlicerStyleLight1 2" pivot="0" table="0" count="10" xr9:uid="{F1AEF0F2-29D7-441B-A3A5-82EC9B1578C0}">
      <tableStyleElement type="wholeTable" dxfId="238"/>
      <tableStyleElement type="headerRow" dxfId="237"/>
    </tableStyle>
    <tableStyle name="SlicerStyleLight1 2 2" pivot="0" table="0" count="10" xr9:uid="{2ADECEC3-713A-48C7-821A-7248908327E4}">
      <tableStyleElement type="wholeTable" dxfId="236"/>
      <tableStyleElement type="headerRow" dxfId="235"/>
    </tableStyle>
  </tableStyles>
  <colors>
    <mruColors>
      <color rgb="FF80CCDB"/>
      <color rgb="FF173630"/>
      <color rgb="FF3C242C"/>
      <color rgb="FF1B1D23"/>
      <color rgb="FF181A20"/>
      <color rgb="FF0F1013"/>
      <color rgb="FFB3BAC1"/>
      <color rgb="FFF84960"/>
      <color rgb="FFD2D7DC"/>
      <color rgb="FF2B3139"/>
    </mruColors>
  </color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1"/>
          </font>
          <fill>
            <patternFill>
              <bgColor theme="4" tint="0.79998168889431442"/>
            </patternFill>
          </fill>
          <border diagonalUp="0" diagonalDown="0">
            <left/>
            <right/>
            <top/>
            <bottom/>
            <vertical/>
            <horizontal/>
          </border>
        </dxf>
        <dxf>
          <font>
            <color rgb="FF000000"/>
          </font>
          <fill>
            <patternFill patternType="solid">
              <fgColor auto="1"/>
              <bgColor theme="4" tint="0.79998168889431442"/>
            </patternFill>
          </fill>
          <border diagonalUp="0" diagonalDown="0">
            <left style="thin">
              <color theme="2"/>
            </left>
            <right style="thin">
              <color theme="2"/>
            </right>
            <top style="thin">
              <color theme="2"/>
            </top>
            <bottom style="thin">
              <color theme="2"/>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theme="3"/>
          </font>
          <fill>
            <patternFill patternType="solid">
              <fgColor theme="4" tint="0.59999389629810485"/>
              <bgColor theme="6"/>
            </patternFill>
          </fill>
          <border>
            <left style="thin">
              <color theme="3"/>
            </left>
            <right style="thin">
              <color theme="3"/>
            </right>
            <top style="thin">
              <color theme="3"/>
            </top>
            <bottom style="thin">
              <color theme="3"/>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theme="1" tint="0.499984740745262"/>
          </font>
          <fill>
            <patternFill patternType="solid">
              <fgColor rgb="FFFFFFFF"/>
              <bgColor theme="8"/>
            </patternFill>
          </fill>
          <border>
            <left style="thin">
              <color theme="6"/>
            </left>
            <right style="thin">
              <color theme="6"/>
            </right>
            <top style="thin">
              <color theme="6"/>
            </top>
            <bottom style="thin">
              <color theme="6"/>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1"/>
          </font>
          <fill>
            <patternFill>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theme="3"/>
          </font>
          <fill>
            <patternFill patternType="solid">
              <fgColor theme="4" tint="0.59999389629810485"/>
              <bgColor theme="6"/>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theme="2"/>
          </font>
          <fill>
            <patternFill patternType="solid">
              <fgColor rgb="FFFFFFFF"/>
              <bgColor theme="8"/>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phisix-api.appspot.com/phisix-stocks'">
  <Schema ID="Schema1" Namespace="http://phisix-api.appspot.com/phisix-stocks">
    <xsd:schema xmlns:xsd="http://www.w3.org/2001/XMLSchema" xmlns:ns0="http://phisix-api.appspot.com/phisix-stocks" xmlns="" targetNamespace="http://phisix-api.appspot.com/phisix-stocks">
      <xsd:element nillable="true" name="stocks">
        <xsd:complexType>
          <xsd:sequence minOccurs="0">
            <xsd:element minOccurs="0" maxOccurs="unbounded" nillable="true" name="stock" form="qualified">
              <xsd:complexType>
                <xsd:sequence minOccurs="0">
                  <xsd:element minOccurs="0" nillable="true" type="xsd:string" name="name" form="qualified"/>
                  <xsd:element minOccurs="0" nillable="true" name="price" form="qualified">
                    <xsd:complexType>
                      <xsd:sequence minOccurs="0">
                        <xsd:element minOccurs="0" nillable="true" type="xsd:string" name="currency" form="qualified"/>
                        <xsd:element minOccurs="0" nillable="true" type="xsd:double" name="amount" form="qualified"/>
                      </xsd:sequence>
                    </xsd:complexType>
                  </xsd:element>
                  <xsd:element minOccurs="0" nillable="true" type="xsd:double" name="percent_change" form="qualified"/>
                  <xsd:element minOccurs="0" nillable="true" type="xsd:integer" name="volume" form="qualified"/>
                </xsd:sequence>
                <xsd:attribute name="symbol" form="unqualified" type="xsd:string"/>
              </xsd:complexType>
            </xsd:element>
          </xsd:sequence>
          <xsd:attribute name="as_of" form="unqualified" type="xsd:dateTime"/>
        </xsd:complexType>
      </xsd:element>
    </xsd:schema>
  </Schema>
  <Map ID="1" Name="stocks_Map" RootElement="stocks"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xmlMaps" Target="xmlMap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880098496883263E-2"/>
          <c:y val="5.9056767437285509E-2"/>
          <c:w val="0.9579044619422572"/>
          <c:h val="0.93998864525632564"/>
        </c:manualLayout>
      </c:layout>
      <c:doughnutChart>
        <c:varyColors val="1"/>
        <c:dLbls>
          <c:showLegendKey val="0"/>
          <c:showVal val="0"/>
          <c:showCatName val="0"/>
          <c:showSerName val="0"/>
          <c:showPercent val="0"/>
          <c:showBubbleSize val="0"/>
          <c:showLeaderLines val="0"/>
        </c:dLbls>
        <c:firstSliceAng val="0"/>
        <c:holeSize val="6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217346"/>
            </a:solidFill>
            <a:ln w="19050">
              <a:solidFill>
                <a:srgbClr val="1E1E1E"/>
              </a:solidFill>
            </a:ln>
            <a:effectLst/>
          </c:spPr>
          <c:invertIfNegative val="0"/>
          <c:dPt>
            <c:idx val="0"/>
            <c:invertIfNegative val="0"/>
            <c:bubble3D val="0"/>
            <c:spPr>
              <a:solidFill>
                <a:srgbClr val="02C076"/>
              </a:solidFill>
              <a:ln w="19050">
                <a:solidFill>
                  <a:srgbClr val="1E1E1E"/>
                </a:solidFill>
              </a:ln>
              <a:effectLst/>
            </c:spPr>
            <c:extLst>
              <c:ext xmlns:c16="http://schemas.microsoft.com/office/drawing/2014/chart" uri="{C3380CC4-5D6E-409C-BE32-E72D297353CC}">
                <c16:uniqueId val="{00000001-1E63-42CC-81CE-51635C450962}"/>
              </c:ext>
            </c:extLst>
          </c:dPt>
          <c:dLbls>
            <c:delete val="1"/>
          </c:dLbls>
          <c:val>
            <c:numRef>
              <c:f>'Stock Position'!$Y$3</c:f>
              <c:numCache>
                <c:formatCode>General</c:formatCode>
                <c:ptCount val="1"/>
                <c:pt idx="0">
                  <c:v>56981.900049999982</c:v>
                </c:pt>
              </c:numCache>
            </c:numRef>
          </c:val>
          <c:extLst>
            <c:ext xmlns:c16="http://schemas.microsoft.com/office/drawing/2014/chart" uri="{C3380CC4-5D6E-409C-BE32-E72D297353CC}">
              <c16:uniqueId val="{00000002-1E63-42CC-81CE-51635C450962}"/>
            </c:ext>
          </c:extLst>
        </c:ser>
        <c:ser>
          <c:idx val="1"/>
          <c:order val="1"/>
          <c:spPr>
            <a:solidFill>
              <a:srgbClr val="F84960"/>
            </a:solidFill>
            <a:ln w="28575">
              <a:solidFill>
                <a:srgbClr val="1E1E1E"/>
              </a:solidFill>
            </a:ln>
            <a:effectLst>
              <a:glow rad="647700">
                <a:srgbClr val="FFFAEB"/>
              </a:glow>
              <a:outerShdw blurRad="50800" dist="38100" dir="2700000" algn="tl" rotWithShape="0">
                <a:prstClr val="black">
                  <a:alpha val="40000"/>
                </a:prstClr>
              </a:outerShdw>
            </a:effectLst>
          </c:spPr>
          <c:invertIfNegative val="0"/>
          <c:dPt>
            <c:idx val="0"/>
            <c:invertIfNegative val="0"/>
            <c:bubble3D val="0"/>
            <c:extLst>
              <c:ext xmlns:c16="http://schemas.microsoft.com/office/drawing/2014/chart" uri="{C3380CC4-5D6E-409C-BE32-E72D297353CC}">
                <c16:uniqueId val="{00000003-1E63-42CC-81CE-51635C450962}"/>
              </c:ext>
            </c:extLst>
          </c:dPt>
          <c:dLbls>
            <c:delete val="1"/>
          </c:dLbls>
          <c:val>
            <c:numRef>
              <c:f>'Stock Position'!$X$3</c:f>
              <c:numCache>
                <c:formatCode>General</c:formatCode>
                <c:ptCount val="1"/>
                <c:pt idx="0">
                  <c:v>12495.365200000015</c:v>
                </c:pt>
              </c:numCache>
            </c:numRef>
          </c:val>
          <c:extLst>
            <c:ext xmlns:c16="http://schemas.microsoft.com/office/drawing/2014/chart" uri="{C3380CC4-5D6E-409C-BE32-E72D297353CC}">
              <c16:uniqueId val="{00000004-1E63-42CC-81CE-51635C450962}"/>
            </c:ext>
          </c:extLst>
        </c:ser>
        <c:dLbls>
          <c:dLblPos val="ctr"/>
          <c:showLegendKey val="0"/>
          <c:showVal val="1"/>
          <c:showCatName val="0"/>
          <c:showSerName val="0"/>
          <c:showPercent val="0"/>
          <c:showBubbleSize val="0"/>
        </c:dLbls>
        <c:gapWidth val="0"/>
        <c:overlap val="100"/>
        <c:axId val="218186240"/>
        <c:axId val="217293376"/>
      </c:barChart>
      <c:catAx>
        <c:axId val="218186240"/>
        <c:scaling>
          <c:orientation val="minMax"/>
        </c:scaling>
        <c:delete val="1"/>
        <c:axPos val="l"/>
        <c:majorGridlines>
          <c:spPr>
            <a:ln w="9525" cap="flat" cmpd="sng" algn="ctr">
              <a:noFill/>
              <a:round/>
            </a:ln>
            <a:effectLst/>
          </c:spPr>
        </c:majorGridlines>
        <c:majorTickMark val="none"/>
        <c:minorTickMark val="none"/>
        <c:tickLblPos val="nextTo"/>
        <c:crossAx val="217293376"/>
        <c:crosses val="autoZero"/>
        <c:auto val="1"/>
        <c:lblAlgn val="ctr"/>
        <c:lblOffset val="100"/>
        <c:noMultiLvlLbl val="0"/>
      </c:catAx>
      <c:valAx>
        <c:axId val="217293376"/>
        <c:scaling>
          <c:orientation val="minMax"/>
          <c:max val="1"/>
        </c:scaling>
        <c:delete val="1"/>
        <c:axPos val="b"/>
        <c:numFmt formatCode="0%" sourceLinked="0"/>
        <c:majorTickMark val="none"/>
        <c:minorTickMark val="none"/>
        <c:tickLblPos val="high"/>
        <c:crossAx val="218186240"/>
        <c:crosses val="autoZero"/>
        <c:crossBetween val="between"/>
        <c:majorUnit val="0.5"/>
      </c:valAx>
      <c:spPr>
        <a:noFill/>
        <a:ln>
          <a:no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64346055103772"/>
          <c:y val="0.41047669623335764"/>
          <c:w val="0.60638067782510796"/>
          <c:h val="0.47951643795438792"/>
        </c:manualLayout>
      </c:layout>
      <c:barChart>
        <c:barDir val="col"/>
        <c:grouping val="percentStacked"/>
        <c:varyColors val="0"/>
        <c:ser>
          <c:idx val="0"/>
          <c:order val="0"/>
          <c:tx>
            <c:v>&lt; Breakeven%</c:v>
          </c:tx>
          <c:spPr>
            <a:gradFill>
              <a:gsLst>
                <a:gs pos="50000">
                  <a:schemeClr val="accent2"/>
                </a:gs>
                <a:gs pos="100000">
                  <a:schemeClr val="accent2">
                    <a:alpha val="50000"/>
                  </a:schemeClr>
                </a:gs>
              </a:gsLst>
              <a:lin ang="5400000" scaled="1"/>
            </a:gradFill>
            <a:ln w="12700">
              <a:noFill/>
            </a:ln>
            <a:effectLst/>
          </c:spPr>
          <c:invertIfNegative val="0"/>
          <c:cat>
            <c:strRef>
              <c:f>'Trade Review'!$AN$5:$AN$6</c:f>
              <c:strCache>
                <c:ptCount val="2"/>
                <c:pt idx="0">
                  <c:v>All trades</c:v>
                </c:pt>
                <c:pt idx="1">
                  <c:v>      Last 50 Trades </c:v>
                </c:pt>
              </c:strCache>
            </c:strRef>
          </c:cat>
          <c:val>
            <c:numRef>
              <c:f>'Trade Review'!$AQ$5:$AQ$6</c:f>
              <c:numCache>
                <c:formatCode>0%</c:formatCode>
                <c:ptCount val="2"/>
                <c:pt idx="0">
                  <c:v>0.14200708495303899</c:v>
                </c:pt>
                <c:pt idx="1">
                  <c:v>0.14200708495303899</c:v>
                </c:pt>
              </c:numCache>
            </c:numRef>
          </c:val>
          <c:extLst>
            <c:ext xmlns:c16="http://schemas.microsoft.com/office/drawing/2014/chart" uri="{C3380CC4-5D6E-409C-BE32-E72D297353CC}">
              <c16:uniqueId val="{00000000-866A-4FA9-A7D2-9412F163EB87}"/>
            </c:ext>
          </c:extLst>
        </c:ser>
        <c:ser>
          <c:idx val="1"/>
          <c:order val="1"/>
          <c:tx>
            <c:v>&gt; Breakeven%</c:v>
          </c:tx>
          <c:spPr>
            <a:solidFill>
              <a:schemeClr val="accent3"/>
            </a:solidFill>
            <a:ln w="12700">
              <a:noFill/>
            </a:ln>
            <a:effectLst/>
          </c:spPr>
          <c:invertIfNegative val="0"/>
          <c:cat>
            <c:strRef>
              <c:f>'Trade Review'!$AN$5:$AN$6</c:f>
              <c:strCache>
                <c:ptCount val="2"/>
                <c:pt idx="0">
                  <c:v>All trades</c:v>
                </c:pt>
                <c:pt idx="1">
                  <c:v>      Last 50 Trades </c:v>
                </c:pt>
              </c:strCache>
            </c:strRef>
          </c:cat>
          <c:val>
            <c:numRef>
              <c:f>'Trade Review'!$AS$5:$AS$6</c:f>
              <c:numCache>
                <c:formatCode>0%</c:formatCode>
                <c:ptCount val="2"/>
                <c:pt idx="0">
                  <c:v>0.85799291504696096</c:v>
                </c:pt>
                <c:pt idx="1">
                  <c:v>0.85799291504696096</c:v>
                </c:pt>
              </c:numCache>
            </c:numRef>
          </c:val>
          <c:extLst>
            <c:ext xmlns:c16="http://schemas.microsoft.com/office/drawing/2014/chart" uri="{C3380CC4-5D6E-409C-BE32-E72D297353CC}">
              <c16:uniqueId val="{00000002-866A-4FA9-A7D2-9412F163EB87}"/>
            </c:ext>
          </c:extLst>
        </c:ser>
        <c:dLbls>
          <c:showLegendKey val="0"/>
          <c:showVal val="0"/>
          <c:showCatName val="0"/>
          <c:showSerName val="0"/>
          <c:showPercent val="0"/>
          <c:showBubbleSize val="0"/>
        </c:dLbls>
        <c:gapWidth val="40"/>
        <c:overlap val="100"/>
        <c:axId val="209899008"/>
        <c:axId val="210238784"/>
      </c:barChart>
      <c:lineChart>
        <c:grouping val="stacked"/>
        <c:varyColors val="0"/>
        <c:ser>
          <c:idx val="2"/>
          <c:order val="2"/>
          <c:tx>
            <c:v>Win rate%</c:v>
          </c:tx>
          <c:spPr>
            <a:ln w="28575" cap="rnd">
              <a:noFill/>
              <a:round/>
            </a:ln>
            <a:effectLst/>
          </c:spPr>
          <c:marker>
            <c:symbol val="dash"/>
            <c:size val="8"/>
            <c:spPr>
              <a:solidFill>
                <a:srgbClr val="80CCDB"/>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E1E4E7"/>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'Trade Review'!$AR$5:$AR$6</c:f>
              <c:numCache>
                <c:formatCode>0.0%</c:formatCode>
                <c:ptCount val="2"/>
                <c:pt idx="0">
                  <c:v>0.42857142857142855</c:v>
                </c:pt>
                <c:pt idx="1">
                  <c:v>0.42857142857142855</c:v>
                </c:pt>
              </c:numCache>
            </c:numRef>
          </c:val>
          <c:smooth val="0"/>
          <c:extLst>
            <c:ext xmlns:c16="http://schemas.microsoft.com/office/drawing/2014/chart" uri="{C3380CC4-5D6E-409C-BE32-E72D297353CC}">
              <c16:uniqueId val="{00000003-866A-4FA9-A7D2-9412F163EB87}"/>
            </c:ext>
          </c:extLst>
        </c:ser>
        <c:dLbls>
          <c:showLegendKey val="0"/>
          <c:showVal val="0"/>
          <c:showCatName val="0"/>
          <c:showSerName val="0"/>
          <c:showPercent val="0"/>
          <c:showBubbleSize val="0"/>
        </c:dLbls>
        <c:marker val="1"/>
        <c:smooth val="0"/>
        <c:axId val="209899008"/>
        <c:axId val="210238784"/>
      </c:lineChart>
      <c:catAx>
        <c:axId val="209899008"/>
        <c:scaling>
          <c:orientation val="minMax"/>
        </c:scaling>
        <c:delete val="0"/>
        <c:axPos val="b"/>
        <c:numFmt formatCode="General" sourceLinked="1"/>
        <c:majorTickMark val="none"/>
        <c:minorTickMark val="none"/>
        <c:tickLblPos val="nextTo"/>
        <c:spPr>
          <a:noFill/>
          <a:ln w="9525" cap="flat" cmpd="sng" algn="ctr">
            <a:solidFill>
              <a:srgbClr val="2B3139"/>
            </a:solidFill>
            <a:round/>
          </a:ln>
          <a:effectLst/>
        </c:spPr>
        <c:txPr>
          <a:bodyPr rot="-60000000" spcFirstLastPara="1" vertOverflow="ellipsis" vert="horz" wrap="square" anchor="ctr" anchorCtr="1"/>
          <a:lstStyle/>
          <a:p>
            <a:pPr>
              <a:defRPr sz="700" b="0" i="0" u="none" strike="noStrike" kern="1200" baseline="0">
                <a:solidFill>
                  <a:srgbClr val="67737F"/>
                </a:solidFill>
                <a:latin typeface="Arial" panose="020B0604020202020204" pitchFamily="34" charset="0"/>
                <a:ea typeface="+mn-ea"/>
                <a:cs typeface="Arial" panose="020B0604020202020204" pitchFamily="34" charset="0"/>
              </a:defRPr>
            </a:pPr>
            <a:endParaRPr lang="en-US"/>
          </a:p>
        </c:txPr>
        <c:crossAx val="210238784"/>
        <c:crosses val="autoZero"/>
        <c:auto val="1"/>
        <c:lblAlgn val="ctr"/>
        <c:lblOffset val="100"/>
        <c:noMultiLvlLbl val="0"/>
      </c:catAx>
      <c:valAx>
        <c:axId val="210238784"/>
        <c:scaling>
          <c:orientation val="minMax"/>
        </c:scaling>
        <c:delete val="0"/>
        <c:axPos val="l"/>
        <c:title>
          <c:tx>
            <c:rich>
              <a:bodyPr rot="-5400000" spcFirstLastPara="1" vertOverflow="ellipsis" vert="horz" wrap="square" anchor="ctr" anchorCtr="1"/>
              <a:lstStyle/>
              <a:p>
                <a:pPr>
                  <a:defRPr sz="700" b="0" i="0" u="none" strike="noStrike" kern="1200" baseline="0">
                    <a:solidFill>
                      <a:srgbClr val="67737F"/>
                    </a:solidFill>
                    <a:latin typeface="Arial" panose="020B0604020202020204" pitchFamily="34" charset="0"/>
                    <a:ea typeface="+mn-ea"/>
                    <a:cs typeface="Arial" panose="020B0604020202020204" pitchFamily="34" charset="0"/>
                  </a:defRPr>
                </a:pPr>
                <a:r>
                  <a:rPr lang="en-US" sz="700">
                    <a:solidFill>
                      <a:srgbClr val="67737F"/>
                    </a:solidFill>
                    <a:latin typeface="Arial" panose="020B0604020202020204" pitchFamily="34" charset="0"/>
                    <a:cs typeface="Arial" panose="020B0604020202020204" pitchFamily="34" charset="0"/>
                  </a:rPr>
                  <a:t>Win rate%</a:t>
                </a:r>
              </a:p>
            </c:rich>
          </c:tx>
          <c:overlay val="0"/>
          <c:spPr>
            <a:noFill/>
            <a:ln>
              <a:noFill/>
            </a:ln>
            <a:effectLst/>
          </c:spPr>
          <c:txPr>
            <a:bodyPr rot="-5400000" spcFirstLastPara="1" vertOverflow="ellipsis" vert="horz" wrap="square" anchor="ctr" anchorCtr="1"/>
            <a:lstStyle/>
            <a:p>
              <a:pPr>
                <a:defRPr sz="700" b="0" i="0" u="none" strike="noStrike" kern="1200" baseline="0">
                  <a:solidFill>
                    <a:srgbClr val="67737F"/>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2B3139"/>
            </a:solidFill>
          </a:ln>
          <a:effectLst/>
        </c:spPr>
        <c:txPr>
          <a:bodyPr rot="-60000000" spcFirstLastPara="1" vertOverflow="ellipsis" vert="horz" wrap="square" anchor="ctr" anchorCtr="1"/>
          <a:lstStyle/>
          <a:p>
            <a:pPr>
              <a:defRPr sz="600" b="0" i="0" u="none" strike="noStrike" kern="1200" baseline="0">
                <a:solidFill>
                  <a:srgbClr val="67737F"/>
                </a:solidFill>
                <a:latin typeface="Arial" panose="020B0604020202020204" pitchFamily="34" charset="0"/>
                <a:ea typeface="+mn-ea"/>
                <a:cs typeface="Arial" panose="020B0604020202020204" pitchFamily="34" charset="0"/>
              </a:defRPr>
            </a:pPr>
            <a:endParaRPr lang="en-US"/>
          </a:p>
        </c:txPr>
        <c:crossAx val="209899008"/>
        <c:crosses val="autoZero"/>
        <c:crossBetween val="between"/>
        <c:minorUnit val="0.5"/>
      </c:valAx>
      <c:spPr>
        <a:noFill/>
        <a:ln>
          <a:noFill/>
        </a:ln>
        <a:effectLst/>
      </c:spPr>
    </c:plotArea>
    <c:legend>
      <c:legendPos val="r"/>
      <c:layout>
        <c:manualLayout>
          <c:xMode val="edge"/>
          <c:yMode val="edge"/>
          <c:x val="0.55303030303030298"/>
          <c:y val="1.5864136907407077E-2"/>
          <c:w val="0.43939393939393939"/>
          <c:h val="0.26045258812236693"/>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67737F"/>
              </a:solidFill>
              <a:latin typeface="Arial" panose="020B0604020202020204" pitchFamily="34" charset="0"/>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r>
              <a:rPr lang="en-US" sz="800">
                <a:solidFill>
                  <a:schemeClr val="bg2"/>
                </a:solidFill>
                <a:latin typeface="Arial" panose="020B0604020202020204" pitchFamily="34" charset="0"/>
                <a:cs typeface="Arial" panose="020B0604020202020204" pitchFamily="34" charset="0"/>
              </a:rPr>
              <a:t>MONTHLY</a:t>
            </a:r>
            <a:r>
              <a:rPr lang="en-US" sz="800" baseline="0">
                <a:solidFill>
                  <a:schemeClr val="bg2"/>
                </a:solidFill>
                <a:latin typeface="Arial" panose="020B0604020202020204" pitchFamily="34" charset="0"/>
                <a:cs typeface="Arial" panose="020B0604020202020204" pitchFamily="34" charset="0"/>
              </a:rPr>
              <a:t> EQUITY CURVE</a:t>
            </a:r>
            <a:endParaRPr lang="en-US" sz="800">
              <a:solidFill>
                <a:schemeClr val="bg2"/>
              </a:solidFill>
              <a:latin typeface="Arial" panose="020B0604020202020204" pitchFamily="34" charset="0"/>
              <a:cs typeface="Arial" panose="020B0604020202020204" pitchFamily="34" charset="0"/>
            </a:endParaRPr>
          </a:p>
        </c:rich>
      </c:tx>
      <c:layout>
        <c:manualLayout>
          <c:xMode val="edge"/>
          <c:yMode val="edge"/>
          <c:x val="2.3543468273912037E-2"/>
          <c:y val="1.7156507122003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endParaRPr lang="en-US"/>
        </a:p>
      </c:txPr>
    </c:title>
    <c:autoTitleDeleted val="0"/>
    <c:plotArea>
      <c:layout>
        <c:manualLayout>
          <c:layoutTarget val="inner"/>
          <c:xMode val="edge"/>
          <c:yMode val="edge"/>
          <c:x val="6.8246740909103654E-2"/>
          <c:y val="0.19785270958777212"/>
          <c:w val="0.89816670823772127"/>
          <c:h val="0.52469476609541454"/>
        </c:manualLayout>
      </c:layout>
      <c:barChart>
        <c:barDir val="col"/>
        <c:grouping val="clustered"/>
        <c:varyColors val="0"/>
        <c:ser>
          <c:idx val="1"/>
          <c:order val="1"/>
          <c:tx>
            <c:v>Volume</c:v>
          </c:tx>
          <c:spPr>
            <a:solidFill>
              <a:srgbClr val="2B3139"/>
            </a:solidFill>
            <a:ln>
              <a:noFill/>
            </a:ln>
            <a:effectLst/>
          </c:spPr>
          <c:invertIfNegative val="0"/>
          <c:cat>
            <c:numRef>
              <c:f>'Monthly Report'!$W$23:$W$47</c:f>
              <c:numCache>
                <c:formatCode>m/d/yyyy</c:formatCode>
                <c:ptCount val="25"/>
                <c:pt idx="0">
                  <c:v>43009</c:v>
                </c:pt>
                <c:pt idx="1">
                  <c:v>42979</c:v>
                </c:pt>
                <c:pt idx="2">
                  <c:v>42948</c:v>
                </c:pt>
                <c:pt idx="3">
                  <c:v>42917</c:v>
                </c:pt>
                <c:pt idx="4">
                  <c:v>42887</c:v>
                </c:pt>
                <c:pt idx="5">
                  <c:v>42856</c:v>
                </c:pt>
                <c:pt idx="6">
                  <c:v>42826</c:v>
                </c:pt>
                <c:pt idx="7">
                  <c:v>42795</c:v>
                </c:pt>
                <c:pt idx="8">
                  <c:v>42767</c:v>
                </c:pt>
                <c:pt idx="9">
                  <c:v>42736</c:v>
                </c:pt>
                <c:pt idx="10">
                  <c:v>42705</c:v>
                </c:pt>
                <c:pt idx="11" formatCode="General">
                  <c:v>42675</c:v>
                </c:pt>
                <c:pt idx="12" formatCode="General">
                  <c:v>42644</c:v>
                </c:pt>
                <c:pt idx="13" formatCode="General">
                  <c:v>42614</c:v>
                </c:pt>
                <c:pt idx="14" formatCode="General">
                  <c:v>42583</c:v>
                </c:pt>
                <c:pt idx="15" formatCode="General">
                  <c:v>42552</c:v>
                </c:pt>
                <c:pt idx="16" formatCode="General">
                  <c:v>42522</c:v>
                </c:pt>
                <c:pt idx="17" formatCode="General">
                  <c:v>42491</c:v>
                </c:pt>
                <c:pt idx="18" formatCode="General">
                  <c:v>42461</c:v>
                </c:pt>
                <c:pt idx="19" formatCode="General">
                  <c:v>42430</c:v>
                </c:pt>
                <c:pt idx="20" formatCode="General">
                  <c:v>42401</c:v>
                </c:pt>
                <c:pt idx="21" formatCode="General">
                  <c:v>42370</c:v>
                </c:pt>
                <c:pt idx="22" formatCode="General">
                  <c:v>42339</c:v>
                </c:pt>
                <c:pt idx="23" formatCode="General">
                  <c:v>42309</c:v>
                </c:pt>
                <c:pt idx="24" formatCode="General">
                  <c:v>42278</c:v>
                </c:pt>
              </c:numCache>
            </c:numRef>
          </c:cat>
          <c:val>
            <c:numRef>
              <c:f>'Monthly Report'!$Z$23:$Z$47</c:f>
              <c:numCache>
                <c:formatCode>General</c:formatCode>
                <c:ptCount val="25"/>
                <c:pt idx="0">
                  <c:v>278304</c:v>
                </c:pt>
                <c:pt idx="1">
                  <c:v>1421947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D8EB-4F86-9E88-555EAC33FACA}"/>
            </c:ext>
          </c:extLst>
        </c:ser>
        <c:dLbls>
          <c:showLegendKey val="0"/>
          <c:showVal val="0"/>
          <c:showCatName val="0"/>
          <c:showSerName val="0"/>
          <c:showPercent val="0"/>
          <c:showBubbleSize val="0"/>
        </c:dLbls>
        <c:gapWidth val="150"/>
        <c:axId val="216655872"/>
        <c:axId val="214804736"/>
      </c:barChart>
      <c:lineChart>
        <c:grouping val="standard"/>
        <c:varyColors val="0"/>
        <c:ser>
          <c:idx val="0"/>
          <c:order val="0"/>
          <c:tx>
            <c:v>Equity</c:v>
          </c:tx>
          <c:spPr>
            <a:ln w="19050" cap="rnd">
              <a:solidFill>
                <a:srgbClr val="80CCDB"/>
              </a:solidFill>
              <a:round/>
            </a:ln>
            <a:effectLst>
              <a:outerShdw blurRad="25400" dist="25400" dir="5400000" algn="ctr" rotWithShape="0">
                <a:schemeClr val="tx1"/>
              </a:outerShdw>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6D-4950-9393-AF08BA7DC538}"/>
                </c:ext>
              </c:extLst>
            </c:dLbl>
            <c:dLbl>
              <c:idx val="1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6D-4950-9393-AF08BA7DC538}"/>
                </c:ext>
              </c:extLst>
            </c:dLbl>
            <c:dLbl>
              <c:idx val="2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6D-4950-9393-AF08BA7DC538}"/>
                </c:ext>
              </c:extLst>
            </c:dLbl>
            <c:numFmt formatCode="#,###"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B3BAC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'Monthly Report'!$W$23:$W$47</c:f>
              <c:numCache>
                <c:formatCode>m/d/yyyy</c:formatCode>
                <c:ptCount val="25"/>
                <c:pt idx="0">
                  <c:v>43009</c:v>
                </c:pt>
                <c:pt idx="1">
                  <c:v>42979</c:v>
                </c:pt>
                <c:pt idx="2">
                  <c:v>42948</c:v>
                </c:pt>
                <c:pt idx="3">
                  <c:v>42917</c:v>
                </c:pt>
                <c:pt idx="4">
                  <c:v>42887</c:v>
                </c:pt>
                <c:pt idx="5">
                  <c:v>42856</c:v>
                </c:pt>
                <c:pt idx="6">
                  <c:v>42826</c:v>
                </c:pt>
                <c:pt idx="7">
                  <c:v>42795</c:v>
                </c:pt>
                <c:pt idx="8">
                  <c:v>42767</c:v>
                </c:pt>
                <c:pt idx="9">
                  <c:v>42736</c:v>
                </c:pt>
                <c:pt idx="10">
                  <c:v>42705</c:v>
                </c:pt>
                <c:pt idx="11" formatCode="General">
                  <c:v>42675</c:v>
                </c:pt>
                <c:pt idx="12" formatCode="General">
                  <c:v>42644</c:v>
                </c:pt>
                <c:pt idx="13" formatCode="General">
                  <c:v>42614</c:v>
                </c:pt>
                <c:pt idx="14" formatCode="General">
                  <c:v>42583</c:v>
                </c:pt>
                <c:pt idx="15" formatCode="General">
                  <c:v>42552</c:v>
                </c:pt>
                <c:pt idx="16" formatCode="General">
                  <c:v>42522</c:v>
                </c:pt>
                <c:pt idx="17" formatCode="General">
                  <c:v>42491</c:v>
                </c:pt>
                <c:pt idx="18" formatCode="General">
                  <c:v>42461</c:v>
                </c:pt>
                <c:pt idx="19" formatCode="General">
                  <c:v>42430</c:v>
                </c:pt>
                <c:pt idx="20" formatCode="General">
                  <c:v>42401</c:v>
                </c:pt>
                <c:pt idx="21" formatCode="General">
                  <c:v>42370</c:v>
                </c:pt>
                <c:pt idx="22" formatCode="General">
                  <c:v>42339</c:v>
                </c:pt>
                <c:pt idx="23" formatCode="General">
                  <c:v>42309</c:v>
                </c:pt>
                <c:pt idx="24" formatCode="General">
                  <c:v>42278</c:v>
                </c:pt>
              </c:numCache>
            </c:numRef>
          </c:cat>
          <c:val>
            <c:numRef>
              <c:f>'Monthly Report'!$AE$23:$AE$47</c:f>
              <c:numCache>
                <c:formatCode>_(* #,##0.00_);_(* \(#,##0.00\);_(* "-"??_);_(@_)</c:formatCode>
                <c:ptCount val="25"/>
                <c:pt idx="0">
                  <c:v>164486.53485</c:v>
                </c:pt>
                <c:pt idx="1">
                  <c:v>142474.50915</c:v>
                </c:pt>
                <c:pt idx="2">
                  <c:v>0</c:v>
                </c:pt>
                <c:pt idx="3">
                  <c:v>0</c:v>
                </c:pt>
                <c:pt idx="4">
                  <c:v>0</c:v>
                </c:pt>
                <c:pt idx="5">
                  <c:v>0</c:v>
                </c:pt>
                <c:pt idx="6">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_(* #,##0_);_(* \(#,##0\);_(* &quot;-&quot;??_);_(@_)">
                  <c:v>0</c:v>
                </c:pt>
              </c:numCache>
            </c:numRef>
          </c:val>
          <c:smooth val="0"/>
          <c:extLst>
            <c:ext xmlns:c16="http://schemas.microsoft.com/office/drawing/2014/chart" uri="{C3380CC4-5D6E-409C-BE32-E72D297353CC}">
              <c16:uniqueId val="{00000001-D8EB-4F86-9E88-555EAC33FACA}"/>
            </c:ext>
          </c:extLst>
        </c:ser>
        <c:dLbls>
          <c:showLegendKey val="0"/>
          <c:showVal val="0"/>
          <c:showCatName val="0"/>
          <c:showSerName val="0"/>
          <c:showPercent val="0"/>
          <c:showBubbleSize val="0"/>
        </c:dLbls>
        <c:marker val="1"/>
        <c:smooth val="0"/>
        <c:axId val="216654336"/>
        <c:axId val="214804160"/>
      </c:lineChart>
      <c:dateAx>
        <c:axId val="216654336"/>
        <c:scaling>
          <c:orientation val="minMax"/>
        </c:scaling>
        <c:delete val="0"/>
        <c:axPos val="b"/>
        <c:numFmt formatCode="[$-409]mmm\-yy;@" sourceLinked="0"/>
        <c:majorTickMark val="none"/>
        <c:minorTickMark val="none"/>
        <c:tickLblPos val="nextTo"/>
        <c:spPr>
          <a:noFill/>
          <a:ln w="9525" cap="flat" cmpd="sng" algn="ctr">
            <a:solidFill>
              <a:schemeClr val="accent3"/>
            </a:solidFill>
            <a:round/>
          </a:ln>
          <a:effectLst/>
        </c:spPr>
        <c:txPr>
          <a:bodyPr rot="-60000000" spcFirstLastPara="1" vertOverflow="ellipsis" vert="horz" wrap="square" anchor="ctr" anchorCtr="1"/>
          <a:lstStyle/>
          <a:p>
            <a:pPr>
              <a:defRPr sz="800" b="0" i="0" u="none" strike="noStrike" kern="1200" baseline="0">
                <a:solidFill>
                  <a:srgbClr val="67737F"/>
                </a:solidFill>
                <a:latin typeface="+mn-lt"/>
                <a:ea typeface="+mn-ea"/>
                <a:cs typeface="+mn-cs"/>
              </a:defRPr>
            </a:pPr>
            <a:endParaRPr lang="en-US"/>
          </a:p>
        </c:txPr>
        <c:crossAx val="214804160"/>
        <c:crosses val="autoZero"/>
        <c:auto val="0"/>
        <c:lblOffset val="100"/>
        <c:baseTimeUnit val="months"/>
        <c:majorUnit val="1"/>
      </c:dateAx>
      <c:valAx>
        <c:axId val="214804160"/>
        <c:scaling>
          <c:orientation val="minMax"/>
          <c:max val="180935.18833500001"/>
          <c:min val="0"/>
        </c:scaling>
        <c:delete val="0"/>
        <c:axPos val="r"/>
        <c:numFmt formatCode="&quot;&quot;" sourceLinked="0"/>
        <c:majorTickMark val="out"/>
        <c:minorTickMark val="none"/>
        <c:tickLblPos val="nextTo"/>
        <c:spPr>
          <a:solidFill>
            <a:schemeClr val="bg2">
              <a:lumMod val="10000"/>
            </a:schemeClr>
          </a:solidFill>
          <a:ln>
            <a:solidFill>
              <a:schemeClr val="accent5"/>
            </a:solidFill>
          </a:ln>
          <a:effectLst/>
        </c:spPr>
        <c:txPr>
          <a:bodyPr rot="-60000000" spcFirstLastPara="1" vertOverflow="ellipsis" vert="horz" wrap="square" anchor="ctr" anchorCtr="1"/>
          <a:lstStyle/>
          <a:p>
            <a:pPr>
              <a:defRPr sz="100" b="0" i="0" u="none" strike="noStrike" kern="1200" baseline="0">
                <a:solidFill>
                  <a:schemeClr val="bg2">
                    <a:lumMod val="10000"/>
                  </a:schemeClr>
                </a:solidFill>
                <a:latin typeface="+mn-lt"/>
                <a:ea typeface="+mn-ea"/>
                <a:cs typeface="+mn-cs"/>
              </a:defRPr>
            </a:pPr>
            <a:endParaRPr lang="en-US"/>
          </a:p>
        </c:txPr>
        <c:crossAx val="216654336"/>
        <c:crosses val="max"/>
        <c:crossBetween val="between"/>
      </c:valAx>
      <c:valAx>
        <c:axId val="214804736"/>
        <c:scaling>
          <c:orientation val="minMax"/>
        </c:scaling>
        <c:delete val="0"/>
        <c:axPos val="l"/>
        <c:numFmt formatCode="&quot;&quot;"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655872"/>
        <c:crosses val="autoZero"/>
        <c:crossBetween val="between"/>
      </c:valAx>
      <c:catAx>
        <c:axId val="216655872"/>
        <c:scaling>
          <c:orientation val="minMax"/>
        </c:scaling>
        <c:delete val="1"/>
        <c:axPos val="b"/>
        <c:numFmt formatCode="m/d/yyyy" sourceLinked="1"/>
        <c:majorTickMark val="out"/>
        <c:minorTickMark val="none"/>
        <c:tickLblPos val="nextTo"/>
        <c:crossAx val="214804736"/>
        <c:crosses val="autoZero"/>
        <c:auto val="1"/>
        <c:lblAlgn val="ctr"/>
        <c:lblOffset val="100"/>
        <c:noMultiLvlLbl val="0"/>
      </c:catAx>
      <c:spPr>
        <a:gradFill flip="none" rotWithShape="1">
          <a:gsLst>
            <a:gs pos="0">
              <a:schemeClr val="accent6">
                <a:alpha val="50000"/>
              </a:schemeClr>
            </a:gs>
            <a:gs pos="100000">
              <a:schemeClr val="accent5">
                <a:alpha val="0"/>
              </a:schemeClr>
            </a:gs>
          </a:gsLst>
          <a:lin ang="16200000" scaled="1"/>
          <a:tileRect/>
        </a:gradFill>
        <a:ln>
          <a:noFill/>
        </a:ln>
        <a:effectLst/>
      </c:spPr>
    </c:plotArea>
    <c:legend>
      <c:legendPos val="r"/>
      <c:legendEntry>
        <c:idx val="0"/>
        <c:txPr>
          <a:bodyPr rot="0" spcFirstLastPara="1" vertOverflow="ellipsis" vert="horz" wrap="square" anchor="ctr" anchorCtr="1"/>
          <a:lstStyle/>
          <a:p>
            <a:pPr>
              <a:defRPr sz="900" b="0" i="0" u="none" strike="noStrike" kern="1200" baseline="0">
                <a:solidFill>
                  <a:srgbClr val="67737F"/>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rgbClr val="67737F"/>
                </a:solidFill>
                <a:latin typeface="+mn-lt"/>
                <a:ea typeface="+mn-ea"/>
                <a:cs typeface="+mn-cs"/>
              </a:defRPr>
            </a:pPr>
            <a:endParaRPr lang="en-US"/>
          </a:p>
        </c:txPr>
      </c:legendEntry>
      <c:layout>
        <c:manualLayout>
          <c:xMode val="edge"/>
          <c:yMode val="edge"/>
          <c:x val="0.3417045127423588"/>
          <c:y val="5.7483402809942888E-3"/>
          <c:w val="0.31516112098890864"/>
          <c:h val="0.1380154467748792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67737F"/>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99368711914592E-2"/>
          <c:y val="0.14990138067061143"/>
          <c:w val="0.95134344542034088"/>
          <c:h val="0.67610865209896098"/>
        </c:manualLayout>
      </c:layout>
      <c:lineChart>
        <c:grouping val="standard"/>
        <c:varyColors val="0"/>
        <c:ser>
          <c:idx val="0"/>
          <c:order val="0"/>
          <c:tx>
            <c:v>Previous Period</c:v>
          </c:tx>
          <c:spPr>
            <a:ln w="28575" cap="rnd">
              <a:solidFill>
                <a:srgbClr val="67737F"/>
              </a:solidFill>
              <a:prstDash val="sysDot"/>
              <a:round/>
            </a:ln>
            <a:effectLst/>
          </c:spPr>
          <c:marker>
            <c:symbol val="none"/>
          </c:marker>
          <c:errBars>
            <c:errDir val="y"/>
            <c:errBarType val="both"/>
            <c:errValType val="fixedVal"/>
            <c:noEndCap val="1"/>
            <c:val val="0"/>
          </c:errBars>
          <c:cat>
            <c:numRef>
              <c:f>'Monthly Report'!$AN$23:$AN$51</c:f>
              <c:numCache>
                <c:formatCode>m/d/yyyy</c:formatCode>
                <c:ptCount val="29"/>
                <c:pt idx="0">
                  <c:v>43009</c:v>
                </c:pt>
                <c:pt idx="1">
                  <c:v>42979</c:v>
                </c:pt>
                <c:pt idx="2">
                  <c:v>42948</c:v>
                </c:pt>
                <c:pt idx="3">
                  <c:v>42917</c:v>
                </c:pt>
                <c:pt idx="4">
                  <c:v>42887</c:v>
                </c:pt>
                <c:pt idx="5">
                  <c:v>42856</c:v>
                </c:pt>
                <c:pt idx="6">
                  <c:v>42826</c:v>
                </c:pt>
                <c:pt idx="7">
                  <c:v>42795</c:v>
                </c:pt>
                <c:pt idx="8">
                  <c:v>42767</c:v>
                </c:pt>
                <c:pt idx="9">
                  <c:v>42736</c:v>
                </c:pt>
                <c:pt idx="10">
                  <c:v>42705</c:v>
                </c:pt>
                <c:pt idx="11">
                  <c:v>42675</c:v>
                </c:pt>
              </c:numCache>
            </c:numRef>
          </c:cat>
          <c:val>
            <c:numRef>
              <c:f>'Monthly Report'!$AQ$23:$AQ$51</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595-4482-8AF0-A8605A3344F6}"/>
            </c:ext>
          </c:extLst>
        </c:ser>
        <c:ser>
          <c:idx val="1"/>
          <c:order val="1"/>
          <c:tx>
            <c:v>This Period</c:v>
          </c:tx>
          <c:spPr>
            <a:ln w="19050">
              <a:solidFill>
                <a:srgbClr val="80CCDB"/>
              </a:solidFill>
            </a:ln>
          </c:spPr>
          <c:marker>
            <c:symbol val="circle"/>
            <c:size val="5"/>
            <c:spPr>
              <a:solidFill>
                <a:schemeClr val="bg2">
                  <a:lumMod val="10000"/>
                </a:schemeClr>
              </a:solidFill>
              <a:ln w="19050">
                <a:solidFill>
                  <a:srgbClr val="80CCDB"/>
                </a:solidFill>
              </a:ln>
            </c:spPr>
          </c:marker>
          <c:errBars>
            <c:errDir val="y"/>
            <c:errBarType val="both"/>
            <c:errValType val="fixedVal"/>
            <c:noEndCap val="1"/>
            <c:val val="0"/>
          </c:errBars>
          <c:cat>
            <c:numRef>
              <c:f>'Monthly Report'!$AN$23:$AN$51</c:f>
              <c:numCache>
                <c:formatCode>m/d/yyyy</c:formatCode>
                <c:ptCount val="29"/>
                <c:pt idx="0">
                  <c:v>43009</c:v>
                </c:pt>
                <c:pt idx="1">
                  <c:v>42979</c:v>
                </c:pt>
                <c:pt idx="2">
                  <c:v>42948</c:v>
                </c:pt>
                <c:pt idx="3">
                  <c:v>42917</c:v>
                </c:pt>
                <c:pt idx="4">
                  <c:v>42887</c:v>
                </c:pt>
                <c:pt idx="5">
                  <c:v>42856</c:v>
                </c:pt>
                <c:pt idx="6">
                  <c:v>42826</c:v>
                </c:pt>
                <c:pt idx="7">
                  <c:v>42795</c:v>
                </c:pt>
                <c:pt idx="8">
                  <c:v>42767</c:v>
                </c:pt>
                <c:pt idx="9">
                  <c:v>42736</c:v>
                </c:pt>
                <c:pt idx="10">
                  <c:v>42705</c:v>
                </c:pt>
                <c:pt idx="11">
                  <c:v>42675</c:v>
                </c:pt>
              </c:numCache>
            </c:numRef>
          </c:cat>
          <c:val>
            <c:numRef>
              <c:f>'Monthly Report'!$AO$23:$AO$51</c:f>
              <c:numCache>
                <c:formatCode>_(* #,##0.00_);_(* \(#,##0.00\);_(* "-"??_);_(@_)</c:formatCode>
                <c:ptCount val="29"/>
                <c:pt idx="0">
                  <c:v>2012.0256999999983</c:v>
                </c:pt>
                <c:pt idx="1">
                  <c:v>42474.509149999969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1595-4482-8AF0-A8605A3344F6}"/>
            </c:ext>
          </c:extLst>
        </c:ser>
        <c:dLbls>
          <c:showLegendKey val="0"/>
          <c:showVal val="0"/>
          <c:showCatName val="0"/>
          <c:showSerName val="0"/>
          <c:showPercent val="0"/>
          <c:showBubbleSize val="0"/>
        </c:dLbls>
        <c:smooth val="0"/>
        <c:axId val="216675840"/>
        <c:axId val="214806464"/>
      </c:lineChart>
      <c:dateAx>
        <c:axId val="216675840"/>
        <c:scaling>
          <c:orientation val="minMax"/>
        </c:scaling>
        <c:delete val="0"/>
        <c:axPos val="b"/>
        <c:numFmt formatCode="mmm" sourceLinked="0"/>
        <c:majorTickMark val="none"/>
        <c:minorTickMark val="none"/>
        <c:tickLblPos val="low"/>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800" b="0" i="0" u="none" strike="noStrike" kern="1200" baseline="0">
                <a:solidFill>
                  <a:srgbClr val="67737F"/>
                </a:solidFill>
                <a:latin typeface="+mn-lt"/>
                <a:ea typeface="+mn-ea"/>
                <a:cs typeface="+mn-cs"/>
              </a:defRPr>
            </a:pPr>
            <a:endParaRPr lang="en-US"/>
          </a:p>
        </c:txPr>
        <c:crossAx val="214806464"/>
        <c:crosses val="autoZero"/>
        <c:auto val="0"/>
        <c:lblOffset val="100"/>
        <c:baseTimeUnit val="months"/>
      </c:dateAx>
      <c:valAx>
        <c:axId val="214806464"/>
        <c:scaling>
          <c:orientation val="minMax"/>
        </c:scaling>
        <c:delete val="1"/>
        <c:axPos val="l"/>
        <c:numFmt formatCode="General" sourceLinked="1"/>
        <c:majorTickMark val="none"/>
        <c:minorTickMark val="none"/>
        <c:tickLblPos val="nextTo"/>
        <c:crossAx val="216675840"/>
        <c:crosses val="autoZero"/>
        <c:crossBetween val="between"/>
      </c:valAx>
      <c:spPr>
        <a:gradFill>
          <a:gsLst>
            <a:gs pos="0">
              <a:schemeClr val="accent6">
                <a:alpha val="50000"/>
              </a:schemeClr>
            </a:gs>
            <a:gs pos="100000">
              <a:schemeClr val="accent5">
                <a:alpha val="0"/>
              </a:schemeClr>
            </a:gs>
          </a:gsLst>
          <a:lin ang="16200000" scaled="1"/>
        </a:gradFill>
      </c:spPr>
    </c:plotArea>
    <c:legend>
      <c:legendPos val="r"/>
      <c:layout>
        <c:manualLayout>
          <c:xMode val="edge"/>
          <c:yMode val="edge"/>
          <c:x val="0.17191465405995396"/>
          <c:y val="2.3041202689900449E-3"/>
          <c:w val="0.65460676692493136"/>
          <c:h val="0.14332013232073801"/>
        </c:manualLayout>
      </c:layout>
      <c:overlay val="0"/>
      <c:txPr>
        <a:bodyPr/>
        <a:lstStyle/>
        <a:p>
          <a:pPr>
            <a:defRPr>
              <a:solidFill>
                <a:srgbClr val="67737F"/>
              </a:solidFill>
            </a:defRPr>
          </a:pPr>
          <a:endParaRPr lang="en-US"/>
        </a:p>
      </c:txPr>
    </c:legend>
    <c:plotVisOnly val="0"/>
    <c:dispBlanksAs val="gap"/>
    <c:showDLblsOverMax val="0"/>
    <c:extLst/>
  </c:chart>
  <c:spPr>
    <a:noFill/>
    <a:ln>
      <a:noFill/>
    </a:ln>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22979726097843E-2"/>
          <c:y val="0.13399574977763717"/>
          <c:w val="0.43342203362626597"/>
          <c:h val="0.7737685822916518"/>
        </c:manualLayout>
      </c:layout>
      <c:doughnutChart>
        <c:varyColors val="1"/>
        <c:ser>
          <c:idx val="0"/>
          <c:order val="0"/>
          <c:spPr>
            <a:ln>
              <a:solidFill>
                <a:schemeClr val="accent5"/>
              </a:solidFill>
            </a:ln>
          </c:spPr>
          <c:dPt>
            <c:idx val="0"/>
            <c:bubble3D val="0"/>
            <c:spPr>
              <a:solidFill>
                <a:schemeClr val="accent1"/>
              </a:solidFill>
              <a:ln w="19050">
                <a:solidFill>
                  <a:schemeClr val="accent5"/>
                </a:solidFill>
              </a:ln>
              <a:effectLst/>
            </c:spPr>
            <c:extLst>
              <c:ext xmlns:c16="http://schemas.microsoft.com/office/drawing/2014/chart" uri="{C3380CC4-5D6E-409C-BE32-E72D297353CC}">
                <c16:uniqueId val="{00000001-EEFD-4634-AAD3-4AA32A525B61}"/>
              </c:ext>
            </c:extLst>
          </c:dPt>
          <c:dPt>
            <c:idx val="1"/>
            <c:bubble3D val="0"/>
            <c:spPr>
              <a:solidFill>
                <a:schemeClr val="accent2"/>
              </a:solidFill>
              <a:ln w="19050">
                <a:solidFill>
                  <a:schemeClr val="accent5"/>
                </a:solidFill>
              </a:ln>
              <a:effectLst/>
            </c:spPr>
            <c:extLst>
              <c:ext xmlns:c16="http://schemas.microsoft.com/office/drawing/2014/chart" uri="{C3380CC4-5D6E-409C-BE32-E72D297353CC}">
                <c16:uniqueId val="{00000003-EEFD-4634-AAD3-4AA32A525B61}"/>
              </c:ext>
            </c:extLst>
          </c:dPt>
          <c:dPt>
            <c:idx val="2"/>
            <c:bubble3D val="0"/>
            <c:spPr>
              <a:solidFill>
                <a:schemeClr val="accent3"/>
              </a:solidFill>
              <a:ln w="19050">
                <a:solidFill>
                  <a:schemeClr val="accent5"/>
                </a:solidFill>
              </a:ln>
              <a:effectLst/>
            </c:spPr>
            <c:extLst>
              <c:ext xmlns:c16="http://schemas.microsoft.com/office/drawing/2014/chart" uri="{C3380CC4-5D6E-409C-BE32-E72D297353CC}">
                <c16:uniqueId val="{00000005-EEFD-4634-AAD3-4AA32A525B61}"/>
              </c:ext>
            </c:extLst>
          </c:dPt>
          <c:dLbls>
            <c:spPr>
              <a:solidFill>
                <a:srgbClr val="1B1D23">
                  <a:alpha val="40000"/>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'Stock Position'!$AO$4:$AO$6</c:f>
              <c:strCache>
                <c:ptCount val="2"/>
                <c:pt idx="0">
                  <c:v>Profitable</c:v>
                </c:pt>
                <c:pt idx="1">
                  <c:v>Non-Profitable</c:v>
                </c:pt>
              </c:strCache>
            </c:strRef>
          </c:cat>
          <c:val>
            <c:numRef>
              <c:f>'Stock Position'!$AP$4:$AP$5</c:f>
              <c:numCache>
                <c:formatCode>General</c:formatCode>
                <c:ptCount val="2"/>
                <c:pt idx="0">
                  <c:v>6</c:v>
                </c:pt>
                <c:pt idx="1">
                  <c:v>6</c:v>
                </c:pt>
              </c:numCache>
            </c:numRef>
          </c:val>
          <c:extLst>
            <c:ext xmlns:c16="http://schemas.microsoft.com/office/drawing/2014/chart" uri="{C3380CC4-5D6E-409C-BE32-E72D297353CC}">
              <c16:uniqueId val="{00000006-EEFD-4634-AAD3-4AA32A525B61}"/>
            </c:ext>
          </c:extLst>
        </c:ser>
        <c:dLbls>
          <c:showLegendKey val="0"/>
          <c:showVal val="0"/>
          <c:showCatName val="0"/>
          <c:showSerName val="0"/>
          <c:showPercent val="0"/>
          <c:showBubbleSize val="0"/>
          <c:showLeaderLines val="1"/>
        </c:dLbls>
        <c:firstSliceAng val="0"/>
        <c:holeSize val="85"/>
      </c:doughnutChart>
      <c:spPr>
        <a:noFill/>
        <a:ln>
          <a:noFill/>
        </a:ln>
        <a:effectLst/>
      </c:spPr>
    </c:plotArea>
    <c:legend>
      <c:legendPos val="b"/>
      <c:layout>
        <c:manualLayout>
          <c:xMode val="edge"/>
          <c:yMode val="edge"/>
          <c:x val="0.53814909622818929"/>
          <c:y val="0.37094777363419201"/>
          <c:w val="0.34444622781201573"/>
          <c:h val="0.299805117805770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85759730784908E-2"/>
          <c:y val="5.2443839335150053E-2"/>
          <c:w val="0.84010796647080221"/>
          <c:h val="0.66736630114306494"/>
        </c:manualLayout>
      </c:layout>
      <c:barChart>
        <c:barDir val="col"/>
        <c:grouping val="clustered"/>
        <c:varyColors val="0"/>
        <c:ser>
          <c:idx val="1"/>
          <c:order val="0"/>
          <c:tx>
            <c:v>Win Trades</c:v>
          </c:tx>
          <c:spPr>
            <a:gradFill>
              <a:gsLst>
                <a:gs pos="50000">
                  <a:schemeClr val="accent1"/>
                </a:gs>
                <a:gs pos="100000">
                  <a:schemeClr val="accent1">
                    <a:alpha val="50000"/>
                  </a:schemeClr>
                </a:gs>
              </a:gsLst>
              <a:lin ang="5400000" scaled="1"/>
            </a:gradFill>
            <a:ln w="19050">
              <a:noFill/>
            </a:ln>
            <a:effectLst/>
            <a:scene3d>
              <a:camera prst="orthographicFront"/>
              <a:lightRig rig="threePt" dir="t"/>
            </a:scene3d>
          </c:spPr>
          <c:invertIfNegative val="0"/>
          <c:dLbls>
            <c:numFmt formatCode="_(* #,##0_);_(* \(#,##0\);_(* &quot;-&quot;_);_(@_)" sourceLinked="0"/>
            <c:spPr>
              <a:noFill/>
              <a:ln>
                <a:noFill/>
              </a:ln>
              <a:effectLst/>
            </c:spPr>
            <c:txPr>
              <a:bodyPr wrap="square" lIns="38100" tIns="19050" rIns="38100" bIns="19050" anchor="ctr">
                <a:spAutoFit/>
              </a:bodyPr>
              <a:lstStyle/>
              <a:p>
                <a:pPr>
                  <a:defRPr sz="800">
                    <a:solidFill>
                      <a:schemeClr val="bg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Dashboard!$AA$45:$AA$66</c:f>
              <c:strCache>
                <c:ptCount val="22"/>
                <c:pt idx="0">
                  <c:v>20% above</c:v>
                </c:pt>
                <c:pt idx="1">
                  <c:v>18% to 20%</c:v>
                </c:pt>
                <c:pt idx="2">
                  <c:v>16% to 18%</c:v>
                </c:pt>
                <c:pt idx="3">
                  <c:v>14% to 16%</c:v>
                </c:pt>
                <c:pt idx="4">
                  <c:v>12% to 14%</c:v>
                </c:pt>
                <c:pt idx="5">
                  <c:v>10% to 12%</c:v>
                </c:pt>
                <c:pt idx="6">
                  <c:v>8% to 10%</c:v>
                </c:pt>
                <c:pt idx="7">
                  <c:v>6% to 8%</c:v>
                </c:pt>
                <c:pt idx="8">
                  <c:v>4% to 6%</c:v>
                </c:pt>
                <c:pt idx="9">
                  <c:v>2% to 4%</c:v>
                </c:pt>
                <c:pt idx="10">
                  <c:v>0% to 2%</c:v>
                </c:pt>
                <c:pt idx="11">
                  <c:v>0% to -2%</c:v>
                </c:pt>
                <c:pt idx="12">
                  <c:v>-2% to -4%</c:v>
                </c:pt>
                <c:pt idx="13">
                  <c:v>-4% to -6%</c:v>
                </c:pt>
                <c:pt idx="14">
                  <c:v>-6% to -8%</c:v>
                </c:pt>
                <c:pt idx="15">
                  <c:v>-8% to -10%</c:v>
                </c:pt>
                <c:pt idx="16">
                  <c:v>-10% to -12%</c:v>
                </c:pt>
                <c:pt idx="17">
                  <c:v>-12% to -14%</c:v>
                </c:pt>
                <c:pt idx="18">
                  <c:v>-14% to -16%</c:v>
                </c:pt>
                <c:pt idx="19">
                  <c:v>-16% to -18%</c:v>
                </c:pt>
                <c:pt idx="20">
                  <c:v>-18% to -20%</c:v>
                </c:pt>
                <c:pt idx="21">
                  <c:v>-20% below</c:v>
                </c:pt>
              </c:strCache>
            </c:strRef>
          </c:cat>
          <c:val>
            <c:numRef>
              <c:f>Dashboard!$Z$45:$Z$66</c:f>
              <c:numCache>
                <c:formatCode>General</c:formatCode>
                <c:ptCount val="22"/>
                <c:pt idx="0">
                  <c:v>4</c:v>
                </c:pt>
                <c:pt idx="1">
                  <c:v>0</c:v>
                </c:pt>
                <c:pt idx="2">
                  <c:v>0</c:v>
                </c:pt>
                <c:pt idx="3">
                  <c:v>0</c:v>
                </c:pt>
                <c:pt idx="4">
                  <c:v>1</c:v>
                </c:pt>
                <c:pt idx="5">
                  <c:v>0</c:v>
                </c:pt>
                <c:pt idx="6">
                  <c:v>1</c:v>
                </c:pt>
                <c:pt idx="7">
                  <c:v>0</c:v>
                </c:pt>
                <c:pt idx="8">
                  <c:v>0</c:v>
                </c:pt>
                <c:pt idx="9">
                  <c:v>1</c:v>
                </c:pt>
                <c:pt idx="10">
                  <c:v>2</c:v>
                </c:pt>
              </c:numCache>
            </c:numRef>
          </c:val>
          <c:extLst>
            <c:ext xmlns:c16="http://schemas.microsoft.com/office/drawing/2014/chart" uri="{C3380CC4-5D6E-409C-BE32-E72D297353CC}">
              <c16:uniqueId val="{00000000-2D7B-407E-A085-182DCA1E7E0C}"/>
            </c:ext>
          </c:extLst>
        </c:ser>
        <c:ser>
          <c:idx val="0"/>
          <c:order val="1"/>
          <c:tx>
            <c:v>Loss Trades</c:v>
          </c:tx>
          <c:spPr>
            <a:gradFill flip="none" rotWithShape="1">
              <a:gsLst>
                <a:gs pos="50000">
                  <a:schemeClr val="accent2"/>
                </a:gs>
                <a:gs pos="100000">
                  <a:schemeClr val="accent2">
                    <a:alpha val="50000"/>
                  </a:schemeClr>
                </a:gs>
              </a:gsLst>
              <a:lin ang="5400000" scaled="1"/>
              <a:tileRect/>
            </a:gradFill>
            <a:ln w="19050">
              <a:noFill/>
            </a:ln>
            <a:effectLst/>
            <a:scene3d>
              <a:camera prst="orthographicFront"/>
              <a:lightRig rig="threePt" dir="t"/>
            </a:scene3d>
          </c:spPr>
          <c:invertIfNegative val="0"/>
          <c:dLbls>
            <c:numFmt formatCode="_(* #,##0_);_(* \(#,##0\);_(* &quot;-&quot;_);_(@_)" sourceLinked="0"/>
            <c:spPr>
              <a:noFill/>
              <a:ln>
                <a:noFill/>
              </a:ln>
              <a:effectLst/>
            </c:spPr>
            <c:txPr>
              <a:bodyPr wrap="square" lIns="38100" tIns="19050" rIns="38100" bIns="19050" anchor="ctr">
                <a:spAutoFit/>
              </a:bodyPr>
              <a:lstStyle/>
              <a:p>
                <a:pPr>
                  <a:defRPr sz="800">
                    <a:solidFill>
                      <a:schemeClr val="bg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Dashboard!$AA$45:$AA$66</c:f>
              <c:strCache>
                <c:ptCount val="22"/>
                <c:pt idx="0">
                  <c:v>20% above</c:v>
                </c:pt>
                <c:pt idx="1">
                  <c:v>18% to 20%</c:v>
                </c:pt>
                <c:pt idx="2">
                  <c:v>16% to 18%</c:v>
                </c:pt>
                <c:pt idx="3">
                  <c:v>14% to 16%</c:v>
                </c:pt>
                <c:pt idx="4">
                  <c:v>12% to 14%</c:v>
                </c:pt>
                <c:pt idx="5">
                  <c:v>10% to 12%</c:v>
                </c:pt>
                <c:pt idx="6">
                  <c:v>8% to 10%</c:v>
                </c:pt>
                <c:pt idx="7">
                  <c:v>6% to 8%</c:v>
                </c:pt>
                <c:pt idx="8">
                  <c:v>4% to 6%</c:v>
                </c:pt>
                <c:pt idx="9">
                  <c:v>2% to 4%</c:v>
                </c:pt>
                <c:pt idx="10">
                  <c:v>0% to 2%</c:v>
                </c:pt>
                <c:pt idx="11">
                  <c:v>0% to -2%</c:v>
                </c:pt>
                <c:pt idx="12">
                  <c:v>-2% to -4%</c:v>
                </c:pt>
                <c:pt idx="13">
                  <c:v>-4% to -6%</c:v>
                </c:pt>
                <c:pt idx="14">
                  <c:v>-6% to -8%</c:v>
                </c:pt>
                <c:pt idx="15">
                  <c:v>-8% to -10%</c:v>
                </c:pt>
                <c:pt idx="16">
                  <c:v>-10% to -12%</c:v>
                </c:pt>
                <c:pt idx="17">
                  <c:v>-12% to -14%</c:v>
                </c:pt>
                <c:pt idx="18">
                  <c:v>-14% to -16%</c:v>
                </c:pt>
                <c:pt idx="19">
                  <c:v>-16% to -18%</c:v>
                </c:pt>
                <c:pt idx="20">
                  <c:v>-18% to -20%</c:v>
                </c:pt>
                <c:pt idx="21">
                  <c:v>-20% below</c:v>
                </c:pt>
              </c:strCache>
            </c:strRef>
          </c:cat>
          <c:val>
            <c:numRef>
              <c:f>Dashboard!$AB$45:$AB$66</c:f>
              <c:numCache>
                <c:formatCode>General</c:formatCode>
                <c:ptCount val="22"/>
                <c:pt idx="11">
                  <c:v>5</c:v>
                </c:pt>
                <c:pt idx="12">
                  <c:v>5</c:v>
                </c:pt>
                <c:pt idx="13">
                  <c:v>1</c:v>
                </c:pt>
                <c:pt idx="14">
                  <c:v>1</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2D7B-407E-A085-182DCA1E7E0C}"/>
            </c:ext>
          </c:extLst>
        </c:ser>
        <c:dLbls>
          <c:dLblPos val="outEnd"/>
          <c:showLegendKey val="0"/>
          <c:showVal val="1"/>
          <c:showCatName val="0"/>
          <c:showSerName val="0"/>
          <c:showPercent val="0"/>
          <c:showBubbleSize val="0"/>
        </c:dLbls>
        <c:gapWidth val="0"/>
        <c:overlap val="60"/>
        <c:axId val="207914496"/>
        <c:axId val="208822272"/>
      </c:barChart>
      <c:catAx>
        <c:axId val="207914496"/>
        <c:scaling>
          <c:orientation val="maxMin"/>
        </c:scaling>
        <c:delete val="0"/>
        <c:axPos val="b"/>
        <c:title>
          <c:tx>
            <c:rich>
              <a:bodyPr/>
              <a:lstStyle/>
              <a:p>
                <a:pPr>
                  <a:defRPr b="0">
                    <a:solidFill>
                      <a:schemeClr val="tx1">
                        <a:lumMod val="50000"/>
                        <a:lumOff val="50000"/>
                      </a:schemeClr>
                    </a:solidFill>
                  </a:defRPr>
                </a:pPr>
                <a:r>
                  <a:rPr lang="en-US" b="0">
                    <a:solidFill>
                      <a:schemeClr val="tx1">
                        <a:lumMod val="50000"/>
                        <a:lumOff val="50000"/>
                      </a:schemeClr>
                    </a:solidFill>
                  </a:rPr>
                  <a:t>%GAINS/LOSSES</a:t>
                </a:r>
              </a:p>
            </c:rich>
          </c:tx>
          <c:layout>
            <c:manualLayout>
              <c:xMode val="edge"/>
              <c:yMode val="edge"/>
              <c:x val="0.42115196368400526"/>
              <c:y val="0.89997498634818296"/>
            </c:manualLayout>
          </c:layout>
          <c:overlay val="0"/>
        </c:title>
        <c:numFmt formatCode="General" sourceLinked="1"/>
        <c:majorTickMark val="none"/>
        <c:minorTickMark val="none"/>
        <c:tickLblPos val="nextTo"/>
        <c:spPr>
          <a:noFill/>
          <a:ln w="9525" cap="flat" cmpd="sng" algn="ctr">
            <a:solidFill>
              <a:schemeClr val="accent3"/>
            </a:solidFill>
            <a:round/>
          </a:ln>
          <a:effectLst/>
        </c:spPr>
        <c:txPr>
          <a:bodyPr rot="-2700000" spcFirstLastPara="1" vertOverflow="ellipsis" vert="horz" wrap="square" anchor="ctr" anchorCtr="1"/>
          <a:lstStyle/>
          <a:p>
            <a:pPr>
              <a:defRPr sz="800" b="0" i="0" u="none" strike="noStrike" kern="1200" baseline="0">
                <a:solidFill>
                  <a:schemeClr val="bg2"/>
                </a:solidFill>
                <a:latin typeface="Arial Narrow" panose="020B0606020202030204" pitchFamily="34" charset="0"/>
                <a:ea typeface="+mn-ea"/>
                <a:cs typeface="Arial" panose="020B0604020202020204" pitchFamily="34" charset="0"/>
              </a:defRPr>
            </a:pPr>
            <a:endParaRPr lang="en-US"/>
          </a:p>
        </c:txPr>
        <c:crossAx val="208822272"/>
        <c:crosses val="autoZero"/>
        <c:auto val="1"/>
        <c:lblAlgn val="ctr"/>
        <c:lblOffset val="100"/>
        <c:noMultiLvlLbl val="0"/>
      </c:catAx>
      <c:valAx>
        <c:axId val="208822272"/>
        <c:scaling>
          <c:orientation val="minMax"/>
        </c:scaling>
        <c:delete val="1"/>
        <c:axPos val="r"/>
        <c:title>
          <c:tx>
            <c:rich>
              <a:bodyPr/>
              <a:lstStyle/>
              <a:p>
                <a:pPr>
                  <a:defRPr>
                    <a:solidFill>
                      <a:schemeClr val="tx1">
                        <a:lumMod val="50000"/>
                        <a:lumOff val="50000"/>
                      </a:schemeClr>
                    </a:solidFill>
                  </a:defRPr>
                </a:pPr>
                <a:r>
                  <a:rPr lang="en-US" b="0">
                    <a:solidFill>
                      <a:schemeClr val="tx1">
                        <a:lumMod val="50000"/>
                        <a:lumOff val="50000"/>
                      </a:schemeClr>
                    </a:solidFill>
                  </a:rPr>
                  <a:t>NUMBER OF TRADES</a:t>
                </a:r>
              </a:p>
            </c:rich>
          </c:tx>
          <c:layout>
            <c:manualLayout>
              <c:xMode val="edge"/>
              <c:yMode val="edge"/>
              <c:x val="2.4883091330321908E-2"/>
              <c:y val="0.17273358071620359"/>
            </c:manualLayout>
          </c:layout>
          <c:overlay val="0"/>
        </c:title>
        <c:numFmt formatCode="_(* #,##0_);_(* \(#,##0\);_(* &quot;-&quot;_);_(@_)" sourceLinked="0"/>
        <c:majorTickMark val="none"/>
        <c:minorTickMark val="none"/>
        <c:tickLblPos val="nextTo"/>
        <c:crossAx val="207914496"/>
        <c:crosses val="autoZero"/>
        <c:crossBetween val="between"/>
      </c:valAx>
      <c:spPr>
        <a:gradFill flip="none" rotWithShape="1">
          <a:gsLst>
            <a:gs pos="0">
              <a:schemeClr val="accent6">
                <a:alpha val="50000"/>
              </a:schemeClr>
            </a:gs>
            <a:gs pos="100000">
              <a:schemeClr val="accent5"/>
            </a:gs>
          </a:gsLst>
          <a:lin ang="16200000" scaled="1"/>
          <a:tileRect/>
        </a:gradFill>
        <a:ln>
          <a:noFill/>
        </a:ln>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6964609804591E-2"/>
          <c:y val="2.8060347418404762E-2"/>
          <c:w val="0.88370253189130699"/>
          <c:h val="0.65143482064741909"/>
        </c:manualLayout>
      </c:layout>
      <c:lineChart>
        <c:grouping val="standard"/>
        <c:varyColors val="0"/>
        <c:ser>
          <c:idx val="0"/>
          <c:order val="0"/>
          <c:spPr>
            <a:ln w="19050" cap="rnd" cmpd="sng" algn="ctr">
              <a:solidFill>
                <a:srgbClr val="80CCDB"/>
              </a:solidFill>
              <a:round/>
            </a:ln>
            <a:effectLst/>
          </c:spPr>
          <c:marker>
            <c:symbol val="none"/>
          </c:marker>
          <c:cat>
            <c:numRef>
              <c:f>Dashboard!$X$13:$X$25</c:f>
              <c:numCache>
                <c:formatCode>[$-409]d\-mmm;@</c:formatCode>
                <c:ptCount val="13"/>
                <c:pt idx="0">
                  <c:v>43042</c:v>
                </c:pt>
                <c:pt idx="1">
                  <c:v>43035</c:v>
                </c:pt>
                <c:pt idx="2">
                  <c:v>43028</c:v>
                </c:pt>
                <c:pt idx="3">
                  <c:v>43021</c:v>
                </c:pt>
                <c:pt idx="4">
                  <c:v>43014</c:v>
                </c:pt>
                <c:pt idx="5">
                  <c:v>43007</c:v>
                </c:pt>
                <c:pt idx="6">
                  <c:v>43000</c:v>
                </c:pt>
                <c:pt idx="7">
                  <c:v>42993</c:v>
                </c:pt>
                <c:pt idx="8">
                  <c:v>42986</c:v>
                </c:pt>
                <c:pt idx="9">
                  <c:v>42979</c:v>
                </c:pt>
                <c:pt idx="10">
                  <c:v>42972</c:v>
                </c:pt>
                <c:pt idx="11">
                  <c:v>42965</c:v>
                </c:pt>
                <c:pt idx="12">
                  <c:v>42958</c:v>
                </c:pt>
              </c:numCache>
            </c:numRef>
          </c:cat>
          <c:val>
            <c:numRef>
              <c:f>Dashboard!$AA$13:$AA$25</c:f>
              <c:numCache>
                <c:formatCode>General</c:formatCode>
                <c:ptCount val="13"/>
                <c:pt idx="0">
                  <c:v>144486.53484999997</c:v>
                </c:pt>
                <c:pt idx="1">
                  <c:v>144486.53484999997</c:v>
                </c:pt>
                <c:pt idx="2">
                  <c:v>144486.53484999997</c:v>
                </c:pt>
                <c:pt idx="3">
                  <c:v>144486.53484999997</c:v>
                </c:pt>
                <c:pt idx="4">
                  <c:v>144486.53484999997</c:v>
                </c:pt>
                <c:pt idx="5">
                  <c:v>148029.50914999997</c:v>
                </c:pt>
                <c:pt idx="6">
                  <c:v>105658.81694999998</c:v>
                </c:pt>
                <c:pt idx="7">
                  <c:v>106671.71714999998</c:v>
                </c:pt>
                <c:pt idx="8">
                  <c:v>105563.94264999998</c:v>
                </c:pt>
                <c:pt idx="9">
                  <c:v>105554.99999999999</c:v>
                </c:pt>
                <c:pt idx="10">
                  <c:v>105554.99999999999</c:v>
                </c:pt>
                <c:pt idx="11">
                  <c:v>105554.99999999999</c:v>
                </c:pt>
                <c:pt idx="12">
                  <c:v>105554.99999999999</c:v>
                </c:pt>
              </c:numCache>
            </c:numRef>
          </c:val>
          <c:smooth val="1"/>
          <c:extLst>
            <c:ext xmlns:c16="http://schemas.microsoft.com/office/drawing/2014/chart" uri="{C3380CC4-5D6E-409C-BE32-E72D297353CC}">
              <c16:uniqueId val="{00000000-4964-4E6A-A88E-E4728DB9976A}"/>
            </c:ext>
          </c:extLst>
        </c:ser>
        <c:dLbls>
          <c:showLegendKey val="0"/>
          <c:showVal val="0"/>
          <c:showCatName val="0"/>
          <c:showSerName val="0"/>
          <c:showPercent val="0"/>
          <c:showBubbleSize val="0"/>
        </c:dLbls>
        <c:smooth val="0"/>
        <c:axId val="207916544"/>
        <c:axId val="208822848"/>
      </c:lineChart>
      <c:dateAx>
        <c:axId val="207916544"/>
        <c:scaling>
          <c:orientation val="minMax"/>
        </c:scaling>
        <c:delete val="0"/>
        <c:axPos val="b"/>
        <c:numFmt formatCode="[$-409]d\-mmm;@" sourceLinked="1"/>
        <c:majorTickMark val="none"/>
        <c:minorTickMark val="none"/>
        <c:tickLblPos val="nextTo"/>
        <c:spPr>
          <a:noFill/>
          <a:ln w="9525" cap="flat" cmpd="sng" algn="ctr">
            <a:solidFill>
              <a:schemeClr val="accent3"/>
            </a:solidFill>
            <a:round/>
          </a:ln>
          <a:effectLst/>
        </c:spPr>
        <c:txPr>
          <a:bodyPr rot="-2700000" spcFirstLastPara="1" vertOverflow="ellipsis" wrap="square" anchor="ctr" anchorCtr="1"/>
          <a:lstStyle/>
          <a:p>
            <a:pPr>
              <a:defRPr sz="700" b="0" i="0" u="none" strike="noStrike" kern="1200" spc="20" baseline="0">
                <a:solidFill>
                  <a:schemeClr val="dk1">
                    <a:lumMod val="65000"/>
                    <a:lumOff val="35000"/>
                  </a:schemeClr>
                </a:solidFill>
                <a:latin typeface="+mn-lt"/>
                <a:ea typeface="+mn-ea"/>
                <a:cs typeface="+mn-cs"/>
              </a:defRPr>
            </a:pPr>
            <a:endParaRPr lang="en-US"/>
          </a:p>
        </c:txPr>
        <c:crossAx val="208822848"/>
        <c:crosses val="autoZero"/>
        <c:auto val="1"/>
        <c:lblOffset val="100"/>
        <c:baseTimeUnit val="days"/>
      </c:dateAx>
      <c:valAx>
        <c:axId val="208822848"/>
        <c:scaling>
          <c:orientation val="minMax"/>
          <c:max val="152470.39442449997"/>
          <c:min val="102388.34999999998"/>
        </c:scaling>
        <c:delete val="1"/>
        <c:axPos val="l"/>
        <c:numFmt formatCode="General" sourceLinked="1"/>
        <c:majorTickMark val="none"/>
        <c:minorTickMark val="none"/>
        <c:tickLblPos val="nextTo"/>
        <c:crossAx val="207916544"/>
        <c:crosses val="autoZero"/>
        <c:crossBetween val="between"/>
        <c:majorUnit val="2"/>
      </c:valAx>
      <c:spPr>
        <a:gradFill>
          <a:gsLst>
            <a:gs pos="0">
              <a:schemeClr val="accent6">
                <a:alpha val="50000"/>
              </a:schemeClr>
            </a:gs>
            <a:gs pos="100000">
              <a:schemeClr val="accent5"/>
            </a:gs>
          </a:gsLst>
          <a:lin ang="16200000" scaled="1"/>
        </a:grad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158542"/>
            </a:solidFill>
            <a:ln w="19050" cap="flat" cmpd="sng" algn="ctr">
              <a:solidFill>
                <a:schemeClr val="accent5"/>
              </a:solidFill>
              <a:prstDash val="solid"/>
              <a:round/>
              <a:headEnd type="none" w="med" len="med"/>
              <a:tailEnd type="none" w="med" len="med"/>
            </a:ln>
            <a:effectLst/>
          </c:spPr>
          <c:invertIfNegative val="0"/>
          <c:dPt>
            <c:idx val="0"/>
            <c:invertIfNegative val="0"/>
            <c:bubble3D val="0"/>
            <c:spPr>
              <a:solidFill>
                <a:schemeClr val="accent1"/>
              </a:solidFill>
              <a:ln w="19050"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1-7473-44DE-9466-A525118F2502}"/>
              </c:ext>
            </c:extLst>
          </c:dPt>
          <c:dLbls>
            <c:delete val="1"/>
          </c:dLbls>
          <c:val>
            <c:numRef>
              <c:f>'Stock Position'!$Y$3</c:f>
              <c:numCache>
                <c:formatCode>General</c:formatCode>
                <c:ptCount val="1"/>
                <c:pt idx="0">
                  <c:v>56981.900049999982</c:v>
                </c:pt>
              </c:numCache>
            </c:numRef>
          </c:val>
          <c:extLst>
            <c:ext xmlns:c16="http://schemas.microsoft.com/office/drawing/2014/chart" uri="{C3380CC4-5D6E-409C-BE32-E72D297353CC}">
              <c16:uniqueId val="{00000002-7473-44DE-9466-A525118F2502}"/>
            </c:ext>
          </c:extLst>
        </c:ser>
        <c:ser>
          <c:idx val="1"/>
          <c:order val="1"/>
          <c:spPr>
            <a:solidFill>
              <a:srgbClr val="C83232"/>
            </a:solidFill>
            <a:ln w="28575" cap="flat" cmpd="sng" algn="ctr">
              <a:solidFill>
                <a:schemeClr val="accent5"/>
              </a:solidFill>
              <a:prstDash val="solid"/>
              <a:round/>
              <a:headEnd type="none" w="med" len="med"/>
              <a:tailEnd type="none" w="med" len="med"/>
            </a:ln>
            <a:effectLst/>
          </c:spPr>
          <c:invertIfNegative val="0"/>
          <c:dPt>
            <c:idx val="0"/>
            <c:invertIfNegative val="0"/>
            <c:bubble3D val="0"/>
            <c:spPr>
              <a:solidFill>
                <a:srgbClr val="F84960"/>
              </a:soli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3-2C20-4087-8DF7-0F0B0247ED2E}"/>
              </c:ext>
            </c:extLst>
          </c:dPt>
          <c:dLbls>
            <c:delete val="1"/>
          </c:dLbls>
          <c:val>
            <c:numRef>
              <c:f>'Stock Position'!$X$3</c:f>
              <c:numCache>
                <c:formatCode>General</c:formatCode>
                <c:ptCount val="1"/>
                <c:pt idx="0">
                  <c:v>12495.365200000015</c:v>
                </c:pt>
              </c:numCache>
            </c:numRef>
          </c:val>
          <c:extLst>
            <c:ext xmlns:c16="http://schemas.microsoft.com/office/drawing/2014/chart" uri="{C3380CC4-5D6E-409C-BE32-E72D297353CC}">
              <c16:uniqueId val="{00000003-7473-44DE-9466-A525118F2502}"/>
            </c:ext>
          </c:extLst>
        </c:ser>
        <c:dLbls>
          <c:dLblPos val="ctr"/>
          <c:showLegendKey val="0"/>
          <c:showVal val="1"/>
          <c:showCatName val="0"/>
          <c:showSerName val="0"/>
          <c:showPercent val="0"/>
          <c:showBubbleSize val="0"/>
        </c:dLbls>
        <c:gapWidth val="0"/>
        <c:overlap val="100"/>
        <c:axId val="208966144"/>
        <c:axId val="208824576"/>
      </c:barChart>
      <c:catAx>
        <c:axId val="208966144"/>
        <c:scaling>
          <c:orientation val="minMax"/>
        </c:scaling>
        <c:delete val="1"/>
        <c:axPos val="l"/>
        <c:majorGridlines>
          <c:spPr>
            <a:ln w="9525" cap="flat" cmpd="sng" algn="ctr">
              <a:noFill/>
              <a:round/>
            </a:ln>
            <a:effectLst/>
          </c:spPr>
        </c:majorGridlines>
        <c:majorTickMark val="none"/>
        <c:minorTickMark val="none"/>
        <c:tickLblPos val="nextTo"/>
        <c:crossAx val="208824576"/>
        <c:crosses val="autoZero"/>
        <c:auto val="1"/>
        <c:lblAlgn val="ctr"/>
        <c:lblOffset val="100"/>
        <c:noMultiLvlLbl val="0"/>
      </c:catAx>
      <c:valAx>
        <c:axId val="208824576"/>
        <c:scaling>
          <c:orientation val="minMax"/>
          <c:max val="1"/>
        </c:scaling>
        <c:delete val="1"/>
        <c:axPos val="b"/>
        <c:numFmt formatCode="0%" sourceLinked="0"/>
        <c:majorTickMark val="none"/>
        <c:minorTickMark val="none"/>
        <c:tickLblPos val="high"/>
        <c:crossAx val="208966144"/>
        <c:crosses val="autoZero"/>
        <c:crossBetween val="between"/>
        <c:majorUnit val="0.5"/>
      </c:valAx>
      <c:spPr>
        <a:noFill/>
        <a:ln>
          <a:solidFill>
            <a:schemeClr val="tx1">
              <a:lumMod val="85000"/>
              <a:lumOff val="15000"/>
            </a:schemeClr>
          </a:solid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32755177699852E-2"/>
          <c:y val="4.6446298173124401E-2"/>
          <c:w val="0.91150516064174825"/>
          <c:h val="0.7170801174605651"/>
        </c:manualLayout>
      </c:layout>
      <c:lineChart>
        <c:grouping val="standard"/>
        <c:varyColors val="0"/>
        <c:ser>
          <c:idx val="0"/>
          <c:order val="0"/>
          <c:spPr>
            <a:ln w="19050" cap="rnd">
              <a:gradFill flip="none" rotWithShape="1">
                <a:gsLst>
                  <a:gs pos="30000">
                    <a:schemeClr val="accent1"/>
                  </a:gs>
                  <a:gs pos="100000">
                    <a:schemeClr val="accent2"/>
                  </a:gs>
                </a:gsLst>
                <a:lin ang="5400000" scaled="1"/>
                <a:tileRect/>
              </a:gra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80CCDB"/>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calc!$BV$16:$CO$16</c:f>
              <c:numCache>
                <c:formatCode>General</c:formatCode>
                <c:ptCount val="20"/>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numCache>
            </c:numRef>
          </c:cat>
          <c:val>
            <c:numRef>
              <c:f>calc!$BV$17:$CO$17</c:f>
              <c:numCache>
                <c:formatCode>General</c:formatCode>
                <c:ptCount val="20"/>
                <c:pt idx="0">
                  <c:v>8</c:v>
                </c:pt>
                <c:pt idx="1">
                  <c:v>8</c:v>
                </c:pt>
                <c:pt idx="2">
                  <c:v>6</c:v>
                </c:pt>
                <c:pt idx="3">
                  <c:v>6</c:v>
                </c:pt>
                <c:pt idx="4">
                  <c:v>4</c:v>
                </c:pt>
                <c:pt idx="5">
                  <c:v>4</c:v>
                </c:pt>
                <c:pt idx="6">
                  <c:v>6</c:v>
                </c:pt>
                <c:pt idx="7">
                  <c:v>6</c:v>
                </c:pt>
                <c:pt idx="8">
                  <c:v>6</c:v>
                </c:pt>
                <c:pt idx="9">
                  <c:v>6</c:v>
                </c:pt>
                <c:pt idx="10">
                  <c:v>6</c:v>
                </c:pt>
                <c:pt idx="11">
                  <c:v>8</c:v>
                </c:pt>
                <c:pt idx="12">
                  <c:v>8</c:v>
                </c:pt>
                <c:pt idx="13">
                  <c:v>8</c:v>
                </c:pt>
                <c:pt idx="14">
                  <c:v>8</c:v>
                </c:pt>
                <c:pt idx="15">
                  <c:v>8</c:v>
                </c:pt>
                <c:pt idx="16">
                  <c:v>8</c:v>
                </c:pt>
                <c:pt idx="17">
                  <c:v>10</c:v>
                </c:pt>
                <c:pt idx="18">
                  <c:v>10</c:v>
                </c:pt>
                <c:pt idx="19">
                  <c:v>10</c:v>
                </c:pt>
              </c:numCache>
            </c:numRef>
          </c:val>
          <c:smooth val="1"/>
          <c:extLst>
            <c:ext xmlns:c16="http://schemas.microsoft.com/office/drawing/2014/chart" uri="{C3380CC4-5D6E-409C-BE32-E72D297353CC}">
              <c16:uniqueId val="{00000000-BA67-42A2-862D-28589A04ABFB}"/>
            </c:ext>
          </c:extLst>
        </c:ser>
        <c:ser>
          <c:idx val="1"/>
          <c:order val="1"/>
          <c:tx>
            <c:v>base</c:v>
          </c:tx>
          <c:spPr>
            <a:ln w="12700" cap="rnd">
              <a:solidFill>
                <a:srgbClr val="F84960"/>
              </a:solidFill>
              <a:round/>
            </a:ln>
            <a:effectLst/>
          </c:spPr>
          <c:marker>
            <c:symbol val="none"/>
          </c:marker>
          <c:cat>
            <c:numRef>
              <c:f>calc!$BV$16:$CO$16</c:f>
              <c:numCache>
                <c:formatCode>General</c:formatCode>
                <c:ptCount val="20"/>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numCache>
            </c:numRef>
          </c:cat>
          <c:val>
            <c:numRef>
              <c:f>calc!$BV$15:$CO$15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BA67-42A2-862D-28589A04ABFB}"/>
            </c:ext>
          </c:extLst>
        </c:ser>
        <c:dLbls>
          <c:showLegendKey val="0"/>
          <c:showVal val="0"/>
          <c:showCatName val="0"/>
          <c:showSerName val="0"/>
          <c:showPercent val="0"/>
          <c:showBubbleSize val="0"/>
        </c:dLbls>
        <c:smooth val="0"/>
        <c:axId val="208967680"/>
        <c:axId val="208826304"/>
      </c:lineChart>
      <c:catAx>
        <c:axId val="208967680"/>
        <c:scaling>
          <c:orientation val="minMax"/>
        </c:scaling>
        <c:delete val="0"/>
        <c:axPos val="b"/>
        <c:title>
          <c:tx>
            <c:rich>
              <a:bodyPr rot="0" spcFirstLastPara="1" vertOverflow="ellipsis" vert="horz" wrap="square" anchor="ctr" anchorCtr="1"/>
              <a:lstStyle/>
              <a:p>
                <a:pPr>
                  <a:defRPr sz="900" b="0" i="0" u="none" strike="noStrike" kern="1200" baseline="0">
                    <a:solidFill>
                      <a:srgbClr val="67737F"/>
                    </a:solidFill>
                    <a:latin typeface="Arial" panose="020B0604020202020204" pitchFamily="34" charset="0"/>
                    <a:ea typeface="+mn-ea"/>
                    <a:cs typeface="Arial" panose="020B0604020202020204" pitchFamily="34" charset="0"/>
                  </a:defRPr>
                </a:pPr>
                <a:r>
                  <a:rPr lang="en-US" sz="900">
                    <a:solidFill>
                      <a:srgbClr val="67737F"/>
                    </a:solidFill>
                    <a:latin typeface="Arial" panose="020B0604020202020204" pitchFamily="34" charset="0"/>
                    <a:cs typeface="Arial" panose="020B0604020202020204" pitchFamily="34" charset="0"/>
                  </a:rPr>
                  <a:t>Last</a:t>
                </a:r>
                <a:r>
                  <a:rPr lang="en-US" sz="900" baseline="0">
                    <a:solidFill>
                      <a:srgbClr val="67737F"/>
                    </a:solidFill>
                    <a:latin typeface="Arial" panose="020B0604020202020204" pitchFamily="34" charset="0"/>
                    <a:cs typeface="Arial" panose="020B0604020202020204" pitchFamily="34" charset="0"/>
                  </a:rPr>
                  <a:t> 20 Trades</a:t>
                </a:r>
                <a:endParaRPr lang="en-US" sz="900">
                  <a:solidFill>
                    <a:srgbClr val="67737F"/>
                  </a:solidFill>
                  <a:latin typeface="Arial" panose="020B0604020202020204" pitchFamily="34" charset="0"/>
                  <a:cs typeface="Arial" panose="020B0604020202020204" pitchFamily="34" charset="0"/>
                </a:endParaRPr>
              </a:p>
            </c:rich>
          </c:tx>
          <c:layout>
            <c:manualLayout>
              <c:xMode val="edge"/>
              <c:yMode val="edge"/>
              <c:x val="0.43658746031524037"/>
              <c:y val="0.9064571976579850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67737F"/>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0" cap="flat" cmpd="sng" algn="ctr">
            <a:noFill/>
            <a:round/>
          </a:ln>
          <a:effectLst/>
        </c:spPr>
        <c:txPr>
          <a:bodyPr rot="-2700000" spcFirstLastPara="1" vertOverflow="ellipsis" wrap="square" anchor="ctr" anchorCtr="1"/>
          <a:lstStyle/>
          <a:p>
            <a:pPr>
              <a:defRPr sz="800" b="0" i="0" u="none" strike="noStrike" kern="1200" baseline="0">
                <a:solidFill>
                  <a:srgbClr val="67737F"/>
                </a:solidFill>
                <a:latin typeface="Arial Narrow" panose="020B0606020202030204" pitchFamily="34" charset="0"/>
                <a:ea typeface="+mn-ea"/>
                <a:cs typeface="+mn-cs"/>
              </a:defRPr>
            </a:pPr>
            <a:endParaRPr lang="en-US"/>
          </a:p>
        </c:txPr>
        <c:crossAx val="208826304"/>
        <c:crosses val="autoZero"/>
        <c:auto val="1"/>
        <c:lblAlgn val="ctr"/>
        <c:lblOffset val="0"/>
        <c:noMultiLvlLbl val="0"/>
      </c:catAx>
      <c:valAx>
        <c:axId val="208826304"/>
        <c:scaling>
          <c:orientation val="minMax"/>
          <c:max val="12"/>
          <c:min val="3"/>
        </c:scaling>
        <c:delete val="1"/>
        <c:axPos val="l"/>
        <c:title>
          <c:tx>
            <c:rich>
              <a:bodyPr rot="-5400000" spcFirstLastPara="1" vertOverflow="ellipsis" vert="horz" wrap="square" anchor="ctr" anchorCtr="1"/>
              <a:lstStyle/>
              <a:p>
                <a:pPr>
                  <a:defRPr sz="900" b="0" i="0" u="none" strike="noStrike" kern="1200" baseline="0">
                    <a:solidFill>
                      <a:srgbClr val="67737F"/>
                    </a:solidFill>
                    <a:latin typeface="Arial" panose="020B0604020202020204" pitchFamily="34" charset="0"/>
                    <a:ea typeface="+mn-ea"/>
                    <a:cs typeface="Arial" panose="020B0604020202020204" pitchFamily="34" charset="0"/>
                  </a:defRPr>
                </a:pPr>
                <a:r>
                  <a:rPr lang="en-US" sz="900" b="0">
                    <a:solidFill>
                      <a:srgbClr val="67737F"/>
                    </a:solidFill>
                    <a:latin typeface="Arial" panose="020B0604020202020204" pitchFamily="34" charset="0"/>
                    <a:cs typeface="Arial" panose="020B0604020202020204" pitchFamily="34" charset="0"/>
                  </a:rPr>
                  <a:t>Cumulative Evaluation Score</a:t>
                </a:r>
              </a:p>
            </c:rich>
          </c:tx>
          <c:layout>
            <c:manualLayout>
              <c:xMode val="edge"/>
              <c:yMode val="edge"/>
              <c:x val="1.4942889504496513E-2"/>
              <c:y val="0.1256541580951029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rgbClr val="67737F"/>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crossAx val="208967680"/>
        <c:crosses val="autoZero"/>
        <c:crossBetween val="between"/>
      </c:valAx>
      <c:spPr>
        <a:gradFill>
          <a:gsLst>
            <a:gs pos="0">
              <a:schemeClr val="accent6">
                <a:alpha val="50000"/>
              </a:schemeClr>
            </a:gs>
            <a:gs pos="100000">
              <a:schemeClr val="accent5"/>
            </a:gs>
          </a:gsLst>
          <a:lin ang="16200000" scaled="1"/>
        </a:grad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3519676319532"/>
          <c:y val="3.2324227627971082E-2"/>
          <c:w val="0.84389288548233798"/>
          <c:h val="0.80425746200329606"/>
        </c:manualLayout>
      </c:layout>
      <c:scatterChart>
        <c:scatterStyle val="lineMarker"/>
        <c:varyColors val="0"/>
        <c:ser>
          <c:idx val="0"/>
          <c:order val="0"/>
          <c:tx>
            <c:v>Performance</c:v>
          </c:tx>
          <c:spPr>
            <a:ln w="19050" cap="flat" cmpd="sng" algn="ctr">
              <a:solidFill>
                <a:srgbClr val="80CCDB"/>
              </a:solidFill>
              <a:prstDash val="solid"/>
              <a:round/>
            </a:ln>
            <a:effectLst/>
          </c:spPr>
          <c:marker>
            <c:symbol val="none"/>
          </c:marker>
          <c:trendline>
            <c:spPr>
              <a:ln w="9525" cap="rnd">
                <a:solidFill>
                  <a:schemeClr val="accent2"/>
                </a:solidFill>
              </a:ln>
              <a:effectLst/>
            </c:spPr>
            <c:trendlineType val="movingAvg"/>
            <c:period val="20"/>
            <c:dispRSqr val="0"/>
            <c:dispEq val="0"/>
          </c:trendline>
          <c:xVal>
            <c:strRef>
              <c:f>'Trade Log'!$BM$15:$BM$9991</c:f>
              <c:strCach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strCache>
            </c:strRef>
          </c:xVal>
          <c:yVal>
            <c:numRef>
              <c:f>'Trade Log'!$BK$15:$BK$9991</c:f>
              <c:numCache>
                <c:formatCode>General</c:formatCode>
                <c:ptCount val="9977"/>
                <c:pt idx="0">
                  <c:v>99246.962750000006</c:v>
                </c:pt>
                <c:pt idx="1">
                  <c:v>101961.57075</c:v>
                </c:pt>
                <c:pt idx="2">
                  <c:v>100876.32574999999</c:v>
                </c:pt>
                <c:pt idx="3">
                  <c:v>100744.85464999999</c:v>
                </c:pt>
                <c:pt idx="4">
                  <c:v>100008.94265</c:v>
                </c:pt>
                <c:pt idx="5">
                  <c:v>100971.1084</c:v>
                </c:pt>
                <c:pt idx="6">
                  <c:v>101330.4982</c:v>
                </c:pt>
                <c:pt idx="7">
                  <c:v>101116.71715</c:v>
                </c:pt>
                <c:pt idx="8">
                  <c:v>100103.81694999999</c:v>
                </c:pt>
                <c:pt idx="9">
                  <c:v>115171.49695</c:v>
                </c:pt>
                <c:pt idx="10">
                  <c:v>119797.26185</c:v>
                </c:pt>
                <c:pt idx="11">
                  <c:v>128535.71535</c:v>
                </c:pt>
                <c:pt idx="12">
                  <c:v>129289.71315</c:v>
                </c:pt>
                <c:pt idx="13">
                  <c:v>138379.19745000001</c:v>
                </c:pt>
                <c:pt idx="14">
                  <c:v>135189.28245</c:v>
                </c:pt>
                <c:pt idx="15">
                  <c:v>134481.00284999999</c:v>
                </c:pt>
                <c:pt idx="16">
                  <c:v>143596.35884999999</c:v>
                </c:pt>
                <c:pt idx="17">
                  <c:v>142474.50915</c:v>
                </c:pt>
                <c:pt idx="18">
                  <c:v>140388.67235000001</c:v>
                </c:pt>
                <c:pt idx="19">
                  <c:v>139834.84635000001</c:v>
                </c:pt>
                <c:pt idx="20">
                  <c:v>144486.53485</c:v>
                </c:pt>
                <c:pt idx="21">
                  <c:v>144486.53485</c:v>
                </c:pt>
                <c:pt idx="22">
                  <c:v>144486.53485</c:v>
                </c:pt>
                <c:pt idx="23">
                  <c:v>144486.53485</c:v>
                </c:pt>
                <c:pt idx="24">
                  <c:v>144486.53485</c:v>
                </c:pt>
                <c:pt idx="25">
                  <c:v>144486.53485</c:v>
                </c:pt>
                <c:pt idx="26">
                  <c:v>144486.53485</c:v>
                </c:pt>
                <c:pt idx="27">
                  <c:v>144486.53485</c:v>
                </c:pt>
                <c:pt idx="28">
                  <c:v>144486.53485</c:v>
                </c:pt>
                <c:pt idx="29">
                  <c:v>144486.53485</c:v>
                </c:pt>
                <c:pt idx="30">
                  <c:v>144486.53485</c:v>
                </c:pt>
                <c:pt idx="31">
                  <c:v>144486.53485</c:v>
                </c:pt>
                <c:pt idx="32">
                  <c:v>144486.53485</c:v>
                </c:pt>
                <c:pt idx="33">
                  <c:v>144486.53485</c:v>
                </c:pt>
                <c:pt idx="34">
                  <c:v>144486.53485</c:v>
                </c:pt>
                <c:pt idx="35">
                  <c:v>144486.53485</c:v>
                </c:pt>
                <c:pt idx="36">
                  <c:v>144486.53485</c:v>
                </c:pt>
                <c:pt idx="37">
                  <c:v>144486.53485</c:v>
                </c:pt>
                <c:pt idx="38">
                  <c:v>144486.53485</c:v>
                </c:pt>
                <c:pt idx="39">
                  <c:v>144486.53485</c:v>
                </c:pt>
                <c:pt idx="40">
                  <c:v>144486.53485</c:v>
                </c:pt>
                <c:pt idx="41">
                  <c:v>144486.53485</c:v>
                </c:pt>
                <c:pt idx="42">
                  <c:v>144486.53485</c:v>
                </c:pt>
                <c:pt idx="43">
                  <c:v>144486.53485</c:v>
                </c:pt>
                <c:pt idx="44">
                  <c:v>144486.53485</c:v>
                </c:pt>
                <c:pt idx="45">
                  <c:v>144486.53485</c:v>
                </c:pt>
                <c:pt idx="46">
                  <c:v>144486.53485</c:v>
                </c:pt>
                <c:pt idx="47">
                  <c:v>144486.53485</c:v>
                </c:pt>
                <c:pt idx="48">
                  <c:v>144486.53485</c:v>
                </c:pt>
                <c:pt idx="49">
                  <c:v>144486.53485</c:v>
                </c:pt>
              </c:numCache>
            </c:numRef>
          </c:yVal>
          <c:smooth val="0"/>
          <c:extLst>
            <c:ext xmlns:c16="http://schemas.microsoft.com/office/drawing/2014/chart" uri="{C3380CC4-5D6E-409C-BE32-E72D297353CC}">
              <c16:uniqueId val="{00000003-186E-465B-A0D7-435EF0AFA7AA}"/>
            </c:ext>
          </c:extLst>
        </c:ser>
        <c:ser>
          <c:idx val="1"/>
          <c:order val="1"/>
          <c:tx>
            <c:v>20 days MA</c:v>
          </c:tx>
          <c:spPr>
            <a:ln w="9525" cap="flat" cmpd="sng" algn="ctr">
              <a:solidFill>
                <a:schemeClr val="accent2"/>
              </a:solidFill>
              <a:prstDash val="solid"/>
              <a:round/>
            </a:ln>
            <a:effectLst/>
          </c:spPr>
          <c:marker>
            <c:symbol val="none"/>
          </c:marker>
          <c:xVal>
            <c:strRef>
              <c:f>'Trade Log'!$BM$15:$BM$9991</c:f>
              <c:strCach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strCache>
            </c:strRef>
          </c:xVal>
          <c:yVal>
            <c:numRef>
              <c:f>'Trade Log'!$BL$15:$BL$9991</c:f>
              <c:numCache>
                <c:formatCode>General</c:formatCode>
                <c:ptCount val="9977"/>
              </c:numCache>
            </c:numRef>
          </c:yVal>
          <c:smooth val="0"/>
          <c:extLst>
            <c:ext xmlns:c16="http://schemas.microsoft.com/office/drawing/2014/chart" uri="{C3380CC4-5D6E-409C-BE32-E72D297353CC}">
              <c16:uniqueId val="{00000002-186E-465B-A0D7-435EF0AFA7AA}"/>
            </c:ext>
          </c:extLst>
        </c:ser>
        <c:dLbls>
          <c:showLegendKey val="0"/>
          <c:showVal val="0"/>
          <c:showCatName val="0"/>
          <c:showSerName val="0"/>
          <c:showPercent val="0"/>
          <c:showBubbleSize val="0"/>
        </c:dLbls>
        <c:axId val="208828032"/>
        <c:axId val="208828608"/>
      </c:scatterChart>
      <c:valAx>
        <c:axId val="208828032"/>
        <c:scaling>
          <c:orientation val="minMax"/>
          <c:max val="21"/>
          <c:min val="0"/>
        </c:scaling>
        <c:delete val="0"/>
        <c:axPos val="b"/>
        <c:numFmt formatCode="&quot;&quot;" sourceLinked="0"/>
        <c:majorTickMark val="none"/>
        <c:minorTickMark val="none"/>
        <c:tickLblPos val="nextTo"/>
        <c:spPr>
          <a:noFill/>
          <a:ln w="9525" cap="rnd">
            <a:solidFill>
              <a:schemeClr val="accent3"/>
            </a:solidFill>
            <a:round/>
          </a:ln>
          <a:effectLst/>
        </c:spPr>
        <c:txPr>
          <a:bodyPr rot="-60000000" spcFirstLastPara="1" vertOverflow="ellipsis" vert="horz" wrap="square" anchor="ctr" anchorCtr="1"/>
          <a:lstStyle/>
          <a:p>
            <a:pPr>
              <a:defRPr sz="100" b="0" i="0" u="none" strike="noStrike" kern="1200" spc="0" baseline="0">
                <a:solidFill>
                  <a:schemeClr val="bg1"/>
                </a:solidFill>
                <a:latin typeface="+mn-lt"/>
                <a:ea typeface="+mn-ea"/>
                <a:cs typeface="+mn-cs"/>
              </a:defRPr>
            </a:pPr>
            <a:endParaRPr lang="en-US"/>
          </a:p>
        </c:txPr>
        <c:crossAx val="208828608"/>
        <c:crosses val="autoZero"/>
        <c:crossBetween val="midCat"/>
      </c:valAx>
      <c:valAx>
        <c:axId val="208828608"/>
        <c:scaling>
          <c:orientation val="minMax"/>
          <c:max val="144490"/>
          <c:min val="99250"/>
        </c:scaling>
        <c:delete val="0"/>
        <c:axPos val="l"/>
        <c:numFmt formatCode="_(* #,##0_);_(* \(#,##0\);_(* &quot;-&quot;_);_(@_)" sourceLinked="0"/>
        <c:majorTickMark val="none"/>
        <c:minorTickMark val="none"/>
        <c:tickLblPos val="nextTo"/>
        <c:spPr>
          <a:noFill/>
          <a:ln w="9525" cap="rnd">
            <a:solidFill>
              <a:schemeClr val="accent3"/>
            </a:solidFill>
            <a:round/>
          </a:ln>
          <a:effectLst/>
        </c:spPr>
        <c:txPr>
          <a:bodyPr rot="-60000000" spcFirstLastPara="1" vertOverflow="ellipsis" vert="horz" wrap="square" anchor="ctr" anchorCtr="1"/>
          <a:lstStyle/>
          <a:p>
            <a:pPr>
              <a:defRPr sz="700" b="0" i="0" u="none" strike="noStrike" kern="1200" spc="0" baseline="0">
                <a:solidFill>
                  <a:schemeClr val="tx1">
                    <a:lumMod val="75000"/>
                    <a:lumOff val="25000"/>
                  </a:schemeClr>
                </a:solidFill>
                <a:latin typeface="+mn-lt"/>
                <a:ea typeface="+mn-ea"/>
                <a:cs typeface="+mn-cs"/>
              </a:defRPr>
            </a:pPr>
            <a:endParaRPr lang="en-US"/>
          </a:p>
        </c:txPr>
        <c:crossAx val="208828032"/>
        <c:crosses val="autoZero"/>
        <c:crossBetween val="midCat"/>
      </c:valAx>
      <c:spPr>
        <a:gradFill>
          <a:gsLst>
            <a:gs pos="0">
              <a:schemeClr val="accent6">
                <a:alpha val="50000"/>
              </a:schemeClr>
            </a:gs>
            <a:gs pos="100000">
              <a:schemeClr val="accent5"/>
            </a:gs>
          </a:gsLst>
          <a:lin ang="16200000" scaled="1"/>
        </a:gradFill>
        <a:ln>
          <a:noFill/>
        </a:ln>
        <a:effectLst/>
      </c:spPr>
    </c:plotArea>
    <c:legend>
      <c:legendPos val="r"/>
      <c:layout>
        <c:manualLayout>
          <c:xMode val="edge"/>
          <c:yMode val="edge"/>
          <c:x val="0.33470635937949617"/>
          <c:y val="0.8754672800731369"/>
          <c:w val="0.32199352987853258"/>
          <c:h val="0.11797929753162875"/>
        </c:manualLayout>
      </c:layout>
      <c:overlay val="0"/>
      <c:spPr>
        <a:noFill/>
        <a:ln>
          <a:noFill/>
        </a:ln>
        <a:effectLst/>
      </c:spPr>
      <c:txPr>
        <a:bodyPr rot="0" spcFirstLastPara="1" vertOverflow="ellipsis" vert="horz" wrap="square" anchor="ctr" anchorCtr="1"/>
        <a:lstStyle/>
        <a:p>
          <a:pPr>
            <a:defRPr sz="900" b="0" i="0" u="none" strike="noStrike" kern="1200" spc="0" baseline="0">
              <a:solidFill>
                <a:srgbClr val="67737F"/>
              </a:solidFill>
              <a:latin typeface="+mn-lt"/>
              <a:ea typeface="+mn-ea"/>
              <a:cs typeface="+mn-cs"/>
            </a:defRPr>
          </a:pPr>
          <a:endParaRPr lang="en-US"/>
        </a:p>
      </c:txPr>
    </c:legend>
    <c:plotVisOnly val="0"/>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097481046846832E-2"/>
          <c:y val="3.0175823996563447E-2"/>
          <c:w val="0.9579044619422572"/>
          <c:h val="0.93998864525632564"/>
        </c:manualLayout>
      </c:layout>
      <c:doughnutChart>
        <c:varyColors val="1"/>
        <c:ser>
          <c:idx val="0"/>
          <c:order val="0"/>
          <c:spPr>
            <a:ln w="25400" cap="flat" cmpd="sng" algn="ctr">
              <a:noFill/>
              <a:prstDash val="solid"/>
              <a:round/>
              <a:headEnd type="none" w="med" len="med"/>
              <a:tailEnd type="none" w="med" len="med"/>
            </a:ln>
            <a:effectLst/>
          </c:spPr>
          <c:dPt>
            <c:idx val="0"/>
            <c:bubble3D val="0"/>
            <c:spPr>
              <a:gradFill flip="none" rotWithShape="1">
                <a:gsLst>
                  <a:gs pos="80000">
                    <a:schemeClr val="accent2"/>
                  </a:gs>
                  <a:gs pos="23000">
                    <a:schemeClr val="accent1"/>
                  </a:gs>
                </a:gsLst>
                <a:lin ang="16200000" scaled="1"/>
                <a:tileRect/>
              </a:gra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1-9281-450B-B659-FA791386D344}"/>
              </c:ext>
            </c:extLst>
          </c:dPt>
          <c:dPt>
            <c:idx val="1"/>
            <c:bubble3D val="0"/>
            <c:spPr>
              <a:solidFill>
                <a:schemeClr val="accent3">
                  <a:alpha val="64000"/>
                </a:schemeClr>
              </a:soli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3-9281-450B-B659-FA791386D344}"/>
              </c:ext>
            </c:extLst>
          </c:dPt>
          <c:val>
            <c:numRef>
              <c:f>Dashboard!$O$13:$P$13</c:f>
              <c:numCache>
                <c:formatCode>0</c:formatCode>
                <c:ptCount val="2"/>
                <c:pt idx="0">
                  <c:v>9</c:v>
                </c:pt>
                <c:pt idx="1">
                  <c:v>12</c:v>
                </c:pt>
              </c:numCache>
            </c:numRef>
          </c:val>
          <c:extLst>
            <c:ext xmlns:c16="http://schemas.microsoft.com/office/drawing/2014/chart" uri="{C3380CC4-5D6E-409C-BE32-E72D297353CC}">
              <c16:uniqueId val="{00000004-9281-450B-B659-FA791386D344}"/>
            </c:ext>
          </c:extLst>
        </c:ser>
        <c:dLbls>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097481046846832E-2"/>
          <c:y val="3.0175823996563447E-2"/>
          <c:w val="0.9579044619422572"/>
          <c:h val="0.93998864525632564"/>
        </c:manualLayout>
      </c:layout>
      <c:doughnutChart>
        <c:varyColors val="1"/>
        <c:ser>
          <c:idx val="0"/>
          <c:order val="0"/>
          <c:spPr>
            <a:ln w="25400" cap="flat" cmpd="sng" algn="ctr">
              <a:noFill/>
              <a:prstDash val="solid"/>
              <a:round/>
              <a:headEnd type="none" w="med" len="med"/>
              <a:tailEnd type="none" w="med" len="med"/>
            </a:ln>
            <a:effectLst/>
          </c:spPr>
          <c:dPt>
            <c:idx val="0"/>
            <c:bubble3D val="0"/>
            <c:spPr>
              <a:gradFill flip="none" rotWithShape="1">
                <a:gsLst>
                  <a:gs pos="80000">
                    <a:schemeClr val="accent2"/>
                  </a:gs>
                  <a:gs pos="23000">
                    <a:schemeClr val="accent1"/>
                  </a:gs>
                </a:gsLst>
                <a:lin ang="16200000" scaled="1"/>
                <a:tileRect/>
              </a:gra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1-1E4C-4F92-A4D8-DF394B4F4A98}"/>
              </c:ext>
            </c:extLst>
          </c:dPt>
          <c:dPt>
            <c:idx val="1"/>
            <c:bubble3D val="0"/>
            <c:spPr>
              <a:solidFill>
                <a:schemeClr val="accent3">
                  <a:alpha val="64000"/>
                </a:schemeClr>
              </a:soli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3-1E4C-4F92-A4D8-DF394B4F4A98}"/>
              </c:ext>
            </c:extLst>
          </c:dPt>
          <c:val>
            <c:numRef>
              <c:f>Dashboard!$O$13:$P$13</c:f>
              <c:numCache>
                <c:formatCode>0</c:formatCode>
                <c:ptCount val="2"/>
                <c:pt idx="0">
                  <c:v>9</c:v>
                </c:pt>
                <c:pt idx="1">
                  <c:v>12</c:v>
                </c:pt>
              </c:numCache>
            </c:numRef>
          </c:val>
          <c:extLst>
            <c:ext xmlns:c16="http://schemas.microsoft.com/office/drawing/2014/chart" uri="{C3380CC4-5D6E-409C-BE32-E72D297353CC}">
              <c16:uniqueId val="{00000004-1E4C-4F92-A4D8-DF394B4F4A98}"/>
            </c:ext>
          </c:extLst>
        </c:ser>
        <c:dLbls>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r>
              <a:rPr lang="en-US" sz="800">
                <a:solidFill>
                  <a:schemeClr val="bg2"/>
                </a:solidFill>
                <a:latin typeface="Arial" panose="020B0604020202020204" pitchFamily="34" charset="0"/>
                <a:cs typeface="Arial" panose="020B0604020202020204" pitchFamily="34" charset="0"/>
              </a:rPr>
              <a:t>PORTFOLIO</a:t>
            </a:r>
          </a:p>
        </c:rich>
      </c:tx>
      <c:layout>
        <c:manualLayout>
          <c:xMode val="edge"/>
          <c:yMode val="edge"/>
          <c:x val="0.26523789806813686"/>
          <c:y val="5.7714638422123633E-3"/>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6522002931451751"/>
          <c:y val="0.15843327276398142"/>
          <c:w val="0.6762726135743099"/>
          <c:h val="0.71974728158980128"/>
        </c:manualLayout>
      </c:layout>
      <c:pieChart>
        <c:varyColors val="1"/>
        <c:ser>
          <c:idx val="0"/>
          <c:order val="0"/>
          <c:spPr>
            <a:solidFill>
              <a:schemeClr val="tx1">
                <a:lumMod val="75000"/>
                <a:lumOff val="25000"/>
              </a:schemeClr>
            </a:solidFill>
            <a:ln>
              <a:solidFill>
                <a:schemeClr val="accent5"/>
              </a:solidFill>
            </a:ln>
          </c:spPr>
          <c:dPt>
            <c:idx val="0"/>
            <c:bubble3D val="0"/>
            <c:spPr>
              <a:solidFill>
                <a:schemeClr val="accent2"/>
              </a:solidFill>
              <a:ln w="19050">
                <a:solidFill>
                  <a:schemeClr val="accent5"/>
                </a:solidFill>
              </a:ln>
              <a:effectLst/>
            </c:spPr>
            <c:extLst>
              <c:ext xmlns:c16="http://schemas.microsoft.com/office/drawing/2014/chart" uri="{C3380CC4-5D6E-409C-BE32-E72D297353CC}">
                <c16:uniqueId val="{00000001-50B5-4FC7-8D34-6E3731EE0602}"/>
              </c:ext>
            </c:extLst>
          </c:dPt>
          <c:dPt>
            <c:idx val="1"/>
            <c:bubble3D val="0"/>
            <c:spPr>
              <a:solidFill>
                <a:schemeClr val="accent3"/>
              </a:solidFill>
              <a:ln w="19050">
                <a:solidFill>
                  <a:schemeClr val="accent5"/>
                </a:solidFill>
              </a:ln>
              <a:effectLst/>
            </c:spPr>
            <c:extLst>
              <c:ext xmlns:c16="http://schemas.microsoft.com/office/drawing/2014/chart" uri="{C3380CC4-5D6E-409C-BE32-E72D297353CC}">
                <c16:uniqueId val="{00000002-50B5-4FC7-8D34-6E3731EE0602}"/>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solidFill>
                      <a:latin typeface="Arial Narrow" panose="020B060602020203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1-50B5-4FC7-8D34-6E3731EE0602}"/>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2-50B5-4FC7-8D34-6E3731EE060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'Trade Log'!$AJ$3:$AK$3</c:f>
              <c:strCache>
                <c:ptCount val="2"/>
                <c:pt idx="0">
                  <c:v>Allocation</c:v>
                </c:pt>
                <c:pt idx="1">
                  <c:v>Cash</c:v>
                </c:pt>
              </c:strCache>
            </c:strRef>
          </c:cat>
          <c:val>
            <c:numRef>
              <c:f>'Trade Log'!$AJ$4:$AK$4</c:f>
              <c:numCache>
                <c:formatCode>0%</c:formatCode>
                <c:ptCount val="2"/>
                <c:pt idx="0">
                  <c:v>0.28188555702922935</c:v>
                </c:pt>
                <c:pt idx="1">
                  <c:v>0.71811444297077065</c:v>
                </c:pt>
              </c:numCache>
            </c:numRef>
          </c:val>
          <c:extLst>
            <c:ext xmlns:c16="http://schemas.microsoft.com/office/drawing/2014/chart" uri="{C3380CC4-5D6E-409C-BE32-E72D297353CC}">
              <c16:uniqueId val="{00000000-50B5-4FC7-8D34-6E3731EE060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84581177352830916"/>
          <c:w val="1"/>
          <c:h val="0.14630671166104237"/>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67737F"/>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ashboard!A1"/><Relationship Id="rId7" Type="http://schemas.microsoft.com/office/2007/relationships/hdphoto" Target="../media/hdphoto11.wdp"/><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25.png"/><Relationship Id="rId5" Type="http://schemas.openxmlformats.org/officeDocument/2006/relationships/chart" Target="../charts/chart14.xml"/><Relationship Id="rId4" Type="http://schemas.openxmlformats.org/officeDocument/2006/relationships/image" Target="../media/image5.emf"/></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7" Type="http://schemas.microsoft.com/office/2007/relationships/hdphoto" Target="../media/hdphoto12.wdp"/><Relationship Id="rId2" Type="http://schemas.openxmlformats.org/officeDocument/2006/relationships/image" Target="../media/image3.png"/><Relationship Id="rId1" Type="http://schemas.openxmlformats.org/officeDocument/2006/relationships/image" Target="../media/image26.emf"/><Relationship Id="rId6" Type="http://schemas.openxmlformats.org/officeDocument/2006/relationships/image" Target="../media/image27.png"/><Relationship Id="rId5" Type="http://schemas.openxmlformats.org/officeDocument/2006/relationships/image" Target="../media/image5.emf"/><Relationship Id="rId4" Type="http://schemas.openxmlformats.org/officeDocument/2006/relationships/hyperlink" Target="#Dashboard!A1"/></Relationships>
</file>

<file path=xl/drawings/_rels/drawing1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Dashboard!A1"/><Relationship Id="rId7" Type="http://schemas.openxmlformats.org/officeDocument/2006/relationships/image" Target="../media/image20.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30.png"/><Relationship Id="rId5" Type="http://schemas.openxmlformats.org/officeDocument/2006/relationships/image" Target="../media/image29.png"/><Relationship Id="rId10" Type="http://schemas.microsoft.com/office/2007/relationships/hdphoto" Target="../media/hdphoto13.wdp"/><Relationship Id="rId4" Type="http://schemas.openxmlformats.org/officeDocument/2006/relationships/image" Target="../media/image5.emf"/><Relationship Id="rId9" Type="http://schemas.openxmlformats.org/officeDocument/2006/relationships/image" Target="../media/image31.pn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Trade Log'!A1"/><Relationship Id="rId18" Type="http://schemas.microsoft.com/office/2007/relationships/hdphoto" Target="../media/hdphoto3.wdp"/><Relationship Id="rId3" Type="http://schemas.openxmlformats.org/officeDocument/2006/relationships/chart" Target="../charts/chart3.xml"/><Relationship Id="rId21" Type="http://schemas.microsoft.com/office/2007/relationships/hdphoto" Target="../media/hdphoto4.wdp"/><Relationship Id="rId7" Type="http://schemas.openxmlformats.org/officeDocument/2006/relationships/image" Target="../media/image3.png"/><Relationship Id="rId12" Type="http://schemas.openxmlformats.org/officeDocument/2006/relationships/image" Target="../media/image6.png"/><Relationship Id="rId17" Type="http://schemas.openxmlformats.org/officeDocument/2006/relationships/image" Target="../media/image8.png"/><Relationship Id="rId25" Type="http://schemas.microsoft.com/office/2007/relationships/hdphoto" Target="../media/hdphoto5.wdp"/><Relationship Id="rId2" Type="http://schemas.openxmlformats.org/officeDocument/2006/relationships/chart" Target="../charts/chart2.xml"/><Relationship Id="rId16" Type="http://schemas.openxmlformats.org/officeDocument/2006/relationships/hyperlink" Target="#'Bank Transfers'!A1"/><Relationship Id="rId20" Type="http://schemas.openxmlformats.org/officeDocument/2006/relationships/image" Target="../media/image9.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8.xml"/><Relationship Id="rId24" Type="http://schemas.openxmlformats.org/officeDocument/2006/relationships/image" Target="../media/image11.png"/><Relationship Id="rId5" Type="http://schemas.openxmlformats.org/officeDocument/2006/relationships/chart" Target="../charts/chart5.xml"/><Relationship Id="rId15" Type="http://schemas.microsoft.com/office/2007/relationships/hdphoto" Target="../media/hdphoto2.wdp"/><Relationship Id="rId23" Type="http://schemas.openxmlformats.org/officeDocument/2006/relationships/image" Target="../media/image10.png"/><Relationship Id="rId10" Type="http://schemas.openxmlformats.org/officeDocument/2006/relationships/chart" Target="../charts/chart7.xml"/><Relationship Id="rId19" Type="http://schemas.openxmlformats.org/officeDocument/2006/relationships/hyperlink" Target="#Dividends!A1"/><Relationship Id="rId4" Type="http://schemas.openxmlformats.org/officeDocument/2006/relationships/chart" Target="../charts/chart4.xml"/><Relationship Id="rId9" Type="http://schemas.openxmlformats.org/officeDocument/2006/relationships/image" Target="../media/image5.emf"/><Relationship Id="rId14" Type="http://schemas.openxmlformats.org/officeDocument/2006/relationships/image" Target="../media/image7.png"/><Relationship Id="rId22" Type="http://schemas.openxmlformats.org/officeDocument/2006/relationships/hyperlink" Target="#Settings!A1"/></Relationships>
</file>

<file path=xl/drawings/_rels/drawing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5.png"/><Relationship Id="rId13" Type="http://schemas.microsoft.com/office/2007/relationships/hdphoto" Target="../media/hdphoto2.wdp"/><Relationship Id="rId3" Type="http://schemas.openxmlformats.org/officeDocument/2006/relationships/image" Target="../media/image4.png"/><Relationship Id="rId7" Type="http://schemas.openxmlformats.org/officeDocument/2006/relationships/image" Target="../media/image14.png"/><Relationship Id="rId12"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chart" Target="../charts/chart9.xml"/><Relationship Id="rId6" Type="http://schemas.openxmlformats.org/officeDocument/2006/relationships/hyperlink" Target="#Portfolio!G6"/><Relationship Id="rId11" Type="http://schemas.openxmlformats.org/officeDocument/2006/relationships/image" Target="../media/image17.png"/><Relationship Id="rId5" Type="http://schemas.openxmlformats.org/officeDocument/2006/relationships/image" Target="../media/image5.emf"/><Relationship Id="rId10" Type="http://schemas.microsoft.com/office/2007/relationships/hdphoto" Target="../media/hdphoto6.wdp"/><Relationship Id="rId4" Type="http://schemas.openxmlformats.org/officeDocument/2006/relationships/hyperlink" Target="#Dashboard!A1"/><Relationship Id="rId9" Type="http://schemas.openxmlformats.org/officeDocument/2006/relationships/image" Target="../media/image16.png"/></Relationships>
</file>

<file path=xl/drawings/_rels/drawing5.xml.rels><?xml version="1.0" encoding="UTF-8" standalone="yes"?>
<Relationships xmlns="http://schemas.openxmlformats.org/package/2006/relationships"><Relationship Id="rId3" Type="http://schemas.openxmlformats.org/officeDocument/2006/relationships/hyperlink" Target="#Dashboard!A1"/><Relationship Id="rId7" Type="http://schemas.microsoft.com/office/2007/relationships/hdphoto" Target="../media/hdphoto7.wdp"/><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18.png"/><Relationship Id="rId5" Type="http://schemas.openxmlformats.org/officeDocument/2006/relationships/chart" Target="../charts/chart10.xml"/><Relationship Id="rId4" Type="http://schemas.openxmlformats.org/officeDocument/2006/relationships/image" Target="../media/image5.emf"/></Relationships>
</file>

<file path=xl/drawings/_rels/drawing6.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hyperlink" Target="#Dashboard!A1"/><Relationship Id="rId7" Type="http://schemas.microsoft.com/office/2007/relationships/hdphoto" Target="../media/hdphoto8.wdp"/><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19.png"/><Relationship Id="rId11" Type="http://schemas.microsoft.com/office/2007/relationships/hdphoto" Target="../media/hdphoto5.wdp"/><Relationship Id="rId5" Type="http://schemas.openxmlformats.org/officeDocument/2006/relationships/chart" Target="../charts/chart11.xml"/><Relationship Id="rId10" Type="http://schemas.openxmlformats.org/officeDocument/2006/relationships/image" Target="../media/image11.png"/><Relationship Id="rId4" Type="http://schemas.openxmlformats.org/officeDocument/2006/relationships/image" Target="../media/image5.emf"/><Relationship Id="rId9" Type="http://schemas.openxmlformats.org/officeDocument/2006/relationships/image" Target="../media/image21.png"/></Relationships>
</file>

<file path=xl/drawings/_rels/drawing7.xml.rels><?xml version="1.0" encoding="UTF-8" standalone="yes"?>
<Relationships xmlns="http://schemas.openxmlformats.org/package/2006/relationships"><Relationship Id="rId8" Type="http://schemas.microsoft.com/office/2007/relationships/hdphoto" Target="../media/hdphoto9.wdp"/><Relationship Id="rId3" Type="http://schemas.openxmlformats.org/officeDocument/2006/relationships/image" Target="../media/image4.png"/><Relationship Id="rId7" Type="http://schemas.openxmlformats.org/officeDocument/2006/relationships/image" Target="../media/image22.png"/><Relationship Id="rId2" Type="http://schemas.openxmlformats.org/officeDocument/2006/relationships/image" Target="../media/image3.png"/><Relationship Id="rId1" Type="http://schemas.openxmlformats.org/officeDocument/2006/relationships/chart" Target="../charts/chart12.xml"/><Relationship Id="rId6" Type="http://schemas.openxmlformats.org/officeDocument/2006/relationships/chart" Target="../charts/chart13.xml"/><Relationship Id="rId5" Type="http://schemas.openxmlformats.org/officeDocument/2006/relationships/image" Target="../media/image5.emf"/><Relationship Id="rId4" Type="http://schemas.openxmlformats.org/officeDocument/2006/relationships/hyperlink" Target="#Dashboard!A1"/></Relationships>
</file>

<file path=xl/drawings/_rels/drawing8.xml.rels><?xml version="1.0" encoding="UTF-8" standalone="yes"?>
<Relationships xmlns="http://schemas.openxmlformats.org/package/2006/relationships"><Relationship Id="rId1" Type="http://schemas.openxmlformats.org/officeDocument/2006/relationships/image" Target="../media/image23.png"/></Relationships>
</file>

<file path=xl/drawings/_rels/drawing9.xml.rels><?xml version="1.0" encoding="UTF-8" standalone="yes"?>
<Relationships xmlns="http://schemas.openxmlformats.org/package/2006/relationships"><Relationship Id="rId8" Type="http://schemas.microsoft.com/office/2007/relationships/hdphoto" Target="../media/hdphoto10.wdp"/><Relationship Id="rId3" Type="http://schemas.openxmlformats.org/officeDocument/2006/relationships/hyperlink" Target="#Dashboard!A1"/><Relationship Id="rId7" Type="http://schemas.openxmlformats.org/officeDocument/2006/relationships/image" Target="../media/image24.png"/><Relationship Id="rId2" Type="http://schemas.openxmlformats.org/officeDocument/2006/relationships/image" Target="../media/image4.png"/><Relationship Id="rId1" Type="http://schemas.openxmlformats.org/officeDocument/2006/relationships/image" Target="../media/image3.png"/><Relationship Id="rId6" Type="http://schemas.microsoft.com/office/2007/relationships/hdphoto" Target="../media/hdphoto5.wdp"/><Relationship Id="rId5" Type="http://schemas.openxmlformats.org/officeDocument/2006/relationships/image" Target="../media/image11.png"/><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2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28575</xdr:rowOff>
    </xdr:from>
    <xdr:to>
      <xdr:col>15</xdr:col>
      <xdr:colOff>240323</xdr:colOff>
      <xdr:row>0</xdr:row>
      <xdr:rowOff>368189</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100000"/>
                  </a14:imgEffect>
                </a14:imgLayer>
              </a14:imgProps>
            </a:ext>
            <a:ext uri="{28A0092B-C50C-407E-A947-70E740481C1C}">
              <a14:useLocalDpi xmlns:a14="http://schemas.microsoft.com/office/drawing/2010/main" val="0"/>
            </a:ext>
          </a:extLst>
        </a:blip>
        <a:srcRect l="1194" t="2120" r="2210" b="-5986"/>
        <a:stretch/>
      </xdr:blipFill>
      <xdr:spPr>
        <a:xfrm>
          <a:off x="3810000" y="28575"/>
          <a:ext cx="5955323" cy="339614"/>
        </a:xfrm>
        <a:prstGeom prst="rect">
          <a:avLst/>
        </a:prstGeom>
      </xdr:spPr>
    </xdr:pic>
    <xdr:clientData/>
  </xdr:twoCellAnchor>
  <xdr:twoCellAnchor editAs="oneCell">
    <xdr:from>
      <xdr:col>9</xdr:col>
      <xdr:colOff>166158</xdr:colOff>
      <xdr:row>3</xdr:row>
      <xdr:rowOff>98425</xdr:rowOff>
    </xdr:from>
    <xdr:to>
      <xdr:col>11</xdr:col>
      <xdr:colOff>303944</xdr:colOff>
      <xdr:row>5</xdr:row>
      <xdr:rowOff>98425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71658" y="1262592"/>
          <a:ext cx="1365453" cy="4974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6</xdr:col>
      <xdr:colOff>314325</xdr:colOff>
      <xdr:row>2</xdr:row>
      <xdr:rowOff>0</xdr:rowOff>
    </xdr:from>
    <xdr:to>
      <xdr:col>13</xdr:col>
      <xdr:colOff>200025</xdr:colOff>
      <xdr:row>4</xdr:row>
      <xdr:rowOff>123825</xdr:rowOff>
    </xdr:to>
    <mc:AlternateContent xmlns:mc="http://schemas.openxmlformats.org/markup-compatibility/2006" xmlns:a14="http://schemas.microsoft.com/office/drawing/2010/main">
      <mc:Choice Requires="a14">
        <xdr:graphicFrame macro="">
          <xdr:nvGraphicFramePr>
            <xdr:cNvPr id="10" name="filter">
              <a:extLst>
                <a:ext uri="{FF2B5EF4-FFF2-40B4-BE49-F238E27FC236}">
                  <a16:creationId xmlns:a16="http://schemas.microsoft.com/office/drawing/2014/main" id="{00000000-0008-0000-0900-00000A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a:graphicData>
          </a:graphic>
        </xdr:graphicFrame>
      </mc:Choice>
      <mc:Fallback xmlns="">
        <xdr:sp macro="" textlink="">
          <xdr:nvSpPr>
            <xdr:cNvPr id="0" name=""/>
            <xdr:cNvSpPr>
              <a:spLocks noTextEdit="1"/>
            </xdr:cNvSpPr>
          </xdr:nvSpPr>
          <xdr:spPr>
            <a:xfrm>
              <a:off x="3629025" y="295275"/>
              <a:ext cx="3971925" cy="409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0</xdr:col>
      <xdr:colOff>0</xdr:colOff>
      <xdr:row>0</xdr:row>
      <xdr:rowOff>28575</xdr:rowOff>
    </xdr:from>
    <xdr:to>
      <xdr:col>21</xdr:col>
      <xdr:colOff>1047750</xdr:colOff>
      <xdr:row>13</xdr:row>
      <xdr:rowOff>38100</xdr:rowOff>
    </xdr:to>
    <xdr:sp macro="" textlink="">
      <xdr:nvSpPr>
        <xdr:cNvPr id="13" name="Freeform: Shape 12">
          <a:extLst>
            <a:ext uri="{FF2B5EF4-FFF2-40B4-BE49-F238E27FC236}">
              <a16:creationId xmlns:a16="http://schemas.microsoft.com/office/drawing/2014/main" id="{00000000-0008-0000-0900-00000D000000}"/>
            </a:ext>
          </a:extLst>
        </xdr:cNvPr>
        <xdr:cNvSpPr/>
      </xdr:nvSpPr>
      <xdr:spPr>
        <a:xfrm>
          <a:off x="0" y="28575"/>
          <a:ext cx="13592175" cy="2095500"/>
        </a:xfrm>
        <a:custGeom>
          <a:avLst/>
          <a:gdLst>
            <a:gd name="connsiteX0" fmla="*/ 3468795 w 13182600"/>
            <a:gd name="connsiteY0" fmla="*/ 303087 h 1993392"/>
            <a:gd name="connsiteX1" fmla="*/ 3286761 w 13182600"/>
            <a:gd name="connsiteY1" fmla="*/ 485122 h 1993392"/>
            <a:gd name="connsiteX2" fmla="*/ 3286761 w 13182600"/>
            <a:gd name="connsiteY2" fmla="*/ 1746652 h 1993392"/>
            <a:gd name="connsiteX3" fmla="*/ 3468795 w 13182600"/>
            <a:gd name="connsiteY3" fmla="*/ 1928687 h 1993392"/>
            <a:gd name="connsiteX4" fmla="*/ 11994725 w 13182600"/>
            <a:gd name="connsiteY4" fmla="*/ 1928687 h 1993392"/>
            <a:gd name="connsiteX5" fmla="*/ 12176760 w 13182600"/>
            <a:gd name="connsiteY5" fmla="*/ 1746652 h 1993392"/>
            <a:gd name="connsiteX6" fmla="*/ 12176760 w 13182600"/>
            <a:gd name="connsiteY6" fmla="*/ 485122 h 1993392"/>
            <a:gd name="connsiteX7" fmla="*/ 11994725 w 13182600"/>
            <a:gd name="connsiteY7" fmla="*/ 303087 h 1993392"/>
            <a:gd name="connsiteX8" fmla="*/ 489375 w 13182600"/>
            <a:gd name="connsiteY8" fmla="*/ 303087 h 1993392"/>
            <a:gd name="connsiteX9" fmla="*/ 307340 w 13182600"/>
            <a:gd name="connsiteY9" fmla="*/ 485122 h 1993392"/>
            <a:gd name="connsiteX10" fmla="*/ 307340 w 13182600"/>
            <a:gd name="connsiteY10" fmla="*/ 1746652 h 1993392"/>
            <a:gd name="connsiteX11" fmla="*/ 489375 w 13182600"/>
            <a:gd name="connsiteY11" fmla="*/ 1928687 h 1993392"/>
            <a:gd name="connsiteX12" fmla="*/ 3020905 w 13182600"/>
            <a:gd name="connsiteY12" fmla="*/ 1928687 h 1993392"/>
            <a:gd name="connsiteX13" fmla="*/ 3202940 w 13182600"/>
            <a:gd name="connsiteY13" fmla="*/ 1746652 h 1993392"/>
            <a:gd name="connsiteX14" fmla="*/ 3202940 w 13182600"/>
            <a:gd name="connsiteY14" fmla="*/ 485122 h 1993392"/>
            <a:gd name="connsiteX15" fmla="*/ 3020905 w 13182600"/>
            <a:gd name="connsiteY15" fmla="*/ 303087 h 1993392"/>
            <a:gd name="connsiteX16" fmla="*/ 0 w 13182600"/>
            <a:gd name="connsiteY16" fmla="*/ 0 h 1993392"/>
            <a:gd name="connsiteX17" fmla="*/ 13182600 w 13182600"/>
            <a:gd name="connsiteY17" fmla="*/ 0 h 1993392"/>
            <a:gd name="connsiteX18" fmla="*/ 13182600 w 13182600"/>
            <a:gd name="connsiteY18" fmla="*/ 1993392 h 1993392"/>
            <a:gd name="connsiteX19" fmla="*/ 0 w 13182600"/>
            <a:gd name="connsiteY19" fmla="*/ 1993392 h 19933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13182600" h="1993392">
              <a:moveTo>
                <a:pt x="3468795" y="303087"/>
              </a:moveTo>
              <a:cubicBezTo>
                <a:pt x="3368260" y="303087"/>
                <a:pt x="3286761" y="384587"/>
                <a:pt x="3286761" y="485122"/>
              </a:cubicBezTo>
              <a:lnTo>
                <a:pt x="3286761" y="1746652"/>
              </a:lnTo>
              <a:cubicBezTo>
                <a:pt x="3286761" y="1847187"/>
                <a:pt x="3368260" y="1928687"/>
                <a:pt x="3468795" y="1928687"/>
              </a:cubicBezTo>
              <a:lnTo>
                <a:pt x="11994725" y="1928687"/>
              </a:lnTo>
              <a:cubicBezTo>
                <a:pt x="12095260" y="1928687"/>
                <a:pt x="12176760" y="1847187"/>
                <a:pt x="12176760" y="1746652"/>
              </a:cubicBezTo>
              <a:lnTo>
                <a:pt x="12176760" y="485122"/>
              </a:lnTo>
              <a:cubicBezTo>
                <a:pt x="12176760" y="384587"/>
                <a:pt x="12095260" y="303087"/>
                <a:pt x="11994725" y="303087"/>
              </a:cubicBezTo>
              <a:close/>
              <a:moveTo>
                <a:pt x="489375" y="303087"/>
              </a:moveTo>
              <a:cubicBezTo>
                <a:pt x="388840" y="303087"/>
                <a:pt x="307340" y="384587"/>
                <a:pt x="307340" y="485122"/>
              </a:cubicBezTo>
              <a:lnTo>
                <a:pt x="307340" y="1746652"/>
              </a:lnTo>
              <a:cubicBezTo>
                <a:pt x="307340" y="1847187"/>
                <a:pt x="388840" y="1928687"/>
                <a:pt x="489375" y="1928687"/>
              </a:cubicBezTo>
              <a:lnTo>
                <a:pt x="3020905" y="1928687"/>
              </a:lnTo>
              <a:cubicBezTo>
                <a:pt x="3121440" y="1928687"/>
                <a:pt x="3202940" y="1847187"/>
                <a:pt x="3202940" y="1746652"/>
              </a:cubicBezTo>
              <a:lnTo>
                <a:pt x="3202940" y="485122"/>
              </a:lnTo>
              <a:cubicBezTo>
                <a:pt x="3202940" y="384587"/>
                <a:pt x="3121440" y="303087"/>
                <a:pt x="3020905" y="303087"/>
              </a:cubicBezTo>
              <a:close/>
              <a:moveTo>
                <a:pt x="0" y="0"/>
              </a:moveTo>
              <a:lnTo>
                <a:pt x="13182600" y="0"/>
              </a:lnTo>
              <a:lnTo>
                <a:pt x="13182600" y="1993392"/>
              </a:lnTo>
              <a:lnTo>
                <a:pt x="0" y="1993392"/>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17</xdr:col>
      <xdr:colOff>1083181</xdr:colOff>
      <xdr:row>0</xdr:row>
      <xdr:rowOff>83051</xdr:rowOff>
    </xdr:from>
    <xdr:to>
      <xdr:col>21</xdr:col>
      <xdr:colOff>105641</xdr:colOff>
      <xdr:row>0</xdr:row>
      <xdr:rowOff>229368</xdr:rowOff>
    </xdr:to>
    <xdr:pic macro="[0]!Maximize">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12505388" y="83051"/>
          <a:ext cx="140220" cy="146317"/>
        </a:xfrm>
        <a:prstGeom prst="rect">
          <a:avLst/>
        </a:prstGeom>
      </xdr:spPr>
    </xdr:pic>
    <xdr:clientData/>
  </xdr:twoCellAnchor>
  <xdr:twoCellAnchor editAs="absolute">
    <xdr:from>
      <xdr:col>17</xdr:col>
      <xdr:colOff>727665</xdr:colOff>
      <xdr:row>0</xdr:row>
      <xdr:rowOff>89534</xdr:rowOff>
    </xdr:from>
    <xdr:to>
      <xdr:col>17</xdr:col>
      <xdr:colOff>870540</xdr:colOff>
      <xdr:row>0</xdr:row>
      <xdr:rowOff>222885</xdr:rowOff>
    </xdr:to>
    <xdr:pic macro="[0]!Minimize">
      <xdr:nvPicPr>
        <xdr:cNvPr id="8" name="Picture 7">
          <a:extLst>
            <a:ext uri="{FF2B5EF4-FFF2-40B4-BE49-F238E27FC236}">
              <a16:creationId xmlns:a16="http://schemas.microsoft.com/office/drawing/2014/main" id="{00000000-0008-0000-0900-000008000000}"/>
            </a:ext>
          </a:extLst>
        </xdr:cNvPr>
        <xdr:cNvPicPr>
          <a:picLocks/>
        </xdr:cNvPicPr>
      </xdr:nvPicPr>
      <xdr:blipFill>
        <a:blip xmlns:r="http://schemas.openxmlformats.org/officeDocument/2006/relationships" r:embed="rId2"/>
        <a:stretch>
          <a:fillRect/>
        </a:stretch>
      </xdr:blipFill>
      <xdr:spPr>
        <a:xfrm>
          <a:off x="12149872" y="89534"/>
          <a:ext cx="142875" cy="1333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295275</xdr:colOff>
          <xdr:row>0</xdr:row>
          <xdr:rowOff>38100</xdr:rowOff>
        </xdr:from>
        <xdr:to>
          <xdr:col>17</xdr:col>
          <xdr:colOff>526282</xdr:colOff>
          <xdr:row>1</xdr:row>
          <xdr:rowOff>19050</xdr:rowOff>
        </xdr:to>
        <xdr:pic>
          <xdr:nvPicPr>
            <xdr:cNvPr id="9" name="Picture 8">
              <a:hlinkClick xmlns:r="http://schemas.openxmlformats.org/officeDocument/2006/relationships" r:id="rId3" tooltip="Dashboard"/>
              <a:extLst>
                <a:ext uri="{FF2B5EF4-FFF2-40B4-BE49-F238E27FC236}">
                  <a16:creationId xmlns:a16="http://schemas.microsoft.com/office/drawing/2014/main" id="{00000000-0008-0000-0900-000009000000}"/>
                </a:ext>
              </a:extLst>
            </xdr:cNvPr>
            <xdr:cNvPicPr>
              <a:picLocks noChangeAspect="1" noChangeArrowheads="1"/>
              <a:extLst>
                <a:ext uri="{84589F7E-364E-4C9E-8A38-B11213B215E9}">
                  <a14:cameraTool cellRange="Settings!$M$3:$M$6" spid="_x0000_s262243"/>
                </a:ext>
              </a:extLst>
            </xdr:cNvPicPr>
          </xdr:nvPicPr>
          <xdr:blipFill>
            <a:blip xmlns:r="http://schemas.openxmlformats.org/officeDocument/2006/relationships" r:embed="rId4"/>
            <a:srcRect/>
            <a:stretch>
              <a:fillRect/>
            </a:stretch>
          </xdr:blipFill>
          <xdr:spPr bwMode="auto">
            <a:xfrm>
              <a:off x="11725275" y="38100"/>
              <a:ext cx="231007"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17</xdr:col>
      <xdr:colOff>441267</xdr:colOff>
      <xdr:row>7</xdr:row>
      <xdr:rowOff>47625</xdr:rowOff>
    </xdr:from>
    <xdr:to>
      <xdr:col>17</xdr:col>
      <xdr:colOff>757324</xdr:colOff>
      <xdr:row>8</xdr:row>
      <xdr:rowOff>141643</xdr:rowOff>
    </xdr:to>
    <xdr:sp macro="[0]!TLogLAST" textlink="">
      <xdr:nvSpPr>
        <xdr:cNvPr id="2" name="Oval 1">
          <a:extLst>
            <a:ext uri="{FF2B5EF4-FFF2-40B4-BE49-F238E27FC236}">
              <a16:creationId xmlns:a16="http://schemas.microsoft.com/office/drawing/2014/main" id="{00000000-0008-0000-0900-000002000000}"/>
            </a:ext>
          </a:extLst>
        </xdr:cNvPr>
        <xdr:cNvSpPr/>
      </xdr:nvSpPr>
      <xdr:spPr>
        <a:xfrm>
          <a:off x="11871267" y="1362075"/>
          <a:ext cx="316057"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absolute">
    <xdr:from>
      <xdr:col>17</xdr:col>
      <xdr:colOff>436418</xdr:colOff>
      <xdr:row>4</xdr:row>
      <xdr:rowOff>219075</xdr:rowOff>
    </xdr:from>
    <xdr:to>
      <xdr:col>17</xdr:col>
      <xdr:colOff>762173</xdr:colOff>
      <xdr:row>6</xdr:row>
      <xdr:rowOff>36868</xdr:rowOff>
    </xdr:to>
    <xdr:sp macro="[0]!TReviewUP" textlink="">
      <xdr:nvSpPr>
        <xdr:cNvPr id="4" name="Oval 3">
          <a:extLst>
            <a:ext uri="{FF2B5EF4-FFF2-40B4-BE49-F238E27FC236}">
              <a16:creationId xmlns:a16="http://schemas.microsoft.com/office/drawing/2014/main" id="{00000000-0008-0000-0900-000004000000}"/>
            </a:ext>
          </a:extLst>
        </xdr:cNvPr>
        <xdr:cNvSpPr/>
      </xdr:nvSpPr>
      <xdr:spPr>
        <a:xfrm flipV="1">
          <a:off x="11866418" y="800100"/>
          <a:ext cx="325755"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xdr:from>
      <xdr:col>3</xdr:col>
      <xdr:colOff>232931</xdr:colOff>
      <xdr:row>3</xdr:row>
      <xdr:rowOff>102177</xdr:rowOff>
    </xdr:from>
    <xdr:to>
      <xdr:col>6</xdr:col>
      <xdr:colOff>76200</xdr:colOff>
      <xdr:row>10</xdr:row>
      <xdr:rowOff>6059</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555048</xdr:colOff>
      <xdr:row>4</xdr:row>
      <xdr:rowOff>202622</xdr:rowOff>
    </xdr:from>
    <xdr:to>
      <xdr:col>4</xdr:col>
      <xdr:colOff>657225</xdr:colOff>
      <xdr:row>7</xdr:row>
      <xdr:rowOff>73603</xdr:rowOff>
    </xdr:to>
    <xdr:sp macro="" textlink="$AP$1">
      <xdr:nvSpPr>
        <xdr:cNvPr id="6" name="TextBox 5">
          <a:extLst>
            <a:ext uri="{FF2B5EF4-FFF2-40B4-BE49-F238E27FC236}">
              <a16:creationId xmlns:a16="http://schemas.microsoft.com/office/drawing/2014/main" id="{00000000-0008-0000-0900-000006000000}"/>
            </a:ext>
          </a:extLst>
        </xdr:cNvPr>
        <xdr:cNvSpPr txBox="1"/>
      </xdr:nvSpPr>
      <xdr:spPr>
        <a:xfrm>
          <a:off x="840798" y="783647"/>
          <a:ext cx="1045152" cy="604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F0814EB-481B-4F0A-B174-1CF66989C0D0}" type="TxLink">
            <a:rPr lang="en-US" sz="2400" b="0" i="0" u="none" strike="noStrike">
              <a:solidFill>
                <a:schemeClr val="bg2"/>
              </a:solidFill>
              <a:latin typeface="Bahnschrift SemiCondensed" panose="020B0502040204020203" pitchFamily="34" charset="0"/>
              <a:cs typeface="Calibri"/>
            </a:rPr>
            <a:pPr algn="ctr"/>
            <a:t>12</a:t>
          </a:fld>
          <a:endParaRPr lang="en-US" sz="2800" b="0">
            <a:solidFill>
              <a:schemeClr val="bg2"/>
            </a:solidFill>
            <a:latin typeface="Bahnschrift SemiCondensed" panose="020B0502040204020203" pitchFamily="34" charset="0"/>
          </a:endParaRPr>
        </a:p>
      </xdr:txBody>
    </xdr:sp>
    <xdr:clientData/>
  </xdr:twoCellAnchor>
  <xdr:twoCellAnchor>
    <xdr:from>
      <xdr:col>3</xdr:col>
      <xdr:colOff>581025</xdr:colOff>
      <xdr:row>6</xdr:row>
      <xdr:rowOff>154998</xdr:rowOff>
    </xdr:from>
    <xdr:to>
      <xdr:col>4</xdr:col>
      <xdr:colOff>628650</xdr:colOff>
      <xdr:row>8</xdr:row>
      <xdr:rowOff>171450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866775" y="1240848"/>
          <a:ext cx="990600" cy="473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bg2"/>
              </a:solidFill>
            </a:rPr>
            <a:t>Traded</a:t>
          </a:r>
          <a:r>
            <a:rPr lang="en-US" sz="900" baseline="0">
              <a:solidFill>
                <a:schemeClr val="bg2"/>
              </a:solidFill>
            </a:rPr>
            <a:t> </a:t>
          </a:r>
        </a:p>
        <a:p>
          <a:pPr algn="ctr"/>
          <a:r>
            <a:rPr lang="en-US" sz="900" baseline="0">
              <a:solidFill>
                <a:schemeClr val="bg2"/>
              </a:solidFill>
            </a:rPr>
            <a:t>Symbol</a:t>
          </a:r>
          <a:endParaRPr lang="en-US" sz="900">
            <a:solidFill>
              <a:schemeClr val="bg2"/>
            </a:solidFill>
          </a:endParaRPr>
        </a:p>
      </xdr:txBody>
    </xdr:sp>
    <xdr:clientData/>
  </xdr:twoCellAnchor>
  <xdr:twoCellAnchor editAs="absolute">
    <xdr:from>
      <xdr:col>3</xdr:col>
      <xdr:colOff>219075</xdr:colOff>
      <xdr:row>0</xdr:row>
      <xdr:rowOff>85725</xdr:rowOff>
    </xdr:from>
    <xdr:to>
      <xdr:col>3</xdr:col>
      <xdr:colOff>401955</xdr:colOff>
      <xdr:row>1</xdr:row>
      <xdr:rowOff>20955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504825" y="85725"/>
          <a:ext cx="182880" cy="182880"/>
        </a:xfrm>
        <a:prstGeom prst="rect">
          <a:avLst/>
        </a:prstGeom>
      </xdr:spPr>
    </xdr:pic>
    <xdr:clientData/>
  </xdr:twoCellAnchor>
  <xdr:twoCellAnchor>
    <xdr:from>
      <xdr:col>3</xdr:col>
      <xdr:colOff>419100</xdr:colOff>
      <xdr:row>0</xdr:row>
      <xdr:rowOff>38100</xdr:rowOff>
    </xdr:from>
    <xdr:to>
      <xdr:col>4</xdr:col>
      <xdr:colOff>485775</xdr:colOff>
      <xdr:row>3</xdr:row>
      <xdr:rowOff>38100</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704850" y="38100"/>
          <a:ext cx="1009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aseline="0">
              <a:solidFill>
                <a:schemeClr val="bg2"/>
              </a:solidFill>
              <a:latin typeface="Bahnschrift SemiCondensed" panose="020B0502040204020203" pitchFamily="34" charset="0"/>
            </a:rPr>
            <a:t>Statistics</a:t>
          </a:r>
          <a:endParaRPr lang="en-US" sz="1000">
            <a:solidFill>
              <a:schemeClr val="bg2"/>
            </a:solidFill>
            <a:latin typeface="Bahnschrift SemiCondensed" panose="020B0502040204020203"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169544</xdr:colOff>
          <xdr:row>1</xdr:row>
          <xdr:rowOff>19050</xdr:rowOff>
        </xdr:from>
        <xdr:to>
          <xdr:col>6</xdr:col>
          <xdr:colOff>28575</xdr:colOff>
          <xdr:row>10</xdr:row>
          <xdr:rowOff>47625</xdr:rowOff>
        </xdr:to>
        <xdr:pic>
          <xdr:nvPicPr>
            <xdr:cNvPr id="6" name="Picture 5">
              <a:extLst>
                <a:ext uri="{FF2B5EF4-FFF2-40B4-BE49-F238E27FC236}">
                  <a16:creationId xmlns:a16="http://schemas.microsoft.com/office/drawing/2014/main" id="{00000000-0008-0000-0A00-000006000000}"/>
                </a:ext>
              </a:extLst>
            </xdr:cNvPr>
            <xdr:cNvPicPr>
              <a:picLocks noChangeAspect="1" noChangeArrowheads="1"/>
              <a:extLst>
                <a:ext uri="{84589F7E-364E-4C9E-8A38-B11213B215E9}">
                  <a14:cameraTool cellRange="'Trade Log'!$A$2:$H$10" spid="_x0000_s238932"/>
                </a:ext>
              </a:extLst>
            </xdr:cNvPicPr>
          </xdr:nvPicPr>
          <xdr:blipFill rotWithShape="1">
            <a:blip xmlns:r="http://schemas.openxmlformats.org/officeDocument/2006/relationships" r:embed="rId1"/>
            <a:srcRect b="1863"/>
            <a:stretch>
              <a:fillRect/>
            </a:stretch>
          </xdr:blipFill>
          <xdr:spPr bwMode="auto">
            <a:xfrm>
              <a:off x="169544" y="333375"/>
              <a:ext cx="3973831" cy="16383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0</xdr:col>
      <xdr:colOff>0</xdr:colOff>
      <xdr:row>0</xdr:row>
      <xdr:rowOff>0</xdr:rowOff>
    </xdr:from>
    <xdr:to>
      <xdr:col>10</xdr:col>
      <xdr:colOff>2333625</xdr:colOff>
      <xdr:row>13</xdr:row>
      <xdr:rowOff>0</xdr:rowOff>
    </xdr:to>
    <xdr:sp macro="" textlink="">
      <xdr:nvSpPr>
        <xdr:cNvPr id="7" name="Freeform: Shape 6">
          <a:extLst>
            <a:ext uri="{FF2B5EF4-FFF2-40B4-BE49-F238E27FC236}">
              <a16:creationId xmlns:a16="http://schemas.microsoft.com/office/drawing/2014/main" id="{00000000-0008-0000-0A00-000007000000}"/>
            </a:ext>
          </a:extLst>
        </xdr:cNvPr>
        <xdr:cNvSpPr/>
      </xdr:nvSpPr>
      <xdr:spPr>
        <a:xfrm>
          <a:off x="0" y="0"/>
          <a:ext cx="14963775" cy="2057400"/>
        </a:xfrm>
        <a:custGeom>
          <a:avLst/>
          <a:gdLst>
            <a:gd name="connsiteX0" fmla="*/ 6835455 w 12506547"/>
            <a:gd name="connsiteY0" fmla="*/ 284759 h 1645920"/>
            <a:gd name="connsiteX1" fmla="*/ 6692563 w 12506547"/>
            <a:gd name="connsiteY1" fmla="*/ 427651 h 1645920"/>
            <a:gd name="connsiteX2" fmla="*/ 6692563 w 12506547"/>
            <a:gd name="connsiteY2" fmla="*/ 1432323 h 1645920"/>
            <a:gd name="connsiteX3" fmla="*/ 6835455 w 12506547"/>
            <a:gd name="connsiteY3" fmla="*/ 1575215 h 1645920"/>
            <a:gd name="connsiteX4" fmla="*/ 10418427 w 12506547"/>
            <a:gd name="connsiteY4" fmla="*/ 1575215 h 1645920"/>
            <a:gd name="connsiteX5" fmla="*/ 10561319 w 12506547"/>
            <a:gd name="connsiteY5" fmla="*/ 1432323 h 1645920"/>
            <a:gd name="connsiteX6" fmla="*/ 10561319 w 12506547"/>
            <a:gd name="connsiteY6" fmla="*/ 427651 h 1645920"/>
            <a:gd name="connsiteX7" fmla="*/ 10418427 w 12506547"/>
            <a:gd name="connsiteY7" fmla="*/ 284759 h 1645920"/>
            <a:gd name="connsiteX8" fmla="*/ 3691007 w 12506547"/>
            <a:gd name="connsiteY8" fmla="*/ 284759 h 1645920"/>
            <a:gd name="connsiteX9" fmla="*/ 3548115 w 12506547"/>
            <a:gd name="connsiteY9" fmla="*/ 427651 h 1645920"/>
            <a:gd name="connsiteX10" fmla="*/ 3548115 w 12506547"/>
            <a:gd name="connsiteY10" fmla="*/ 1432323 h 1645920"/>
            <a:gd name="connsiteX11" fmla="*/ 3691007 w 12506547"/>
            <a:gd name="connsiteY11" fmla="*/ 1575215 h 1645920"/>
            <a:gd name="connsiteX12" fmla="*/ 6460038 w 12506547"/>
            <a:gd name="connsiteY12" fmla="*/ 1575215 h 1645920"/>
            <a:gd name="connsiteX13" fmla="*/ 6602930 w 12506547"/>
            <a:gd name="connsiteY13" fmla="*/ 1432323 h 1645920"/>
            <a:gd name="connsiteX14" fmla="*/ 6602930 w 12506547"/>
            <a:gd name="connsiteY14" fmla="*/ 427651 h 1645920"/>
            <a:gd name="connsiteX15" fmla="*/ 6460038 w 12506547"/>
            <a:gd name="connsiteY15" fmla="*/ 284759 h 1645920"/>
            <a:gd name="connsiteX16" fmla="*/ 400973 w 12506547"/>
            <a:gd name="connsiteY16" fmla="*/ 284759 h 1645920"/>
            <a:gd name="connsiteX17" fmla="*/ 258081 w 12506547"/>
            <a:gd name="connsiteY17" fmla="*/ 427651 h 1645920"/>
            <a:gd name="connsiteX18" fmla="*/ 258081 w 12506547"/>
            <a:gd name="connsiteY18" fmla="*/ 1432323 h 1645920"/>
            <a:gd name="connsiteX19" fmla="*/ 400973 w 12506547"/>
            <a:gd name="connsiteY19" fmla="*/ 1575215 h 1645920"/>
            <a:gd name="connsiteX20" fmla="*/ 3315589 w 12506547"/>
            <a:gd name="connsiteY20" fmla="*/ 1575215 h 1645920"/>
            <a:gd name="connsiteX21" fmla="*/ 3458481 w 12506547"/>
            <a:gd name="connsiteY21" fmla="*/ 1432323 h 1645920"/>
            <a:gd name="connsiteX22" fmla="*/ 3458481 w 12506547"/>
            <a:gd name="connsiteY22" fmla="*/ 427651 h 1645920"/>
            <a:gd name="connsiteX23" fmla="*/ 3315589 w 12506547"/>
            <a:gd name="connsiteY23" fmla="*/ 284759 h 1645920"/>
            <a:gd name="connsiteX24" fmla="*/ 0 w 12506547"/>
            <a:gd name="connsiteY24" fmla="*/ 0 h 1645920"/>
            <a:gd name="connsiteX25" fmla="*/ 12506547 w 12506547"/>
            <a:gd name="connsiteY25" fmla="*/ 0 h 1645920"/>
            <a:gd name="connsiteX26" fmla="*/ 12506547 w 12506547"/>
            <a:gd name="connsiteY26" fmla="*/ 1645920 h 1645920"/>
            <a:gd name="connsiteX27" fmla="*/ 0 w 12506547"/>
            <a:gd name="connsiteY27" fmla="*/ 1645920 h 16459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2506547" h="1645920">
              <a:moveTo>
                <a:pt x="6835455" y="284759"/>
              </a:moveTo>
              <a:cubicBezTo>
                <a:pt x="6756538" y="284759"/>
                <a:pt x="6692563" y="348734"/>
                <a:pt x="6692563" y="427651"/>
              </a:cubicBezTo>
              <a:lnTo>
                <a:pt x="6692563" y="1432323"/>
              </a:lnTo>
              <a:cubicBezTo>
                <a:pt x="6692563" y="1511240"/>
                <a:pt x="6756538" y="1575215"/>
                <a:pt x="6835455" y="1575215"/>
              </a:cubicBezTo>
              <a:lnTo>
                <a:pt x="10418427" y="1575215"/>
              </a:lnTo>
              <a:cubicBezTo>
                <a:pt x="10497344" y="1575215"/>
                <a:pt x="10561319" y="1511240"/>
                <a:pt x="10561319" y="1432323"/>
              </a:cubicBezTo>
              <a:lnTo>
                <a:pt x="10561319" y="427651"/>
              </a:lnTo>
              <a:cubicBezTo>
                <a:pt x="10561319" y="348734"/>
                <a:pt x="10497344" y="284759"/>
                <a:pt x="10418427" y="284759"/>
              </a:cubicBezTo>
              <a:close/>
              <a:moveTo>
                <a:pt x="3691007" y="284759"/>
              </a:moveTo>
              <a:cubicBezTo>
                <a:pt x="3612090" y="284759"/>
                <a:pt x="3548115" y="348734"/>
                <a:pt x="3548115" y="427651"/>
              </a:cubicBezTo>
              <a:lnTo>
                <a:pt x="3548115" y="1432323"/>
              </a:lnTo>
              <a:cubicBezTo>
                <a:pt x="3548115" y="1511240"/>
                <a:pt x="3612090" y="1575215"/>
                <a:pt x="3691007" y="1575215"/>
              </a:cubicBezTo>
              <a:lnTo>
                <a:pt x="6460038" y="1575215"/>
              </a:lnTo>
              <a:cubicBezTo>
                <a:pt x="6538955" y="1575215"/>
                <a:pt x="6602930" y="1511240"/>
                <a:pt x="6602930" y="1432323"/>
              </a:cubicBezTo>
              <a:lnTo>
                <a:pt x="6602930" y="427651"/>
              </a:lnTo>
              <a:cubicBezTo>
                <a:pt x="6602930" y="348734"/>
                <a:pt x="6538955" y="284759"/>
                <a:pt x="6460038" y="284759"/>
              </a:cubicBezTo>
              <a:close/>
              <a:moveTo>
                <a:pt x="400973" y="284759"/>
              </a:moveTo>
              <a:cubicBezTo>
                <a:pt x="322056" y="284759"/>
                <a:pt x="258081" y="348734"/>
                <a:pt x="258081" y="427651"/>
              </a:cubicBezTo>
              <a:lnTo>
                <a:pt x="258081" y="1432323"/>
              </a:lnTo>
              <a:cubicBezTo>
                <a:pt x="258081" y="1511240"/>
                <a:pt x="322056" y="1575215"/>
                <a:pt x="400973" y="1575215"/>
              </a:cubicBezTo>
              <a:lnTo>
                <a:pt x="3315589" y="1575215"/>
              </a:lnTo>
              <a:cubicBezTo>
                <a:pt x="3394506" y="1575215"/>
                <a:pt x="3458481" y="1511240"/>
                <a:pt x="3458481" y="1432323"/>
              </a:cubicBezTo>
              <a:lnTo>
                <a:pt x="3458481" y="427651"/>
              </a:lnTo>
              <a:cubicBezTo>
                <a:pt x="3458481" y="348734"/>
                <a:pt x="3394506" y="284759"/>
                <a:pt x="3315589" y="284759"/>
              </a:cubicBezTo>
              <a:close/>
              <a:moveTo>
                <a:pt x="0" y="0"/>
              </a:moveTo>
              <a:lnTo>
                <a:pt x="12506547" y="0"/>
              </a:lnTo>
              <a:lnTo>
                <a:pt x="12506547" y="1645920"/>
              </a:lnTo>
              <a:lnTo>
                <a:pt x="0" y="1645920"/>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9</xdr:col>
      <xdr:colOff>190499</xdr:colOff>
      <xdr:row>3</xdr:row>
      <xdr:rowOff>95250</xdr:rowOff>
    </xdr:from>
    <xdr:to>
      <xdr:col>9</xdr:col>
      <xdr:colOff>4000500</xdr:colOff>
      <xdr:row>9</xdr:row>
      <xdr:rowOff>104775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7934324" y="457200"/>
          <a:ext cx="3810001"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C83232"/>
              </a:solidFill>
              <a:latin typeface="Arial" panose="020B0604020202020204" pitchFamily="34" charset="0"/>
              <a:cs typeface="Arial" panose="020B0604020202020204" pitchFamily="34" charset="0"/>
            </a:rPr>
            <a:t>   </a:t>
          </a:r>
          <a:r>
            <a:rPr lang="en-US" sz="1000">
              <a:solidFill>
                <a:schemeClr val="accent2"/>
              </a:solidFill>
              <a:latin typeface="Arial" panose="020B0604020202020204" pitchFamily="34" charset="0"/>
              <a:cs typeface="Arial" panose="020B0604020202020204" pitchFamily="34" charset="0"/>
            </a:rPr>
            <a:t>NOTE: </a:t>
          </a:r>
        </a:p>
        <a:p>
          <a:r>
            <a:rPr lang="en-US" sz="900">
              <a:solidFill>
                <a:schemeClr val="accent2"/>
              </a:solidFill>
              <a:latin typeface="Arial" panose="020B0604020202020204" pitchFamily="34" charset="0"/>
              <a:cs typeface="Arial" panose="020B0604020202020204" pitchFamily="34" charset="0"/>
            </a:rPr>
            <a:t>   For STOCK DIVIDEND or STOCK SPLIT received,</a:t>
          </a:r>
        </a:p>
        <a:p>
          <a:r>
            <a:rPr lang="en-US" sz="900">
              <a:solidFill>
                <a:schemeClr val="accent2"/>
              </a:solidFill>
              <a:latin typeface="Arial" panose="020B0604020202020204" pitchFamily="34" charset="0"/>
              <a:cs typeface="Arial" panose="020B0604020202020204" pitchFamily="34" charset="0"/>
            </a:rPr>
            <a:t>   Enter the data in the "Trade Log" sheet without the stock price.</a:t>
          </a:r>
        </a:p>
        <a:p>
          <a:endParaRPr lang="en-US" sz="1000">
            <a:solidFill>
              <a:srgbClr val="C83232"/>
            </a:solidFill>
            <a:latin typeface="Arial" panose="020B0604020202020204" pitchFamily="34" charset="0"/>
            <a:cs typeface="Arial" panose="020B0604020202020204" pitchFamily="34" charset="0"/>
          </a:endParaRPr>
        </a:p>
        <a:p>
          <a:r>
            <a:rPr lang="en-US" sz="1000">
              <a:solidFill>
                <a:schemeClr val="bg1">
                  <a:lumMod val="65000"/>
                </a:schemeClr>
              </a:solidFill>
              <a:latin typeface="Arial" panose="020B0604020202020204" pitchFamily="34" charset="0"/>
              <a:cs typeface="Arial" panose="020B0604020202020204" pitchFamily="34" charset="0"/>
            </a:rPr>
            <a:t>   </a:t>
          </a:r>
          <a:r>
            <a:rPr lang="en-US" sz="1000">
              <a:solidFill>
                <a:srgbClr val="67737F"/>
              </a:solidFill>
              <a:latin typeface="Arial" panose="020B0604020202020204" pitchFamily="34" charset="0"/>
              <a:cs typeface="Arial" panose="020B0604020202020204" pitchFamily="34" charset="0"/>
            </a:rPr>
            <a:t>E</a:t>
          </a:r>
          <a:r>
            <a:rPr lang="en-US" sz="1000" b="0">
              <a:solidFill>
                <a:srgbClr val="67737F"/>
              </a:solidFill>
              <a:latin typeface="Arial" panose="020B0604020202020204" pitchFamily="34" charset="0"/>
              <a:cs typeface="Arial" panose="020B0604020202020204" pitchFamily="34" charset="0"/>
            </a:rPr>
            <a:t>xample:</a:t>
          </a:r>
        </a:p>
        <a:p>
          <a:r>
            <a:rPr lang="en-US" sz="800">
              <a:solidFill>
                <a:srgbClr val="67737F"/>
              </a:solidFill>
              <a:latin typeface="Arial" panose="020B0604020202020204" pitchFamily="34" charset="0"/>
              <a:cs typeface="Arial" panose="020B0604020202020204" pitchFamily="34" charset="0"/>
            </a:rPr>
            <a:t>    DATE | STOCK CODE | BUY | PRICE LEAVE BLANK | </a:t>
          </a:r>
          <a:r>
            <a:rPr lang="en-US" sz="800">
              <a:solidFill>
                <a:srgbClr val="F84960"/>
              </a:solidFill>
              <a:latin typeface="Arial" panose="020B0604020202020204" pitchFamily="34" charset="0"/>
              <a:cs typeface="Arial" panose="020B0604020202020204" pitchFamily="34" charset="0"/>
            </a:rPr>
            <a:t> </a:t>
          </a:r>
          <a:r>
            <a:rPr lang="en-US" sz="800">
              <a:solidFill>
                <a:schemeClr val="accent2"/>
              </a:solidFill>
              <a:latin typeface="Arial" panose="020B0604020202020204" pitchFamily="34" charset="0"/>
              <a:cs typeface="Arial" panose="020B0604020202020204" pitchFamily="34" charset="0"/>
            </a:rPr>
            <a:t>SHARES RECEIVED</a:t>
          </a:r>
        </a:p>
        <a:p>
          <a:endParaRPr lang="en-US" sz="1000">
            <a:solidFill>
              <a:srgbClr val="C83232"/>
            </a:solidFill>
            <a:latin typeface="Arial" panose="020B0604020202020204" pitchFamily="34" charset="0"/>
            <a:cs typeface="Arial" panose="020B0604020202020204" pitchFamily="34" charset="0"/>
          </a:endParaRPr>
        </a:p>
        <a:p>
          <a:r>
            <a:rPr lang="en-US" sz="1000">
              <a:solidFill>
                <a:srgbClr val="67737F"/>
              </a:solidFill>
              <a:latin typeface="Arial" panose="020B0604020202020204" pitchFamily="34" charset="0"/>
              <a:cs typeface="Arial" panose="020B0604020202020204" pitchFamily="34" charset="0"/>
            </a:rPr>
            <a:t>   Stock shares and average price will be adjusted accordingly.</a:t>
          </a:r>
        </a:p>
      </xdr:txBody>
    </xdr:sp>
    <xdr:clientData/>
  </xdr:twoCellAnchor>
  <xdr:twoCellAnchor editAs="absolute">
    <xdr:from>
      <xdr:col>9</xdr:col>
      <xdr:colOff>4752038</xdr:colOff>
      <xdr:row>0</xdr:row>
      <xdr:rowOff>79242</xdr:rowOff>
    </xdr:from>
    <xdr:to>
      <xdr:col>10</xdr:col>
      <xdr:colOff>75409</xdr:colOff>
      <xdr:row>0</xdr:row>
      <xdr:rowOff>225559</xdr:rowOff>
    </xdr:to>
    <xdr:pic macro="[0]!Maximize">
      <xdr:nvPicPr>
        <xdr:cNvPr id="16" name="Picture 15">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2"/>
        <a:stretch>
          <a:fillRect/>
        </a:stretch>
      </xdr:blipFill>
      <xdr:spPr>
        <a:xfrm>
          <a:off x="12495863" y="79242"/>
          <a:ext cx="143021" cy="146317"/>
        </a:xfrm>
        <a:prstGeom prst="rect">
          <a:avLst/>
        </a:prstGeom>
      </xdr:spPr>
    </xdr:pic>
    <xdr:clientData/>
  </xdr:twoCellAnchor>
  <xdr:twoCellAnchor editAs="absolute">
    <xdr:from>
      <xdr:col>9</xdr:col>
      <xdr:colOff>4396523</xdr:colOff>
      <xdr:row>0</xdr:row>
      <xdr:rowOff>85725</xdr:rowOff>
    </xdr:from>
    <xdr:to>
      <xdr:col>9</xdr:col>
      <xdr:colOff>4539398</xdr:colOff>
      <xdr:row>0</xdr:row>
      <xdr:rowOff>219076</xdr:rowOff>
    </xdr:to>
    <xdr:pic macro="[0]!Minimize">
      <xdr:nvPicPr>
        <xdr:cNvPr id="17" name="Picture 16">
          <a:extLst>
            <a:ext uri="{FF2B5EF4-FFF2-40B4-BE49-F238E27FC236}">
              <a16:creationId xmlns:a16="http://schemas.microsoft.com/office/drawing/2014/main" id="{00000000-0008-0000-0A00-000011000000}"/>
            </a:ext>
          </a:extLst>
        </xdr:cNvPr>
        <xdr:cNvPicPr>
          <a:picLocks/>
        </xdr:cNvPicPr>
      </xdr:nvPicPr>
      <xdr:blipFill>
        <a:blip xmlns:r="http://schemas.openxmlformats.org/officeDocument/2006/relationships" r:embed="rId3"/>
        <a:stretch>
          <a:fillRect/>
        </a:stretch>
      </xdr:blipFill>
      <xdr:spPr>
        <a:xfrm>
          <a:off x="12140348" y="85725"/>
          <a:ext cx="142875" cy="13335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9</xdr:col>
          <xdr:colOff>3981450</xdr:colOff>
          <xdr:row>0</xdr:row>
          <xdr:rowOff>38100</xdr:rowOff>
        </xdr:from>
        <xdr:to>
          <xdr:col>9</xdr:col>
          <xdr:colOff>4212457</xdr:colOff>
          <xdr:row>0</xdr:row>
          <xdr:rowOff>266700</xdr:rowOff>
        </xdr:to>
        <xdr:pic>
          <xdr:nvPicPr>
            <xdr:cNvPr id="18" name="Picture 17">
              <a:hlinkClick xmlns:r="http://schemas.openxmlformats.org/officeDocument/2006/relationships" r:id="rId4" tooltip="Dashboard"/>
              <a:extLst>
                <a:ext uri="{FF2B5EF4-FFF2-40B4-BE49-F238E27FC236}">
                  <a16:creationId xmlns:a16="http://schemas.microsoft.com/office/drawing/2014/main" id="{00000000-0008-0000-0A00-000012000000}"/>
                </a:ext>
              </a:extLst>
            </xdr:cNvPr>
            <xdr:cNvPicPr>
              <a:picLocks noChangeAspect="1" noChangeArrowheads="1"/>
              <a:extLst>
                <a:ext uri="{84589F7E-364E-4C9E-8A38-B11213B215E9}">
                  <a14:cameraTool cellRange="Settings!$M$3:$M$6" spid="_x0000_s238933"/>
                </a:ext>
              </a:extLst>
            </xdr:cNvPicPr>
          </xdr:nvPicPr>
          <xdr:blipFill>
            <a:blip xmlns:r="http://schemas.openxmlformats.org/officeDocument/2006/relationships" r:embed="rId5"/>
            <a:srcRect/>
            <a:stretch>
              <a:fillRect/>
            </a:stretch>
          </xdr:blipFill>
          <xdr:spPr bwMode="auto">
            <a:xfrm>
              <a:off x="11725275" y="38100"/>
              <a:ext cx="231007"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9</xdr:col>
      <xdr:colOff>4311631</xdr:colOff>
      <xdr:row>6</xdr:row>
      <xdr:rowOff>200025</xdr:rowOff>
    </xdr:from>
    <xdr:to>
      <xdr:col>9</xdr:col>
      <xdr:colOff>4624724</xdr:colOff>
      <xdr:row>8</xdr:row>
      <xdr:rowOff>65443</xdr:rowOff>
    </xdr:to>
    <xdr:sp macro="[0]!TLogLAST" textlink="">
      <xdr:nvSpPr>
        <xdr:cNvPr id="3" name="Oval 2">
          <a:extLst>
            <a:ext uri="{FF2B5EF4-FFF2-40B4-BE49-F238E27FC236}">
              <a16:creationId xmlns:a16="http://schemas.microsoft.com/office/drawing/2014/main" id="{00000000-0008-0000-0A00-000003000000}"/>
            </a:ext>
          </a:extLst>
        </xdr:cNvPr>
        <xdr:cNvSpPr/>
      </xdr:nvSpPr>
      <xdr:spPr>
        <a:xfrm>
          <a:off x="12055456" y="1209675"/>
          <a:ext cx="313093"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absolute">
    <xdr:from>
      <xdr:col>9</xdr:col>
      <xdr:colOff>4305300</xdr:colOff>
      <xdr:row>4</xdr:row>
      <xdr:rowOff>171450</xdr:rowOff>
    </xdr:from>
    <xdr:to>
      <xdr:col>9</xdr:col>
      <xdr:colOff>4631055</xdr:colOff>
      <xdr:row>6</xdr:row>
      <xdr:rowOff>36868</xdr:rowOff>
    </xdr:to>
    <xdr:sp macro="[0]!TReviewUP" textlink="">
      <xdr:nvSpPr>
        <xdr:cNvPr id="4" name="Oval 3">
          <a:extLst>
            <a:ext uri="{FF2B5EF4-FFF2-40B4-BE49-F238E27FC236}">
              <a16:creationId xmlns:a16="http://schemas.microsoft.com/office/drawing/2014/main" id="{00000000-0008-0000-0A00-000004000000}"/>
            </a:ext>
          </a:extLst>
        </xdr:cNvPr>
        <xdr:cNvSpPr/>
      </xdr:nvSpPr>
      <xdr:spPr>
        <a:xfrm flipV="1">
          <a:off x="12049125" y="723900"/>
          <a:ext cx="325755"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oneCell">
    <xdr:from>
      <xdr:col>3</xdr:col>
      <xdr:colOff>190500</xdr:colOff>
      <xdr:row>0</xdr:row>
      <xdr:rowOff>66675</xdr:rowOff>
    </xdr:from>
    <xdr:to>
      <xdr:col>3</xdr:col>
      <xdr:colOff>400812</xdr:colOff>
      <xdr:row>0</xdr:row>
      <xdr:rowOff>276987</xdr:rowOff>
    </xdr:to>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76250" y="66675"/>
          <a:ext cx="210312" cy="210312"/>
        </a:xfrm>
        <a:prstGeom prst="rect">
          <a:avLst/>
        </a:prstGeom>
      </xdr:spPr>
    </xdr:pic>
    <xdr:clientData/>
  </xdr:twoCellAnchor>
  <xdr:twoCellAnchor editAs="absolute">
    <xdr:from>
      <xdr:col>3</xdr:col>
      <xdr:colOff>400050</xdr:colOff>
      <xdr:row>0</xdr:row>
      <xdr:rowOff>66675</xdr:rowOff>
    </xdr:from>
    <xdr:to>
      <xdr:col>4</xdr:col>
      <xdr:colOff>449916</xdr:colOff>
      <xdr:row>0</xdr:row>
      <xdr:rowOff>304800</xdr:rowOff>
    </xdr:to>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685800" y="66675"/>
          <a:ext cx="13262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Dividends</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76200</xdr:rowOff>
    </xdr:from>
    <xdr:to>
      <xdr:col>28</xdr:col>
      <xdr:colOff>299357</xdr:colOff>
      <xdr:row>37</xdr:row>
      <xdr:rowOff>180975</xdr:rowOff>
    </xdr:to>
    <xdr:sp macro="" textlink="">
      <xdr:nvSpPr>
        <xdr:cNvPr id="5" name="Freeform: Shape 4">
          <a:extLst>
            <a:ext uri="{FF2B5EF4-FFF2-40B4-BE49-F238E27FC236}">
              <a16:creationId xmlns:a16="http://schemas.microsoft.com/office/drawing/2014/main" id="{00000000-0008-0000-0B00-000005000000}"/>
            </a:ext>
          </a:extLst>
        </xdr:cNvPr>
        <xdr:cNvSpPr/>
      </xdr:nvSpPr>
      <xdr:spPr>
        <a:xfrm>
          <a:off x="0" y="76200"/>
          <a:ext cx="13310507" cy="9315450"/>
        </a:xfrm>
        <a:custGeom>
          <a:avLst/>
          <a:gdLst>
            <a:gd name="connsiteX0" fmla="*/ 6000824 w 8682796"/>
            <a:gd name="connsiteY0" fmla="*/ 1665032 h 5571712"/>
            <a:gd name="connsiteX1" fmla="*/ 5895146 w 8682796"/>
            <a:gd name="connsiteY1" fmla="*/ 1770710 h 5571712"/>
            <a:gd name="connsiteX2" fmla="*/ 5895146 w 8682796"/>
            <a:gd name="connsiteY2" fmla="*/ 5188823 h 5571712"/>
            <a:gd name="connsiteX3" fmla="*/ 6000824 w 8682796"/>
            <a:gd name="connsiteY3" fmla="*/ 5294501 h 5571712"/>
            <a:gd name="connsiteX4" fmla="*/ 8166400 w 8682796"/>
            <a:gd name="connsiteY4" fmla="*/ 5294501 h 5571712"/>
            <a:gd name="connsiteX5" fmla="*/ 8272078 w 8682796"/>
            <a:gd name="connsiteY5" fmla="*/ 5188823 h 5571712"/>
            <a:gd name="connsiteX6" fmla="*/ 8272078 w 8682796"/>
            <a:gd name="connsiteY6" fmla="*/ 1770710 h 5571712"/>
            <a:gd name="connsiteX7" fmla="*/ 8166400 w 8682796"/>
            <a:gd name="connsiteY7" fmla="*/ 1665032 h 5571712"/>
            <a:gd name="connsiteX8" fmla="*/ 3318251 w 8682796"/>
            <a:gd name="connsiteY8" fmla="*/ 1665032 h 5571712"/>
            <a:gd name="connsiteX9" fmla="*/ 3215446 w 8682796"/>
            <a:gd name="connsiteY9" fmla="*/ 1767836 h 5571712"/>
            <a:gd name="connsiteX10" fmla="*/ 3215446 w 8682796"/>
            <a:gd name="connsiteY10" fmla="*/ 5191697 h 5571712"/>
            <a:gd name="connsiteX11" fmla="*/ 3318251 w 8682796"/>
            <a:gd name="connsiteY11" fmla="*/ 5294501 h 5571712"/>
            <a:gd name="connsiteX12" fmla="*/ 5735192 w 8682796"/>
            <a:gd name="connsiteY12" fmla="*/ 5294501 h 5571712"/>
            <a:gd name="connsiteX13" fmla="*/ 5837996 w 8682796"/>
            <a:gd name="connsiteY13" fmla="*/ 5191697 h 5571712"/>
            <a:gd name="connsiteX14" fmla="*/ 5837996 w 8682796"/>
            <a:gd name="connsiteY14" fmla="*/ 1767836 h 5571712"/>
            <a:gd name="connsiteX15" fmla="*/ 5735192 w 8682796"/>
            <a:gd name="connsiteY15" fmla="*/ 1665032 h 5571712"/>
            <a:gd name="connsiteX16" fmla="*/ 189425 w 8682796"/>
            <a:gd name="connsiteY16" fmla="*/ 1665032 h 5571712"/>
            <a:gd name="connsiteX17" fmla="*/ 98866 w 8682796"/>
            <a:gd name="connsiteY17" fmla="*/ 1755591 h 5571712"/>
            <a:gd name="connsiteX18" fmla="*/ 98866 w 8682796"/>
            <a:gd name="connsiteY18" fmla="*/ 5213594 h 5571712"/>
            <a:gd name="connsiteX19" fmla="*/ 189425 w 8682796"/>
            <a:gd name="connsiteY19" fmla="*/ 5304153 h 5571712"/>
            <a:gd name="connsiteX20" fmla="*/ 3067738 w 8682796"/>
            <a:gd name="connsiteY20" fmla="*/ 5304153 h 5571712"/>
            <a:gd name="connsiteX21" fmla="*/ 3158296 w 8682796"/>
            <a:gd name="connsiteY21" fmla="*/ 5213594 h 5571712"/>
            <a:gd name="connsiteX22" fmla="*/ 3158296 w 8682796"/>
            <a:gd name="connsiteY22" fmla="*/ 1755591 h 5571712"/>
            <a:gd name="connsiteX23" fmla="*/ 3067738 w 8682796"/>
            <a:gd name="connsiteY23" fmla="*/ 1665032 h 5571712"/>
            <a:gd name="connsiteX24" fmla="*/ 6108911 w 8682796"/>
            <a:gd name="connsiteY24" fmla="*/ 1055433 h 5571712"/>
            <a:gd name="connsiteX25" fmla="*/ 6024178 w 8682796"/>
            <a:gd name="connsiteY25" fmla="*/ 1140166 h 5571712"/>
            <a:gd name="connsiteX26" fmla="*/ 6024178 w 8682796"/>
            <a:gd name="connsiteY26" fmla="*/ 1537627 h 5571712"/>
            <a:gd name="connsiteX27" fmla="*/ 6108911 w 8682796"/>
            <a:gd name="connsiteY27" fmla="*/ 1622360 h 5571712"/>
            <a:gd name="connsiteX28" fmla="*/ 8187345 w 8682796"/>
            <a:gd name="connsiteY28" fmla="*/ 1622360 h 5571712"/>
            <a:gd name="connsiteX29" fmla="*/ 8272078 w 8682796"/>
            <a:gd name="connsiteY29" fmla="*/ 1537627 h 5571712"/>
            <a:gd name="connsiteX30" fmla="*/ 8272078 w 8682796"/>
            <a:gd name="connsiteY30" fmla="*/ 1140166 h 5571712"/>
            <a:gd name="connsiteX31" fmla="*/ 8187345 w 8682796"/>
            <a:gd name="connsiteY31" fmla="*/ 1055433 h 5571712"/>
            <a:gd name="connsiteX32" fmla="*/ 4795134 w 8682796"/>
            <a:gd name="connsiteY32" fmla="*/ 1055432 h 5571712"/>
            <a:gd name="connsiteX33" fmla="*/ 4695820 w 8682796"/>
            <a:gd name="connsiteY33" fmla="*/ 1154746 h 5571712"/>
            <a:gd name="connsiteX34" fmla="*/ 4695820 w 8682796"/>
            <a:gd name="connsiteY34" fmla="*/ 1523046 h 5571712"/>
            <a:gd name="connsiteX35" fmla="*/ 4795134 w 8682796"/>
            <a:gd name="connsiteY35" fmla="*/ 1622360 h 5571712"/>
            <a:gd name="connsiteX36" fmla="*/ 5870570 w 8682796"/>
            <a:gd name="connsiteY36" fmla="*/ 1622360 h 5571712"/>
            <a:gd name="connsiteX37" fmla="*/ 5969884 w 8682796"/>
            <a:gd name="connsiteY37" fmla="*/ 1523046 h 5571712"/>
            <a:gd name="connsiteX38" fmla="*/ 5969884 w 8682796"/>
            <a:gd name="connsiteY38" fmla="*/ 1154746 h 5571712"/>
            <a:gd name="connsiteX39" fmla="*/ 5870570 w 8682796"/>
            <a:gd name="connsiteY39" fmla="*/ 1055432 h 5571712"/>
            <a:gd name="connsiteX40" fmla="*/ 3310126 w 8682796"/>
            <a:gd name="connsiteY40" fmla="*/ 1055432 h 5571712"/>
            <a:gd name="connsiteX41" fmla="*/ 3212779 w 8682796"/>
            <a:gd name="connsiteY41" fmla="*/ 1152780 h 5571712"/>
            <a:gd name="connsiteX42" fmla="*/ 3212779 w 8682796"/>
            <a:gd name="connsiteY42" fmla="*/ 1525013 h 5571712"/>
            <a:gd name="connsiteX43" fmla="*/ 3310126 w 8682796"/>
            <a:gd name="connsiteY43" fmla="*/ 1622360 h 5571712"/>
            <a:gd name="connsiteX44" fmla="*/ 4544181 w 8682796"/>
            <a:gd name="connsiteY44" fmla="*/ 1622360 h 5571712"/>
            <a:gd name="connsiteX45" fmla="*/ 4641528 w 8682796"/>
            <a:gd name="connsiteY45" fmla="*/ 1525013 h 5571712"/>
            <a:gd name="connsiteX46" fmla="*/ 4641528 w 8682796"/>
            <a:gd name="connsiteY46" fmla="*/ 1152780 h 5571712"/>
            <a:gd name="connsiteX47" fmla="*/ 4544181 w 8682796"/>
            <a:gd name="connsiteY47" fmla="*/ 1055432 h 5571712"/>
            <a:gd name="connsiteX48" fmla="*/ 2002095 w 8682796"/>
            <a:gd name="connsiteY48" fmla="*/ 1055432 h 5571712"/>
            <a:gd name="connsiteX49" fmla="*/ 1908807 w 8682796"/>
            <a:gd name="connsiteY49" fmla="*/ 1148720 h 5571712"/>
            <a:gd name="connsiteX50" fmla="*/ 1908807 w 8682796"/>
            <a:gd name="connsiteY50" fmla="*/ 1529072 h 5571712"/>
            <a:gd name="connsiteX51" fmla="*/ 2002095 w 8682796"/>
            <a:gd name="connsiteY51" fmla="*/ 1622360 h 5571712"/>
            <a:gd name="connsiteX52" fmla="*/ 3065199 w 8682796"/>
            <a:gd name="connsiteY52" fmla="*/ 1622360 h 5571712"/>
            <a:gd name="connsiteX53" fmla="*/ 3158487 w 8682796"/>
            <a:gd name="connsiteY53" fmla="*/ 1529072 h 5571712"/>
            <a:gd name="connsiteX54" fmla="*/ 3158487 w 8682796"/>
            <a:gd name="connsiteY54" fmla="*/ 1148720 h 5571712"/>
            <a:gd name="connsiteX55" fmla="*/ 3065199 w 8682796"/>
            <a:gd name="connsiteY55" fmla="*/ 1055432 h 5571712"/>
            <a:gd name="connsiteX56" fmla="*/ 4768346 w 8682796"/>
            <a:gd name="connsiteY56" fmla="*/ 144081 h 5571712"/>
            <a:gd name="connsiteX57" fmla="*/ 4693726 w 8682796"/>
            <a:gd name="connsiteY57" fmla="*/ 218701 h 5571712"/>
            <a:gd name="connsiteX58" fmla="*/ 4693726 w 8682796"/>
            <a:gd name="connsiteY58" fmla="*/ 938141 h 5571712"/>
            <a:gd name="connsiteX59" fmla="*/ 4768346 w 8682796"/>
            <a:gd name="connsiteY59" fmla="*/ 1012761 h 5571712"/>
            <a:gd name="connsiteX60" fmla="*/ 8197458 w 8682796"/>
            <a:gd name="connsiteY60" fmla="*/ 1012761 h 5571712"/>
            <a:gd name="connsiteX61" fmla="*/ 8272078 w 8682796"/>
            <a:gd name="connsiteY61" fmla="*/ 938141 h 5571712"/>
            <a:gd name="connsiteX62" fmla="*/ 8272078 w 8682796"/>
            <a:gd name="connsiteY62" fmla="*/ 218701 h 5571712"/>
            <a:gd name="connsiteX63" fmla="*/ 8197458 w 8682796"/>
            <a:gd name="connsiteY63" fmla="*/ 144081 h 5571712"/>
            <a:gd name="connsiteX64" fmla="*/ 3286004 w 8682796"/>
            <a:gd name="connsiteY64" fmla="*/ 144081 h 5571712"/>
            <a:gd name="connsiteX65" fmla="*/ 3211384 w 8682796"/>
            <a:gd name="connsiteY65" fmla="*/ 218701 h 5571712"/>
            <a:gd name="connsiteX66" fmla="*/ 3211384 w 8682796"/>
            <a:gd name="connsiteY66" fmla="*/ 938141 h 5571712"/>
            <a:gd name="connsiteX67" fmla="*/ 3286004 w 8682796"/>
            <a:gd name="connsiteY67" fmla="*/ 1012761 h 5571712"/>
            <a:gd name="connsiteX68" fmla="*/ 4565512 w 8682796"/>
            <a:gd name="connsiteY68" fmla="*/ 1012761 h 5571712"/>
            <a:gd name="connsiteX69" fmla="*/ 4640132 w 8682796"/>
            <a:gd name="connsiteY69" fmla="*/ 938141 h 5571712"/>
            <a:gd name="connsiteX70" fmla="*/ 4640132 w 8682796"/>
            <a:gd name="connsiteY70" fmla="*/ 218701 h 5571712"/>
            <a:gd name="connsiteX71" fmla="*/ 4565512 w 8682796"/>
            <a:gd name="connsiteY71" fmla="*/ 144081 h 5571712"/>
            <a:gd name="connsiteX72" fmla="*/ 1980280 w 8682796"/>
            <a:gd name="connsiteY72" fmla="*/ 144081 h 5571712"/>
            <a:gd name="connsiteX73" fmla="*/ 1908110 w 8682796"/>
            <a:gd name="connsiteY73" fmla="*/ 216251 h 5571712"/>
            <a:gd name="connsiteX74" fmla="*/ 1908110 w 8682796"/>
            <a:gd name="connsiteY74" fmla="*/ 940591 h 5571712"/>
            <a:gd name="connsiteX75" fmla="*/ 1980280 w 8682796"/>
            <a:gd name="connsiteY75" fmla="*/ 1012761 h 5571712"/>
            <a:gd name="connsiteX76" fmla="*/ 3085619 w 8682796"/>
            <a:gd name="connsiteY76" fmla="*/ 1012761 h 5571712"/>
            <a:gd name="connsiteX77" fmla="*/ 3157789 w 8682796"/>
            <a:gd name="connsiteY77" fmla="*/ 940591 h 5571712"/>
            <a:gd name="connsiteX78" fmla="*/ 3157789 w 8682796"/>
            <a:gd name="connsiteY78" fmla="*/ 216251 h 5571712"/>
            <a:gd name="connsiteX79" fmla="*/ 3085619 w 8682796"/>
            <a:gd name="connsiteY79" fmla="*/ 144081 h 5571712"/>
            <a:gd name="connsiteX80" fmla="*/ 176299 w 8682796"/>
            <a:gd name="connsiteY80" fmla="*/ 144081 h 5571712"/>
            <a:gd name="connsiteX81" fmla="*/ 98867 w 8682796"/>
            <a:gd name="connsiteY81" fmla="*/ 221513 h 5571712"/>
            <a:gd name="connsiteX82" fmla="*/ 98867 w 8682796"/>
            <a:gd name="connsiteY82" fmla="*/ 1544928 h 5571712"/>
            <a:gd name="connsiteX83" fmla="*/ 176299 w 8682796"/>
            <a:gd name="connsiteY83" fmla="*/ 1622360 h 5571712"/>
            <a:gd name="connsiteX84" fmla="*/ 1777084 w 8682796"/>
            <a:gd name="connsiteY84" fmla="*/ 1622360 h 5571712"/>
            <a:gd name="connsiteX85" fmla="*/ 1854516 w 8682796"/>
            <a:gd name="connsiteY85" fmla="*/ 1544928 h 5571712"/>
            <a:gd name="connsiteX86" fmla="*/ 1854516 w 8682796"/>
            <a:gd name="connsiteY86" fmla="*/ 221513 h 5571712"/>
            <a:gd name="connsiteX87" fmla="*/ 1777084 w 8682796"/>
            <a:gd name="connsiteY87" fmla="*/ 144081 h 5571712"/>
            <a:gd name="connsiteX88" fmla="*/ 0 w 8682796"/>
            <a:gd name="connsiteY88" fmla="*/ 0 h 5571712"/>
            <a:gd name="connsiteX89" fmla="*/ 8682796 w 8682796"/>
            <a:gd name="connsiteY89" fmla="*/ 0 h 5571712"/>
            <a:gd name="connsiteX90" fmla="*/ 8682796 w 8682796"/>
            <a:gd name="connsiteY90" fmla="*/ 5571712 h 5571712"/>
            <a:gd name="connsiteX91" fmla="*/ 0 w 8682796"/>
            <a:gd name="connsiteY91" fmla="*/ 5571712 h 55717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Lst>
          <a:rect l="l" t="t" r="r" b="b"/>
          <a:pathLst>
            <a:path w="8682796" h="5571712">
              <a:moveTo>
                <a:pt x="6000824" y="1665032"/>
              </a:moveTo>
              <a:cubicBezTo>
                <a:pt x="5942460" y="1665032"/>
                <a:pt x="5895146" y="1712346"/>
                <a:pt x="5895146" y="1770710"/>
              </a:cubicBezTo>
              <a:lnTo>
                <a:pt x="5895146" y="5188823"/>
              </a:lnTo>
              <a:cubicBezTo>
                <a:pt x="5895146" y="5247187"/>
                <a:pt x="5942460" y="5294501"/>
                <a:pt x="6000824" y="5294501"/>
              </a:cubicBezTo>
              <a:lnTo>
                <a:pt x="8166400" y="5294501"/>
              </a:lnTo>
              <a:cubicBezTo>
                <a:pt x="8224764" y="5294501"/>
                <a:pt x="8272078" y="5247187"/>
                <a:pt x="8272078" y="5188823"/>
              </a:cubicBezTo>
              <a:lnTo>
                <a:pt x="8272078" y="1770710"/>
              </a:lnTo>
              <a:cubicBezTo>
                <a:pt x="8272078" y="1712346"/>
                <a:pt x="8224764" y="1665032"/>
                <a:pt x="8166400" y="1665032"/>
              </a:cubicBezTo>
              <a:close/>
              <a:moveTo>
                <a:pt x="3318251" y="1665032"/>
              </a:moveTo>
              <a:cubicBezTo>
                <a:pt x="3261473" y="1665032"/>
                <a:pt x="3215446" y="1711059"/>
                <a:pt x="3215446" y="1767836"/>
              </a:cubicBezTo>
              <a:lnTo>
                <a:pt x="3215446" y="5191697"/>
              </a:lnTo>
              <a:cubicBezTo>
                <a:pt x="3215446" y="5248474"/>
                <a:pt x="3261473" y="5294501"/>
                <a:pt x="3318251" y="5294501"/>
              </a:cubicBezTo>
              <a:lnTo>
                <a:pt x="5735192" y="5294501"/>
              </a:lnTo>
              <a:cubicBezTo>
                <a:pt x="5791969" y="5294501"/>
                <a:pt x="5837996" y="5248474"/>
                <a:pt x="5837996" y="5191697"/>
              </a:cubicBezTo>
              <a:lnTo>
                <a:pt x="5837996" y="1767836"/>
              </a:lnTo>
              <a:cubicBezTo>
                <a:pt x="5837996" y="1711059"/>
                <a:pt x="5791969" y="1665032"/>
                <a:pt x="5735192" y="1665032"/>
              </a:cubicBezTo>
              <a:close/>
              <a:moveTo>
                <a:pt x="189425" y="1665032"/>
              </a:moveTo>
              <a:cubicBezTo>
                <a:pt x="139411" y="1665032"/>
                <a:pt x="98866" y="1705577"/>
                <a:pt x="98866" y="1755591"/>
              </a:cubicBezTo>
              <a:lnTo>
                <a:pt x="98866" y="5213594"/>
              </a:lnTo>
              <a:cubicBezTo>
                <a:pt x="98866" y="5263608"/>
                <a:pt x="139411" y="5304153"/>
                <a:pt x="189425" y="5304153"/>
              </a:cubicBezTo>
              <a:lnTo>
                <a:pt x="3067738" y="5304153"/>
              </a:lnTo>
              <a:cubicBezTo>
                <a:pt x="3117752" y="5304153"/>
                <a:pt x="3158296" y="5263608"/>
                <a:pt x="3158296" y="5213594"/>
              </a:cubicBezTo>
              <a:lnTo>
                <a:pt x="3158296" y="1755591"/>
              </a:lnTo>
              <a:cubicBezTo>
                <a:pt x="3158296" y="1705577"/>
                <a:pt x="3117752" y="1665032"/>
                <a:pt x="3067738" y="1665032"/>
              </a:cubicBezTo>
              <a:close/>
              <a:moveTo>
                <a:pt x="6108911" y="1055433"/>
              </a:moveTo>
              <a:cubicBezTo>
                <a:pt x="6062114" y="1055433"/>
                <a:pt x="6024178" y="1093369"/>
                <a:pt x="6024178" y="1140166"/>
              </a:cubicBezTo>
              <a:lnTo>
                <a:pt x="6024178" y="1537627"/>
              </a:lnTo>
              <a:cubicBezTo>
                <a:pt x="6024178" y="1584424"/>
                <a:pt x="6062114" y="1622360"/>
                <a:pt x="6108911" y="1622360"/>
              </a:cubicBezTo>
              <a:lnTo>
                <a:pt x="8187345" y="1622360"/>
              </a:lnTo>
              <a:cubicBezTo>
                <a:pt x="8234142" y="1622360"/>
                <a:pt x="8272078" y="1584424"/>
                <a:pt x="8272078" y="1537627"/>
              </a:cubicBezTo>
              <a:lnTo>
                <a:pt x="8272078" y="1140166"/>
              </a:lnTo>
              <a:cubicBezTo>
                <a:pt x="8272078" y="1093369"/>
                <a:pt x="8234142" y="1055433"/>
                <a:pt x="8187345" y="1055433"/>
              </a:cubicBezTo>
              <a:close/>
              <a:moveTo>
                <a:pt x="4795134" y="1055432"/>
              </a:moveTo>
              <a:cubicBezTo>
                <a:pt x="4740284" y="1055432"/>
                <a:pt x="4695820" y="1099897"/>
                <a:pt x="4695820" y="1154746"/>
              </a:cubicBezTo>
              <a:lnTo>
                <a:pt x="4695820" y="1523046"/>
              </a:lnTo>
              <a:cubicBezTo>
                <a:pt x="4695820" y="1577896"/>
                <a:pt x="4740284" y="1622360"/>
                <a:pt x="4795134" y="1622360"/>
              </a:cubicBezTo>
              <a:lnTo>
                <a:pt x="5870570" y="1622360"/>
              </a:lnTo>
              <a:cubicBezTo>
                <a:pt x="5925420" y="1622360"/>
                <a:pt x="5969884" y="1577896"/>
                <a:pt x="5969884" y="1523046"/>
              </a:cubicBezTo>
              <a:lnTo>
                <a:pt x="5969884" y="1154746"/>
              </a:lnTo>
              <a:cubicBezTo>
                <a:pt x="5969884" y="1099897"/>
                <a:pt x="5925420" y="1055432"/>
                <a:pt x="5870570" y="1055432"/>
              </a:cubicBezTo>
              <a:close/>
              <a:moveTo>
                <a:pt x="3310126" y="1055432"/>
              </a:moveTo>
              <a:cubicBezTo>
                <a:pt x="3256363" y="1055432"/>
                <a:pt x="3212779" y="1099017"/>
                <a:pt x="3212779" y="1152780"/>
              </a:cubicBezTo>
              <a:lnTo>
                <a:pt x="3212779" y="1525013"/>
              </a:lnTo>
              <a:cubicBezTo>
                <a:pt x="3212779" y="1578776"/>
                <a:pt x="3256363" y="1622360"/>
                <a:pt x="3310126" y="1622360"/>
              </a:cubicBezTo>
              <a:lnTo>
                <a:pt x="4544181" y="1622360"/>
              </a:lnTo>
              <a:cubicBezTo>
                <a:pt x="4597944" y="1622360"/>
                <a:pt x="4641528" y="1578776"/>
                <a:pt x="4641528" y="1525013"/>
              </a:cubicBezTo>
              <a:lnTo>
                <a:pt x="4641528" y="1152780"/>
              </a:lnTo>
              <a:cubicBezTo>
                <a:pt x="4641528" y="1099017"/>
                <a:pt x="4597944" y="1055432"/>
                <a:pt x="4544181" y="1055432"/>
              </a:cubicBezTo>
              <a:close/>
              <a:moveTo>
                <a:pt x="2002095" y="1055432"/>
              </a:moveTo>
              <a:cubicBezTo>
                <a:pt x="1950573" y="1055432"/>
                <a:pt x="1908807" y="1097199"/>
                <a:pt x="1908807" y="1148720"/>
              </a:cubicBezTo>
              <a:lnTo>
                <a:pt x="1908807" y="1529072"/>
              </a:lnTo>
              <a:cubicBezTo>
                <a:pt x="1908807" y="1580594"/>
                <a:pt x="1950573" y="1622360"/>
                <a:pt x="2002095" y="1622360"/>
              </a:cubicBezTo>
              <a:lnTo>
                <a:pt x="3065199" y="1622360"/>
              </a:lnTo>
              <a:cubicBezTo>
                <a:pt x="3116721" y="1622360"/>
                <a:pt x="3158487" y="1580594"/>
                <a:pt x="3158487" y="1529072"/>
              </a:cubicBezTo>
              <a:lnTo>
                <a:pt x="3158487" y="1148720"/>
              </a:lnTo>
              <a:cubicBezTo>
                <a:pt x="3158487" y="1097199"/>
                <a:pt x="3116721" y="1055432"/>
                <a:pt x="3065199" y="1055432"/>
              </a:cubicBezTo>
              <a:close/>
              <a:moveTo>
                <a:pt x="4768346" y="144081"/>
              </a:moveTo>
              <a:cubicBezTo>
                <a:pt x="4727135" y="144081"/>
                <a:pt x="4693726" y="177490"/>
                <a:pt x="4693726" y="218701"/>
              </a:cubicBezTo>
              <a:lnTo>
                <a:pt x="4693726" y="938141"/>
              </a:lnTo>
              <a:cubicBezTo>
                <a:pt x="4693726" y="979352"/>
                <a:pt x="4727135" y="1012761"/>
                <a:pt x="4768346" y="1012761"/>
              </a:cubicBezTo>
              <a:lnTo>
                <a:pt x="8197458" y="1012761"/>
              </a:lnTo>
              <a:cubicBezTo>
                <a:pt x="8238669" y="1012761"/>
                <a:pt x="8272078" y="979352"/>
                <a:pt x="8272078" y="938141"/>
              </a:cubicBezTo>
              <a:lnTo>
                <a:pt x="8272078" y="218701"/>
              </a:lnTo>
              <a:cubicBezTo>
                <a:pt x="8272078" y="177490"/>
                <a:pt x="8238669" y="144081"/>
                <a:pt x="8197458" y="144081"/>
              </a:cubicBezTo>
              <a:close/>
              <a:moveTo>
                <a:pt x="3286004" y="144081"/>
              </a:moveTo>
              <a:cubicBezTo>
                <a:pt x="3244792" y="144081"/>
                <a:pt x="3211384" y="177490"/>
                <a:pt x="3211384" y="218701"/>
              </a:cubicBezTo>
              <a:lnTo>
                <a:pt x="3211384" y="938141"/>
              </a:lnTo>
              <a:cubicBezTo>
                <a:pt x="3211384" y="979352"/>
                <a:pt x="3244792" y="1012761"/>
                <a:pt x="3286004" y="1012761"/>
              </a:cubicBezTo>
              <a:lnTo>
                <a:pt x="4565512" y="1012761"/>
              </a:lnTo>
              <a:cubicBezTo>
                <a:pt x="4606723" y="1012761"/>
                <a:pt x="4640132" y="979352"/>
                <a:pt x="4640132" y="938141"/>
              </a:cubicBezTo>
              <a:lnTo>
                <a:pt x="4640132" y="218701"/>
              </a:lnTo>
              <a:cubicBezTo>
                <a:pt x="4640132" y="177490"/>
                <a:pt x="4606723" y="144081"/>
                <a:pt x="4565512" y="144081"/>
              </a:cubicBezTo>
              <a:close/>
              <a:moveTo>
                <a:pt x="1980280" y="144081"/>
              </a:moveTo>
              <a:cubicBezTo>
                <a:pt x="1940421" y="144081"/>
                <a:pt x="1908110" y="176393"/>
                <a:pt x="1908110" y="216251"/>
              </a:cubicBezTo>
              <a:lnTo>
                <a:pt x="1908110" y="940591"/>
              </a:lnTo>
              <a:cubicBezTo>
                <a:pt x="1908110" y="980449"/>
                <a:pt x="1940421" y="1012761"/>
                <a:pt x="1980280" y="1012761"/>
              </a:cubicBezTo>
              <a:lnTo>
                <a:pt x="3085619" y="1012761"/>
              </a:lnTo>
              <a:cubicBezTo>
                <a:pt x="3125477" y="1012761"/>
                <a:pt x="3157789" y="980449"/>
                <a:pt x="3157789" y="940591"/>
              </a:cubicBezTo>
              <a:lnTo>
                <a:pt x="3157789" y="216251"/>
              </a:lnTo>
              <a:cubicBezTo>
                <a:pt x="3157789" y="176393"/>
                <a:pt x="3125477" y="144081"/>
                <a:pt x="3085619" y="144081"/>
              </a:cubicBezTo>
              <a:close/>
              <a:moveTo>
                <a:pt x="176299" y="144081"/>
              </a:moveTo>
              <a:cubicBezTo>
                <a:pt x="133534" y="144081"/>
                <a:pt x="98867" y="178748"/>
                <a:pt x="98867" y="221513"/>
              </a:cubicBezTo>
              <a:lnTo>
                <a:pt x="98867" y="1544928"/>
              </a:lnTo>
              <a:cubicBezTo>
                <a:pt x="98867" y="1587693"/>
                <a:pt x="133534" y="1622360"/>
                <a:pt x="176299" y="1622360"/>
              </a:cubicBezTo>
              <a:lnTo>
                <a:pt x="1777084" y="1622360"/>
              </a:lnTo>
              <a:cubicBezTo>
                <a:pt x="1819848" y="1622360"/>
                <a:pt x="1854516" y="1587693"/>
                <a:pt x="1854516" y="1544928"/>
              </a:cubicBezTo>
              <a:lnTo>
                <a:pt x="1854516" y="221513"/>
              </a:lnTo>
              <a:cubicBezTo>
                <a:pt x="1854516" y="178748"/>
                <a:pt x="1819848" y="144081"/>
                <a:pt x="1777084" y="144081"/>
              </a:cubicBezTo>
              <a:close/>
              <a:moveTo>
                <a:pt x="0" y="0"/>
              </a:moveTo>
              <a:lnTo>
                <a:pt x="8682796" y="0"/>
              </a:lnTo>
              <a:lnTo>
                <a:pt x="8682796" y="5571712"/>
              </a:lnTo>
              <a:lnTo>
                <a:pt x="0" y="5571712"/>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26</xdr:col>
      <xdr:colOff>742013</xdr:colOff>
      <xdr:row>0</xdr:row>
      <xdr:rowOff>83051</xdr:rowOff>
    </xdr:from>
    <xdr:to>
      <xdr:col>26</xdr:col>
      <xdr:colOff>882233</xdr:colOff>
      <xdr:row>0</xdr:row>
      <xdr:rowOff>229368</xdr:rowOff>
    </xdr:to>
    <xdr:pic macro="[0]!Maximize">
      <xdr:nvPicPr>
        <xdr:cNvPr id="18" name="Picture 17">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1"/>
        <a:stretch>
          <a:fillRect/>
        </a:stretch>
      </xdr:blipFill>
      <xdr:spPr>
        <a:xfrm>
          <a:off x="12486338" y="83051"/>
          <a:ext cx="140220" cy="146317"/>
        </a:xfrm>
        <a:prstGeom prst="rect">
          <a:avLst/>
        </a:prstGeom>
      </xdr:spPr>
    </xdr:pic>
    <xdr:clientData/>
  </xdr:twoCellAnchor>
  <xdr:twoCellAnchor editAs="absolute">
    <xdr:from>
      <xdr:col>26</xdr:col>
      <xdr:colOff>396022</xdr:colOff>
      <xdr:row>0</xdr:row>
      <xdr:rowOff>89534</xdr:rowOff>
    </xdr:from>
    <xdr:to>
      <xdr:col>26</xdr:col>
      <xdr:colOff>538897</xdr:colOff>
      <xdr:row>0</xdr:row>
      <xdr:rowOff>222885</xdr:rowOff>
    </xdr:to>
    <xdr:pic macro="[0]!Minimize">
      <xdr:nvPicPr>
        <xdr:cNvPr id="19" name="Picture 18">
          <a:extLst>
            <a:ext uri="{FF2B5EF4-FFF2-40B4-BE49-F238E27FC236}">
              <a16:creationId xmlns:a16="http://schemas.microsoft.com/office/drawing/2014/main" id="{00000000-0008-0000-0B00-000013000000}"/>
            </a:ext>
          </a:extLst>
        </xdr:cNvPr>
        <xdr:cNvPicPr>
          <a:picLocks/>
        </xdr:cNvPicPr>
      </xdr:nvPicPr>
      <xdr:blipFill>
        <a:blip xmlns:r="http://schemas.openxmlformats.org/officeDocument/2006/relationships" r:embed="rId2"/>
        <a:stretch>
          <a:fillRect/>
        </a:stretch>
      </xdr:blipFill>
      <xdr:spPr>
        <a:xfrm>
          <a:off x="12140347" y="89534"/>
          <a:ext cx="142875" cy="13335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25</xdr:col>
          <xdr:colOff>876300</xdr:colOff>
          <xdr:row>0</xdr:row>
          <xdr:rowOff>38100</xdr:rowOff>
        </xdr:from>
        <xdr:to>
          <xdr:col>26</xdr:col>
          <xdr:colOff>202432</xdr:colOff>
          <xdr:row>0</xdr:row>
          <xdr:rowOff>266700</xdr:rowOff>
        </xdr:to>
        <xdr:pic>
          <xdr:nvPicPr>
            <xdr:cNvPr id="20" name="Picture 19">
              <a:hlinkClick xmlns:r="http://schemas.openxmlformats.org/officeDocument/2006/relationships" r:id="rId3" tooltip="Dashboard"/>
              <a:extLst>
                <a:ext uri="{FF2B5EF4-FFF2-40B4-BE49-F238E27FC236}">
                  <a16:creationId xmlns:a16="http://schemas.microsoft.com/office/drawing/2014/main" id="{00000000-0008-0000-0B00-000014000000}"/>
                </a:ext>
              </a:extLst>
            </xdr:cNvPr>
            <xdr:cNvPicPr>
              <a:picLocks noChangeAspect="1" noChangeArrowheads="1"/>
              <a:extLst>
                <a:ext uri="{84589F7E-364E-4C9E-8A38-B11213B215E9}">
                  <a14:cameraTool cellRange="Settings!$M$3:$M$6" spid="_x0000_s242045"/>
                </a:ext>
              </a:extLst>
            </xdr:cNvPicPr>
          </xdr:nvPicPr>
          <xdr:blipFill>
            <a:blip xmlns:r="http://schemas.openxmlformats.org/officeDocument/2006/relationships" r:embed="rId4"/>
            <a:srcRect/>
            <a:stretch>
              <a:fillRect/>
            </a:stretch>
          </xdr:blipFill>
          <xdr:spPr bwMode="auto">
            <a:xfrm>
              <a:off x="11706225" y="38100"/>
              <a:ext cx="231007"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12</xdr:col>
      <xdr:colOff>676275</xdr:colOff>
      <xdr:row>6</xdr:row>
      <xdr:rowOff>85725</xdr:rowOff>
    </xdr:from>
    <xdr:to>
      <xdr:col>13</xdr:col>
      <xdr:colOff>1012811</xdr:colOff>
      <xdr:row>7</xdr:row>
      <xdr:rowOff>203867</xdr:rowOff>
    </xdr:to>
    <xdr:pic macro="[0]!Prod_AttachThum">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5"/>
        <a:stretch>
          <a:fillRect/>
        </a:stretch>
      </xdr:blipFill>
      <xdr:spPr>
        <a:xfrm>
          <a:off x="828675" y="1600200"/>
          <a:ext cx="1298561" cy="365792"/>
        </a:xfrm>
        <a:prstGeom prst="rect">
          <a:avLst/>
        </a:prstGeom>
      </xdr:spPr>
    </xdr:pic>
    <xdr:clientData/>
  </xdr:twoCellAnchor>
  <xdr:twoCellAnchor editAs="absolute">
    <xdr:from>
      <xdr:col>12</xdr:col>
      <xdr:colOff>127000</xdr:colOff>
      <xdr:row>2</xdr:row>
      <xdr:rowOff>88900</xdr:rowOff>
    </xdr:from>
    <xdr:to>
      <xdr:col>12</xdr:col>
      <xdr:colOff>889066</xdr:colOff>
      <xdr:row>5</xdr:row>
      <xdr:rowOff>146116</xdr:rowOff>
    </xdr:to>
    <xdr:pic>
      <xdr:nvPicPr>
        <xdr:cNvPr id="17" name="fPic">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6"/>
        <a:stretch>
          <a:fillRect/>
        </a:stretch>
      </xdr:blipFill>
      <xdr:spPr>
        <a:xfrm>
          <a:off x="279400" y="650875"/>
          <a:ext cx="762066" cy="762066"/>
        </a:xfrm>
        <a:prstGeom prst="rect">
          <a:avLst/>
        </a:prstGeom>
      </xdr:spPr>
    </xdr:pic>
    <xdr:clientData/>
  </xdr:twoCellAnchor>
  <xdr:twoCellAnchor editAs="absolute">
    <xdr:from>
      <xdr:col>19</xdr:col>
      <xdr:colOff>85725</xdr:colOff>
      <xdr:row>5</xdr:row>
      <xdr:rowOff>9525</xdr:rowOff>
    </xdr:from>
    <xdr:to>
      <xdr:col>19</xdr:col>
      <xdr:colOff>817805</xdr:colOff>
      <xdr:row>5</xdr:row>
      <xdr:rowOff>236220</xdr:rowOff>
    </xdr:to>
    <xdr:grpSp>
      <xdr:nvGrpSpPr>
        <xdr:cNvPr id="3" name="Group 2">
          <a:extLst>
            <a:ext uri="{FF2B5EF4-FFF2-40B4-BE49-F238E27FC236}">
              <a16:creationId xmlns:a16="http://schemas.microsoft.com/office/drawing/2014/main" id="{00000000-0008-0000-0B00-000003000000}"/>
            </a:ext>
          </a:extLst>
        </xdr:cNvPr>
        <xdr:cNvGrpSpPr/>
      </xdr:nvGrpSpPr>
      <xdr:grpSpPr>
        <a:xfrm>
          <a:off x="6200775" y="1276350"/>
          <a:ext cx="732080" cy="226695"/>
          <a:chOff x="627137" y="1733550"/>
          <a:chExt cx="732080" cy="226695"/>
        </a:xfrm>
      </xdr:grpSpPr>
      <xdr:pic macro="[0]!currencySettings">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7">
            <a:lum bright="70000" contrast="-70000"/>
            <a:extLst>
              <a:ext uri="{28A0092B-C50C-407E-A947-70E740481C1C}">
                <a14:useLocalDpi xmlns:a14="http://schemas.microsoft.com/office/drawing/2010/main" val="0"/>
              </a:ext>
            </a:extLst>
          </a:blip>
          <a:stretch>
            <a:fillRect/>
          </a:stretch>
        </xdr:blipFill>
        <xdr:spPr>
          <a:xfrm>
            <a:off x="1086631" y="1751711"/>
            <a:ext cx="193449" cy="190371"/>
          </a:xfrm>
          <a:prstGeom prst="rect">
            <a:avLst/>
          </a:prstGeom>
          <a:noFill/>
        </xdr:spPr>
      </xdr:pic>
      <xdr:sp macro="[0]!currencySettings" textlink="">
        <xdr:nvSpPr>
          <xdr:cNvPr id="6" name="SHOWENTRY">
            <a:extLst>
              <a:ext uri="{FF2B5EF4-FFF2-40B4-BE49-F238E27FC236}">
                <a16:creationId xmlns:a16="http://schemas.microsoft.com/office/drawing/2014/main" id="{00000000-0008-0000-0B00-000006000000}"/>
              </a:ext>
            </a:extLst>
          </xdr:cNvPr>
          <xdr:cNvSpPr/>
        </xdr:nvSpPr>
        <xdr:spPr>
          <a:xfrm>
            <a:off x="627137" y="1733550"/>
            <a:ext cx="732080" cy="226695"/>
          </a:xfrm>
          <a:prstGeom prst="roundRect">
            <a:avLst>
              <a:gd name="adj" fmla="val 50000"/>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12</xdr:col>
      <xdr:colOff>333375</xdr:colOff>
      <xdr:row>0</xdr:row>
      <xdr:rowOff>76200</xdr:rowOff>
    </xdr:from>
    <xdr:to>
      <xdr:col>12</xdr:col>
      <xdr:colOff>543687</xdr:colOff>
      <xdr:row>0</xdr:row>
      <xdr:rowOff>286512</xdr:rowOff>
    </xdr:to>
    <xdr:pic>
      <xdr:nvPicPr>
        <xdr:cNvPr id="7" name="Picture 6">
          <a:extLst>
            <a:ext uri="{FF2B5EF4-FFF2-40B4-BE49-F238E27FC236}">
              <a16:creationId xmlns:a16="http://schemas.microsoft.com/office/drawing/2014/main" id="{00000000-0008-0000-0B00-000007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5775" y="76200"/>
          <a:ext cx="210312" cy="210312"/>
        </a:xfrm>
        <a:prstGeom prst="rect">
          <a:avLst/>
        </a:prstGeom>
        <a:noFill/>
      </xdr:spPr>
    </xdr:pic>
    <xdr:clientData/>
  </xdr:twoCellAnchor>
  <xdr:twoCellAnchor>
    <xdr:from>
      <xdr:col>24</xdr:col>
      <xdr:colOff>361951</xdr:colOff>
      <xdr:row>8</xdr:row>
      <xdr:rowOff>0</xdr:rowOff>
    </xdr:from>
    <xdr:to>
      <xdr:col>25</xdr:col>
      <xdr:colOff>847726</xdr:colOff>
      <xdr:row>9</xdr:row>
      <xdr:rowOff>66675</xdr:rowOff>
    </xdr:to>
    <xdr:grpSp>
      <xdr:nvGrpSpPr>
        <xdr:cNvPr id="11" name="Group 10">
          <a:extLst>
            <a:ext uri="{FF2B5EF4-FFF2-40B4-BE49-F238E27FC236}">
              <a16:creationId xmlns:a16="http://schemas.microsoft.com/office/drawing/2014/main" id="{00000000-0008-0000-0B00-00000B000000}"/>
            </a:ext>
          </a:extLst>
        </xdr:cNvPr>
        <xdr:cNvGrpSpPr/>
      </xdr:nvGrpSpPr>
      <xdr:grpSpPr>
        <a:xfrm>
          <a:off x="10296526" y="2143125"/>
          <a:ext cx="1390650" cy="314325"/>
          <a:chOff x="9477376" y="2343150"/>
          <a:chExt cx="1390650" cy="314325"/>
        </a:xfrm>
      </xdr:grpSpPr>
      <xdr:sp macro="[0]!ClearData" textlink="">
        <xdr:nvSpPr>
          <xdr:cNvPr id="10" name="Rectangle: Rounded Corners 9">
            <a:extLst>
              <a:ext uri="{FF2B5EF4-FFF2-40B4-BE49-F238E27FC236}">
                <a16:creationId xmlns:a16="http://schemas.microsoft.com/office/drawing/2014/main" id="{00000000-0008-0000-0B00-00000A000000}"/>
              </a:ext>
            </a:extLst>
          </xdr:cNvPr>
          <xdr:cNvSpPr/>
        </xdr:nvSpPr>
        <xdr:spPr>
          <a:xfrm>
            <a:off x="9477376" y="2343150"/>
            <a:ext cx="1390650" cy="314325"/>
          </a:xfrm>
          <a:prstGeom prst="roundRect">
            <a:avLst>
              <a:gd name="adj" fmla="val 50000"/>
            </a:avLst>
          </a:prstGeom>
          <a:solidFill>
            <a:schemeClr val="accent5"/>
          </a:solidFill>
          <a:ln w="1270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solidFill>
                  <a:schemeClr val="bg2"/>
                </a:solidFill>
              </a:rPr>
              <a:t>CLEAR DATA</a:t>
            </a:r>
          </a:p>
        </xdr:txBody>
      </xdr:sp>
      <xdr:pic macro="[0]!clearData.ClearData">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9">
            <a:extLst>
              <a:ext uri="{BEBA8EAE-BF5A-486C-A8C5-ECC9F3942E4B}">
                <a14:imgProps xmlns:a14="http://schemas.microsoft.com/office/drawing/2010/main">
                  <a14:imgLayer r:embed="rId10">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10448925" y="2358946"/>
            <a:ext cx="274320" cy="274320"/>
          </a:xfrm>
          <a:prstGeom prst="rect">
            <a:avLst/>
          </a:prstGeom>
        </xdr:spPr>
      </xdr:pic>
    </xdr:grpSp>
    <xdr:clientData/>
  </xdr:twoCellAnchor>
  <xdr:twoCellAnchor editAs="absolute">
    <xdr:from>
      <xdr:col>12</xdr:col>
      <xdr:colOff>561975</xdr:colOff>
      <xdr:row>0</xdr:row>
      <xdr:rowOff>57150</xdr:rowOff>
    </xdr:from>
    <xdr:to>
      <xdr:col>13</xdr:col>
      <xdr:colOff>926166</xdr:colOff>
      <xdr:row>0</xdr:row>
      <xdr:rowOff>295275</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714375" y="57150"/>
          <a:ext cx="13262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Settings</a:t>
          </a:r>
        </a:p>
      </xdr:txBody>
    </xdr:sp>
    <xdr:clientData/>
  </xdr:twoCellAnchor>
  <xdr:twoCellAnchor>
    <xdr:from>
      <xdr:col>22</xdr:col>
      <xdr:colOff>85725</xdr:colOff>
      <xdr:row>9</xdr:row>
      <xdr:rowOff>76200</xdr:rowOff>
    </xdr:from>
    <xdr:to>
      <xdr:col>22</xdr:col>
      <xdr:colOff>817805</xdr:colOff>
      <xdr:row>10</xdr:row>
      <xdr:rowOff>55245</xdr:rowOff>
    </xdr:to>
    <xdr:grpSp>
      <xdr:nvGrpSpPr>
        <xdr:cNvPr id="12" name="Group 11">
          <a:extLst>
            <a:ext uri="{FF2B5EF4-FFF2-40B4-BE49-F238E27FC236}">
              <a16:creationId xmlns:a16="http://schemas.microsoft.com/office/drawing/2014/main" id="{AFA190E7-87C5-052E-1FF4-F325C602C0C7}"/>
            </a:ext>
          </a:extLst>
        </xdr:cNvPr>
        <xdr:cNvGrpSpPr/>
      </xdr:nvGrpSpPr>
      <xdr:grpSpPr>
        <a:xfrm>
          <a:off x="8210550" y="2466975"/>
          <a:ext cx="732080" cy="226695"/>
          <a:chOff x="7791450" y="2428875"/>
          <a:chExt cx="732080" cy="226695"/>
        </a:xfrm>
      </xdr:grpSpPr>
      <xdr:pic>
        <xdr:nvPicPr>
          <xdr:cNvPr id="13" name="Picture 12">
            <a:extLst>
              <a:ext uri="{FF2B5EF4-FFF2-40B4-BE49-F238E27FC236}">
                <a16:creationId xmlns:a16="http://schemas.microsoft.com/office/drawing/2014/main" id="{4313A98C-85AB-053E-5EE6-5CE0F56E8320}"/>
              </a:ext>
            </a:extLst>
          </xdr:cNvPr>
          <xdr:cNvPicPr>
            <a:picLocks noChangeAspect="1"/>
          </xdr:cNvPicPr>
        </xdr:nvPicPr>
        <xdr:blipFill>
          <a:blip xmlns:r="http://schemas.openxmlformats.org/officeDocument/2006/relationships" r:embed="rId7">
            <a:lum bright="70000" contrast="-70000"/>
            <a:extLst>
              <a:ext uri="{28A0092B-C50C-407E-A947-70E740481C1C}">
                <a14:useLocalDpi xmlns:a14="http://schemas.microsoft.com/office/drawing/2010/main" val="0"/>
              </a:ext>
            </a:extLst>
          </a:blip>
          <a:stretch>
            <a:fillRect/>
          </a:stretch>
        </xdr:blipFill>
        <xdr:spPr>
          <a:xfrm>
            <a:off x="8250944" y="2447036"/>
            <a:ext cx="193449" cy="190371"/>
          </a:xfrm>
          <a:prstGeom prst="rect">
            <a:avLst/>
          </a:prstGeom>
          <a:noFill/>
        </xdr:spPr>
      </xdr:pic>
      <xdr:sp macro="[0]!dateReport" textlink="">
        <xdr:nvSpPr>
          <xdr:cNvPr id="14" name="SHOWENTRY">
            <a:extLst>
              <a:ext uri="{FF2B5EF4-FFF2-40B4-BE49-F238E27FC236}">
                <a16:creationId xmlns:a16="http://schemas.microsoft.com/office/drawing/2014/main" id="{F968A671-E85E-80C9-7F18-FC5571ED2CEE}"/>
              </a:ext>
            </a:extLst>
          </xdr:cNvPr>
          <xdr:cNvSpPr/>
        </xdr:nvSpPr>
        <xdr:spPr>
          <a:xfrm>
            <a:off x="7791450" y="2428875"/>
            <a:ext cx="732080" cy="226695"/>
          </a:xfrm>
          <a:prstGeom prst="roundRect">
            <a:avLst>
              <a:gd name="adj" fmla="val 50000"/>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3</xdr:row>
      <xdr:rowOff>0</xdr:rowOff>
    </xdr:from>
    <xdr:to>
      <xdr:col>19</xdr:col>
      <xdr:colOff>85725</xdr:colOff>
      <xdr:row>57</xdr:row>
      <xdr:rowOff>263338</xdr:rowOff>
    </xdr:to>
    <xdr:sp macro="" textlink="">
      <xdr:nvSpPr>
        <xdr:cNvPr id="3" name="Freeform: Shape 2">
          <a:extLst>
            <a:ext uri="{FF2B5EF4-FFF2-40B4-BE49-F238E27FC236}">
              <a16:creationId xmlns:a16="http://schemas.microsoft.com/office/drawing/2014/main" id="{00000000-0008-0000-0100-000003000000}"/>
            </a:ext>
          </a:extLst>
        </xdr:cNvPr>
        <xdr:cNvSpPr/>
      </xdr:nvSpPr>
      <xdr:spPr>
        <a:xfrm>
          <a:off x="0" y="895350"/>
          <a:ext cx="12801600" cy="11159938"/>
        </a:xfrm>
        <a:custGeom>
          <a:avLst/>
          <a:gdLst>
            <a:gd name="connsiteX0" fmla="*/ 5414443 w 7320642"/>
            <a:gd name="connsiteY0" fmla="*/ 4809333 h 6380976"/>
            <a:gd name="connsiteX1" fmla="*/ 5338727 w 7320642"/>
            <a:gd name="connsiteY1" fmla="*/ 4885049 h 6380976"/>
            <a:gd name="connsiteX2" fmla="*/ 5338727 w 7320642"/>
            <a:gd name="connsiteY2" fmla="*/ 6121885 h 6380976"/>
            <a:gd name="connsiteX3" fmla="*/ 5414443 w 7320642"/>
            <a:gd name="connsiteY3" fmla="*/ 6197601 h 6380976"/>
            <a:gd name="connsiteX4" fmla="*/ 7147567 w 7320642"/>
            <a:gd name="connsiteY4" fmla="*/ 6197601 h 6380976"/>
            <a:gd name="connsiteX5" fmla="*/ 7223283 w 7320642"/>
            <a:gd name="connsiteY5" fmla="*/ 6121885 h 6380976"/>
            <a:gd name="connsiteX6" fmla="*/ 7223283 w 7320642"/>
            <a:gd name="connsiteY6" fmla="*/ 4885049 h 6380976"/>
            <a:gd name="connsiteX7" fmla="*/ 7147567 w 7320642"/>
            <a:gd name="connsiteY7" fmla="*/ 4809333 h 6380976"/>
            <a:gd name="connsiteX8" fmla="*/ 2096583 w 7320642"/>
            <a:gd name="connsiteY8" fmla="*/ 4809333 h 6380976"/>
            <a:gd name="connsiteX9" fmla="*/ 2020868 w 7320642"/>
            <a:gd name="connsiteY9" fmla="*/ 4885049 h 6380976"/>
            <a:gd name="connsiteX10" fmla="*/ 2020868 w 7320642"/>
            <a:gd name="connsiteY10" fmla="*/ 6121885 h 6380976"/>
            <a:gd name="connsiteX11" fmla="*/ 2096583 w 7320642"/>
            <a:gd name="connsiteY11" fmla="*/ 6197601 h 6380976"/>
            <a:gd name="connsiteX12" fmla="*/ 5219707 w 7320642"/>
            <a:gd name="connsiteY12" fmla="*/ 6197601 h 6380976"/>
            <a:gd name="connsiteX13" fmla="*/ 5295423 w 7320642"/>
            <a:gd name="connsiteY13" fmla="*/ 6121885 h 6380976"/>
            <a:gd name="connsiteX14" fmla="*/ 5295423 w 7320642"/>
            <a:gd name="connsiteY14" fmla="*/ 4885049 h 6380976"/>
            <a:gd name="connsiteX15" fmla="*/ 5219707 w 7320642"/>
            <a:gd name="connsiteY15" fmla="*/ 4809333 h 6380976"/>
            <a:gd name="connsiteX16" fmla="*/ 168723 w 7320642"/>
            <a:gd name="connsiteY16" fmla="*/ 4809333 h 6380976"/>
            <a:gd name="connsiteX17" fmla="*/ 93007 w 7320642"/>
            <a:gd name="connsiteY17" fmla="*/ 4885049 h 6380976"/>
            <a:gd name="connsiteX18" fmla="*/ 93007 w 7320642"/>
            <a:gd name="connsiteY18" fmla="*/ 6121885 h 6380976"/>
            <a:gd name="connsiteX19" fmla="*/ 168723 w 7320642"/>
            <a:gd name="connsiteY19" fmla="*/ 6197601 h 6380976"/>
            <a:gd name="connsiteX20" fmla="*/ 1901847 w 7320642"/>
            <a:gd name="connsiteY20" fmla="*/ 6197601 h 6380976"/>
            <a:gd name="connsiteX21" fmla="*/ 1977563 w 7320642"/>
            <a:gd name="connsiteY21" fmla="*/ 6121885 h 6380976"/>
            <a:gd name="connsiteX22" fmla="*/ 1977563 w 7320642"/>
            <a:gd name="connsiteY22" fmla="*/ 4885049 h 6380976"/>
            <a:gd name="connsiteX23" fmla="*/ 1901847 w 7320642"/>
            <a:gd name="connsiteY23" fmla="*/ 4809333 h 6380976"/>
            <a:gd name="connsiteX24" fmla="*/ 2103851 w 7320642"/>
            <a:gd name="connsiteY24" fmla="*/ 3129234 h 6380976"/>
            <a:gd name="connsiteX25" fmla="*/ 2020868 w 7320642"/>
            <a:gd name="connsiteY25" fmla="*/ 3212218 h 6380976"/>
            <a:gd name="connsiteX26" fmla="*/ 2020868 w 7320642"/>
            <a:gd name="connsiteY26" fmla="*/ 4567778 h 6380976"/>
            <a:gd name="connsiteX27" fmla="*/ 2103851 w 7320642"/>
            <a:gd name="connsiteY27" fmla="*/ 4650762 h 6380976"/>
            <a:gd name="connsiteX28" fmla="*/ 5212439 w 7320642"/>
            <a:gd name="connsiteY28" fmla="*/ 4650762 h 6380976"/>
            <a:gd name="connsiteX29" fmla="*/ 5295423 w 7320642"/>
            <a:gd name="connsiteY29" fmla="*/ 4567778 h 6380976"/>
            <a:gd name="connsiteX30" fmla="*/ 5295423 w 7320642"/>
            <a:gd name="connsiteY30" fmla="*/ 3212218 h 6380976"/>
            <a:gd name="connsiteX31" fmla="*/ 5212439 w 7320642"/>
            <a:gd name="connsiteY31" fmla="*/ 3129234 h 6380976"/>
            <a:gd name="connsiteX32" fmla="*/ 176181 w 7320642"/>
            <a:gd name="connsiteY32" fmla="*/ 3126923 h 6380976"/>
            <a:gd name="connsiteX33" fmla="*/ 93008 w 7320642"/>
            <a:gd name="connsiteY33" fmla="*/ 3210096 h 6380976"/>
            <a:gd name="connsiteX34" fmla="*/ 93008 w 7320642"/>
            <a:gd name="connsiteY34" fmla="*/ 4568743 h 6380976"/>
            <a:gd name="connsiteX35" fmla="*/ 176181 w 7320642"/>
            <a:gd name="connsiteY35" fmla="*/ 4651916 h 6380976"/>
            <a:gd name="connsiteX36" fmla="*/ 1894391 w 7320642"/>
            <a:gd name="connsiteY36" fmla="*/ 4651916 h 6380976"/>
            <a:gd name="connsiteX37" fmla="*/ 1977564 w 7320642"/>
            <a:gd name="connsiteY37" fmla="*/ 4568743 h 6380976"/>
            <a:gd name="connsiteX38" fmla="*/ 1977564 w 7320642"/>
            <a:gd name="connsiteY38" fmla="*/ 3210096 h 6380976"/>
            <a:gd name="connsiteX39" fmla="*/ 1894391 w 7320642"/>
            <a:gd name="connsiteY39" fmla="*/ 3126923 h 6380976"/>
            <a:gd name="connsiteX40" fmla="*/ 5421900 w 7320642"/>
            <a:gd name="connsiteY40" fmla="*/ 3126922 h 6380976"/>
            <a:gd name="connsiteX41" fmla="*/ 5338727 w 7320642"/>
            <a:gd name="connsiteY41" fmla="*/ 3210095 h 6380976"/>
            <a:gd name="connsiteX42" fmla="*/ 5338727 w 7320642"/>
            <a:gd name="connsiteY42" fmla="*/ 4568742 h 6380976"/>
            <a:gd name="connsiteX43" fmla="*/ 5421900 w 7320642"/>
            <a:gd name="connsiteY43" fmla="*/ 4651915 h 6380976"/>
            <a:gd name="connsiteX44" fmla="*/ 7140110 w 7320642"/>
            <a:gd name="connsiteY44" fmla="*/ 4651915 h 6380976"/>
            <a:gd name="connsiteX45" fmla="*/ 7223283 w 7320642"/>
            <a:gd name="connsiteY45" fmla="*/ 4568742 h 6380976"/>
            <a:gd name="connsiteX46" fmla="*/ 7223283 w 7320642"/>
            <a:gd name="connsiteY46" fmla="*/ 3210095 h 6380976"/>
            <a:gd name="connsiteX47" fmla="*/ 7140110 w 7320642"/>
            <a:gd name="connsiteY47" fmla="*/ 3126922 h 6380976"/>
            <a:gd name="connsiteX48" fmla="*/ 2084093 w 7320642"/>
            <a:gd name="connsiteY48" fmla="*/ 1811429 h 6380976"/>
            <a:gd name="connsiteX49" fmla="*/ 2020868 w 7320642"/>
            <a:gd name="connsiteY49" fmla="*/ 1874654 h 6380976"/>
            <a:gd name="connsiteX50" fmla="*/ 2020868 w 7320642"/>
            <a:gd name="connsiteY50" fmla="*/ 2907437 h 6380976"/>
            <a:gd name="connsiteX51" fmla="*/ 2084093 w 7320642"/>
            <a:gd name="connsiteY51" fmla="*/ 2970662 h 6380976"/>
            <a:gd name="connsiteX52" fmla="*/ 5232198 w 7320642"/>
            <a:gd name="connsiteY52" fmla="*/ 2970662 h 6380976"/>
            <a:gd name="connsiteX53" fmla="*/ 5295423 w 7320642"/>
            <a:gd name="connsiteY53" fmla="*/ 2907437 h 6380976"/>
            <a:gd name="connsiteX54" fmla="*/ 5295423 w 7320642"/>
            <a:gd name="connsiteY54" fmla="*/ 1874654 h 6380976"/>
            <a:gd name="connsiteX55" fmla="*/ 5232198 w 7320642"/>
            <a:gd name="connsiteY55" fmla="*/ 1811429 h 6380976"/>
            <a:gd name="connsiteX56" fmla="*/ 156233 w 7320642"/>
            <a:gd name="connsiteY56" fmla="*/ 1810274 h 6380976"/>
            <a:gd name="connsiteX57" fmla="*/ 93008 w 7320642"/>
            <a:gd name="connsiteY57" fmla="*/ 1873499 h 6380976"/>
            <a:gd name="connsiteX58" fmla="*/ 93008 w 7320642"/>
            <a:gd name="connsiteY58" fmla="*/ 2906282 h 6380976"/>
            <a:gd name="connsiteX59" fmla="*/ 156233 w 7320642"/>
            <a:gd name="connsiteY59" fmla="*/ 2969507 h 6380976"/>
            <a:gd name="connsiteX60" fmla="*/ 1914339 w 7320642"/>
            <a:gd name="connsiteY60" fmla="*/ 2969507 h 6380976"/>
            <a:gd name="connsiteX61" fmla="*/ 1977564 w 7320642"/>
            <a:gd name="connsiteY61" fmla="*/ 2906282 h 6380976"/>
            <a:gd name="connsiteX62" fmla="*/ 1977564 w 7320642"/>
            <a:gd name="connsiteY62" fmla="*/ 1873499 h 6380976"/>
            <a:gd name="connsiteX63" fmla="*/ 1914339 w 7320642"/>
            <a:gd name="connsiteY63" fmla="*/ 1810274 h 6380976"/>
            <a:gd name="connsiteX64" fmla="*/ 5401952 w 7320642"/>
            <a:gd name="connsiteY64" fmla="*/ 1810273 h 6380976"/>
            <a:gd name="connsiteX65" fmla="*/ 5338727 w 7320642"/>
            <a:gd name="connsiteY65" fmla="*/ 1873498 h 6380976"/>
            <a:gd name="connsiteX66" fmla="*/ 5338727 w 7320642"/>
            <a:gd name="connsiteY66" fmla="*/ 2906281 h 6380976"/>
            <a:gd name="connsiteX67" fmla="*/ 5401952 w 7320642"/>
            <a:gd name="connsiteY67" fmla="*/ 2969506 h 6380976"/>
            <a:gd name="connsiteX68" fmla="*/ 7160058 w 7320642"/>
            <a:gd name="connsiteY68" fmla="*/ 2969506 h 6380976"/>
            <a:gd name="connsiteX69" fmla="*/ 7223283 w 7320642"/>
            <a:gd name="connsiteY69" fmla="*/ 2906281 h 6380976"/>
            <a:gd name="connsiteX70" fmla="*/ 7223283 w 7320642"/>
            <a:gd name="connsiteY70" fmla="*/ 1873498 h 6380976"/>
            <a:gd name="connsiteX71" fmla="*/ 7160058 w 7320642"/>
            <a:gd name="connsiteY71" fmla="*/ 1810273 h 6380976"/>
            <a:gd name="connsiteX72" fmla="*/ 5419616 w 7320642"/>
            <a:gd name="connsiteY72" fmla="*/ 169745 h 6380976"/>
            <a:gd name="connsiteX73" fmla="*/ 5338727 w 7320642"/>
            <a:gd name="connsiteY73" fmla="*/ 250634 h 6380976"/>
            <a:gd name="connsiteX74" fmla="*/ 5338727 w 7320642"/>
            <a:gd name="connsiteY74" fmla="*/ 1571968 h 6380976"/>
            <a:gd name="connsiteX75" fmla="*/ 5419616 w 7320642"/>
            <a:gd name="connsiteY75" fmla="*/ 1652857 h 6380976"/>
            <a:gd name="connsiteX76" fmla="*/ 7142394 w 7320642"/>
            <a:gd name="connsiteY76" fmla="*/ 1652857 h 6380976"/>
            <a:gd name="connsiteX77" fmla="*/ 7223283 w 7320642"/>
            <a:gd name="connsiteY77" fmla="*/ 1571968 h 6380976"/>
            <a:gd name="connsiteX78" fmla="*/ 7223283 w 7320642"/>
            <a:gd name="connsiteY78" fmla="*/ 250634 h 6380976"/>
            <a:gd name="connsiteX79" fmla="*/ 7142394 w 7320642"/>
            <a:gd name="connsiteY79" fmla="*/ 169745 h 6380976"/>
            <a:gd name="connsiteX80" fmla="*/ 2101757 w 7320642"/>
            <a:gd name="connsiteY80" fmla="*/ 169745 h 6380976"/>
            <a:gd name="connsiteX81" fmla="*/ 2020869 w 7320642"/>
            <a:gd name="connsiteY81" fmla="*/ 250634 h 6380976"/>
            <a:gd name="connsiteX82" fmla="*/ 2020869 w 7320642"/>
            <a:gd name="connsiteY82" fmla="*/ 1571968 h 6380976"/>
            <a:gd name="connsiteX83" fmla="*/ 2101757 w 7320642"/>
            <a:gd name="connsiteY83" fmla="*/ 1652857 h 6380976"/>
            <a:gd name="connsiteX84" fmla="*/ 5214534 w 7320642"/>
            <a:gd name="connsiteY84" fmla="*/ 1652857 h 6380976"/>
            <a:gd name="connsiteX85" fmla="*/ 5295423 w 7320642"/>
            <a:gd name="connsiteY85" fmla="*/ 1571968 h 6380976"/>
            <a:gd name="connsiteX86" fmla="*/ 5295423 w 7320642"/>
            <a:gd name="connsiteY86" fmla="*/ 250634 h 6380976"/>
            <a:gd name="connsiteX87" fmla="*/ 5214534 w 7320642"/>
            <a:gd name="connsiteY87" fmla="*/ 169745 h 6380976"/>
            <a:gd name="connsiteX88" fmla="*/ 173897 w 7320642"/>
            <a:gd name="connsiteY88" fmla="*/ 169745 h 6380976"/>
            <a:gd name="connsiteX89" fmla="*/ 93009 w 7320642"/>
            <a:gd name="connsiteY89" fmla="*/ 250634 h 6380976"/>
            <a:gd name="connsiteX90" fmla="*/ 93009 w 7320642"/>
            <a:gd name="connsiteY90" fmla="*/ 1571968 h 6380976"/>
            <a:gd name="connsiteX91" fmla="*/ 173897 w 7320642"/>
            <a:gd name="connsiteY91" fmla="*/ 1652857 h 6380976"/>
            <a:gd name="connsiteX92" fmla="*/ 1896675 w 7320642"/>
            <a:gd name="connsiteY92" fmla="*/ 1652857 h 6380976"/>
            <a:gd name="connsiteX93" fmla="*/ 1977565 w 7320642"/>
            <a:gd name="connsiteY93" fmla="*/ 1571968 h 6380976"/>
            <a:gd name="connsiteX94" fmla="*/ 1977565 w 7320642"/>
            <a:gd name="connsiteY94" fmla="*/ 250634 h 6380976"/>
            <a:gd name="connsiteX95" fmla="*/ 1896675 w 7320642"/>
            <a:gd name="connsiteY95" fmla="*/ 169745 h 6380976"/>
            <a:gd name="connsiteX96" fmla="*/ 0 w 7320642"/>
            <a:gd name="connsiteY96" fmla="*/ 0 h 6380976"/>
            <a:gd name="connsiteX97" fmla="*/ 7320642 w 7320642"/>
            <a:gd name="connsiteY97" fmla="*/ 0 h 6380976"/>
            <a:gd name="connsiteX98" fmla="*/ 7320642 w 7320642"/>
            <a:gd name="connsiteY98" fmla="*/ 6380976 h 6380976"/>
            <a:gd name="connsiteX99" fmla="*/ 0 w 7320642"/>
            <a:gd name="connsiteY99" fmla="*/ 6380976 h 6380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Lst>
          <a:rect l="l" t="t" r="r" b="b"/>
          <a:pathLst>
            <a:path w="7320642" h="6380976">
              <a:moveTo>
                <a:pt x="5414443" y="4809333"/>
              </a:moveTo>
              <a:cubicBezTo>
                <a:pt x="5372626" y="4809333"/>
                <a:pt x="5338727" y="4843232"/>
                <a:pt x="5338727" y="4885049"/>
              </a:cubicBezTo>
              <a:lnTo>
                <a:pt x="5338727" y="6121885"/>
              </a:lnTo>
              <a:cubicBezTo>
                <a:pt x="5338727" y="6163702"/>
                <a:pt x="5372626" y="6197601"/>
                <a:pt x="5414443" y="6197601"/>
              </a:cubicBezTo>
              <a:lnTo>
                <a:pt x="7147567" y="6197601"/>
              </a:lnTo>
              <a:cubicBezTo>
                <a:pt x="7189384" y="6197601"/>
                <a:pt x="7223283" y="6163702"/>
                <a:pt x="7223283" y="6121885"/>
              </a:cubicBezTo>
              <a:lnTo>
                <a:pt x="7223283" y="4885049"/>
              </a:lnTo>
              <a:cubicBezTo>
                <a:pt x="7223283" y="4843232"/>
                <a:pt x="7189384" y="4809333"/>
                <a:pt x="7147567" y="4809333"/>
              </a:cubicBezTo>
              <a:close/>
              <a:moveTo>
                <a:pt x="2096583" y="4809333"/>
              </a:moveTo>
              <a:cubicBezTo>
                <a:pt x="2054766" y="4809333"/>
                <a:pt x="2020868" y="4843232"/>
                <a:pt x="2020868" y="4885049"/>
              </a:cubicBezTo>
              <a:lnTo>
                <a:pt x="2020868" y="6121885"/>
              </a:lnTo>
              <a:cubicBezTo>
                <a:pt x="2020868" y="6163702"/>
                <a:pt x="2054766" y="6197601"/>
                <a:pt x="2096583" y="6197601"/>
              </a:cubicBezTo>
              <a:lnTo>
                <a:pt x="5219707" y="6197601"/>
              </a:lnTo>
              <a:cubicBezTo>
                <a:pt x="5261524" y="6197601"/>
                <a:pt x="5295423" y="6163702"/>
                <a:pt x="5295423" y="6121885"/>
              </a:cubicBezTo>
              <a:lnTo>
                <a:pt x="5295423" y="4885049"/>
              </a:lnTo>
              <a:cubicBezTo>
                <a:pt x="5295423" y="4843232"/>
                <a:pt x="5261524" y="4809333"/>
                <a:pt x="5219707" y="4809333"/>
              </a:cubicBezTo>
              <a:close/>
              <a:moveTo>
                <a:pt x="168723" y="4809333"/>
              </a:moveTo>
              <a:cubicBezTo>
                <a:pt x="126906" y="4809333"/>
                <a:pt x="93007" y="4843232"/>
                <a:pt x="93007" y="4885049"/>
              </a:cubicBezTo>
              <a:lnTo>
                <a:pt x="93007" y="6121885"/>
              </a:lnTo>
              <a:cubicBezTo>
                <a:pt x="93007" y="6163702"/>
                <a:pt x="126906" y="6197601"/>
                <a:pt x="168723" y="6197601"/>
              </a:cubicBezTo>
              <a:lnTo>
                <a:pt x="1901847" y="6197601"/>
              </a:lnTo>
              <a:cubicBezTo>
                <a:pt x="1943664" y="6197601"/>
                <a:pt x="1977563" y="6163702"/>
                <a:pt x="1977563" y="6121885"/>
              </a:cubicBezTo>
              <a:lnTo>
                <a:pt x="1977563" y="4885049"/>
              </a:lnTo>
              <a:cubicBezTo>
                <a:pt x="1977563" y="4843232"/>
                <a:pt x="1943664" y="4809333"/>
                <a:pt x="1901847" y="4809333"/>
              </a:cubicBezTo>
              <a:close/>
              <a:moveTo>
                <a:pt x="2103851" y="3129234"/>
              </a:moveTo>
              <a:cubicBezTo>
                <a:pt x="2058021" y="3129234"/>
                <a:pt x="2020868" y="3166387"/>
                <a:pt x="2020868" y="3212218"/>
              </a:cubicBezTo>
              <a:lnTo>
                <a:pt x="2020868" y="4567778"/>
              </a:lnTo>
              <a:cubicBezTo>
                <a:pt x="2020868" y="4613609"/>
                <a:pt x="2058021" y="4650762"/>
                <a:pt x="2103851" y="4650762"/>
              </a:cubicBezTo>
              <a:lnTo>
                <a:pt x="5212439" y="4650762"/>
              </a:lnTo>
              <a:cubicBezTo>
                <a:pt x="5258270" y="4650762"/>
                <a:pt x="5295423" y="4613609"/>
                <a:pt x="5295423" y="4567778"/>
              </a:cubicBezTo>
              <a:lnTo>
                <a:pt x="5295423" y="3212218"/>
              </a:lnTo>
              <a:cubicBezTo>
                <a:pt x="5295423" y="3166387"/>
                <a:pt x="5258270" y="3129234"/>
                <a:pt x="5212439" y="3129234"/>
              </a:cubicBezTo>
              <a:close/>
              <a:moveTo>
                <a:pt x="176181" y="3126923"/>
              </a:moveTo>
              <a:cubicBezTo>
                <a:pt x="130246" y="3126923"/>
                <a:pt x="93008" y="3164161"/>
                <a:pt x="93008" y="3210096"/>
              </a:cubicBezTo>
              <a:lnTo>
                <a:pt x="93008" y="4568743"/>
              </a:lnTo>
              <a:cubicBezTo>
                <a:pt x="93008" y="4614678"/>
                <a:pt x="130246" y="4651916"/>
                <a:pt x="176181" y="4651916"/>
              </a:cubicBezTo>
              <a:lnTo>
                <a:pt x="1894391" y="4651916"/>
              </a:lnTo>
              <a:cubicBezTo>
                <a:pt x="1940326" y="4651916"/>
                <a:pt x="1977564" y="4614678"/>
                <a:pt x="1977564" y="4568743"/>
              </a:cubicBezTo>
              <a:lnTo>
                <a:pt x="1977564" y="3210096"/>
              </a:lnTo>
              <a:cubicBezTo>
                <a:pt x="1977564" y="3164161"/>
                <a:pt x="1940326" y="3126923"/>
                <a:pt x="1894391" y="3126923"/>
              </a:cubicBezTo>
              <a:close/>
              <a:moveTo>
                <a:pt x="5421900" y="3126922"/>
              </a:moveTo>
              <a:cubicBezTo>
                <a:pt x="5375965" y="3126922"/>
                <a:pt x="5338727" y="3164160"/>
                <a:pt x="5338727" y="3210095"/>
              </a:cubicBezTo>
              <a:lnTo>
                <a:pt x="5338727" y="4568742"/>
              </a:lnTo>
              <a:cubicBezTo>
                <a:pt x="5338727" y="4614677"/>
                <a:pt x="5375965" y="4651915"/>
                <a:pt x="5421900" y="4651915"/>
              </a:cubicBezTo>
              <a:lnTo>
                <a:pt x="7140110" y="4651915"/>
              </a:lnTo>
              <a:cubicBezTo>
                <a:pt x="7186045" y="4651915"/>
                <a:pt x="7223283" y="4614677"/>
                <a:pt x="7223283" y="4568742"/>
              </a:cubicBezTo>
              <a:lnTo>
                <a:pt x="7223283" y="3210095"/>
              </a:lnTo>
              <a:cubicBezTo>
                <a:pt x="7223283" y="3164160"/>
                <a:pt x="7186045" y="3126922"/>
                <a:pt x="7140110" y="3126922"/>
              </a:cubicBezTo>
              <a:close/>
              <a:moveTo>
                <a:pt x="2084093" y="1811429"/>
              </a:moveTo>
              <a:cubicBezTo>
                <a:pt x="2049175" y="1811429"/>
                <a:pt x="2020868" y="1839736"/>
                <a:pt x="2020868" y="1874654"/>
              </a:cubicBezTo>
              <a:lnTo>
                <a:pt x="2020868" y="2907437"/>
              </a:lnTo>
              <a:cubicBezTo>
                <a:pt x="2020868" y="2942355"/>
                <a:pt x="2049175" y="2970662"/>
                <a:pt x="2084093" y="2970662"/>
              </a:cubicBezTo>
              <a:lnTo>
                <a:pt x="5232198" y="2970662"/>
              </a:lnTo>
              <a:cubicBezTo>
                <a:pt x="5267116" y="2970662"/>
                <a:pt x="5295423" y="2942355"/>
                <a:pt x="5295423" y="2907437"/>
              </a:cubicBezTo>
              <a:lnTo>
                <a:pt x="5295423" y="1874654"/>
              </a:lnTo>
              <a:cubicBezTo>
                <a:pt x="5295423" y="1839736"/>
                <a:pt x="5267116" y="1811429"/>
                <a:pt x="5232198" y="1811429"/>
              </a:cubicBezTo>
              <a:close/>
              <a:moveTo>
                <a:pt x="156233" y="1810274"/>
              </a:moveTo>
              <a:cubicBezTo>
                <a:pt x="121315" y="1810274"/>
                <a:pt x="93008" y="1838581"/>
                <a:pt x="93008" y="1873499"/>
              </a:cubicBezTo>
              <a:lnTo>
                <a:pt x="93008" y="2906282"/>
              </a:lnTo>
              <a:cubicBezTo>
                <a:pt x="93008" y="2941200"/>
                <a:pt x="121315" y="2969507"/>
                <a:pt x="156233" y="2969507"/>
              </a:cubicBezTo>
              <a:lnTo>
                <a:pt x="1914339" y="2969507"/>
              </a:lnTo>
              <a:cubicBezTo>
                <a:pt x="1949257" y="2969507"/>
                <a:pt x="1977564" y="2941200"/>
                <a:pt x="1977564" y="2906282"/>
              </a:cubicBezTo>
              <a:lnTo>
                <a:pt x="1977564" y="1873499"/>
              </a:lnTo>
              <a:cubicBezTo>
                <a:pt x="1977564" y="1838581"/>
                <a:pt x="1949257" y="1810274"/>
                <a:pt x="1914339" y="1810274"/>
              </a:cubicBezTo>
              <a:close/>
              <a:moveTo>
                <a:pt x="5401952" y="1810273"/>
              </a:moveTo>
              <a:cubicBezTo>
                <a:pt x="5367034" y="1810273"/>
                <a:pt x="5338727" y="1838580"/>
                <a:pt x="5338727" y="1873498"/>
              </a:cubicBezTo>
              <a:lnTo>
                <a:pt x="5338727" y="2906281"/>
              </a:lnTo>
              <a:cubicBezTo>
                <a:pt x="5338727" y="2941199"/>
                <a:pt x="5367034" y="2969506"/>
                <a:pt x="5401952" y="2969506"/>
              </a:cubicBezTo>
              <a:lnTo>
                <a:pt x="7160058" y="2969506"/>
              </a:lnTo>
              <a:cubicBezTo>
                <a:pt x="7194976" y="2969506"/>
                <a:pt x="7223283" y="2941199"/>
                <a:pt x="7223283" y="2906281"/>
              </a:cubicBezTo>
              <a:lnTo>
                <a:pt x="7223283" y="1873498"/>
              </a:lnTo>
              <a:cubicBezTo>
                <a:pt x="7223283" y="1838580"/>
                <a:pt x="7194976" y="1810273"/>
                <a:pt x="7160058" y="1810273"/>
              </a:cubicBezTo>
              <a:close/>
              <a:moveTo>
                <a:pt x="5419616" y="169745"/>
              </a:moveTo>
              <a:cubicBezTo>
                <a:pt x="5374942" y="169745"/>
                <a:pt x="5338727" y="205960"/>
                <a:pt x="5338727" y="250634"/>
              </a:cubicBezTo>
              <a:lnTo>
                <a:pt x="5338727" y="1571968"/>
              </a:lnTo>
              <a:cubicBezTo>
                <a:pt x="5338727" y="1616642"/>
                <a:pt x="5374942" y="1652857"/>
                <a:pt x="5419616" y="1652857"/>
              </a:cubicBezTo>
              <a:lnTo>
                <a:pt x="7142394" y="1652857"/>
              </a:lnTo>
              <a:cubicBezTo>
                <a:pt x="7187068" y="1652857"/>
                <a:pt x="7223283" y="1616642"/>
                <a:pt x="7223283" y="1571968"/>
              </a:cubicBezTo>
              <a:lnTo>
                <a:pt x="7223283" y="250634"/>
              </a:lnTo>
              <a:cubicBezTo>
                <a:pt x="7223283" y="205960"/>
                <a:pt x="7187068" y="169745"/>
                <a:pt x="7142394" y="169745"/>
              </a:cubicBezTo>
              <a:close/>
              <a:moveTo>
                <a:pt x="2101757" y="169745"/>
              </a:moveTo>
              <a:cubicBezTo>
                <a:pt x="2057083" y="169745"/>
                <a:pt x="2020869" y="205960"/>
                <a:pt x="2020869" y="250634"/>
              </a:cubicBezTo>
              <a:lnTo>
                <a:pt x="2020869" y="1571968"/>
              </a:lnTo>
              <a:cubicBezTo>
                <a:pt x="2020869" y="1616642"/>
                <a:pt x="2057083" y="1652857"/>
                <a:pt x="2101757" y="1652857"/>
              </a:cubicBezTo>
              <a:lnTo>
                <a:pt x="5214534" y="1652857"/>
              </a:lnTo>
              <a:cubicBezTo>
                <a:pt x="5259208" y="1652857"/>
                <a:pt x="5295423" y="1616642"/>
                <a:pt x="5295423" y="1571968"/>
              </a:cubicBezTo>
              <a:lnTo>
                <a:pt x="5295423" y="250634"/>
              </a:lnTo>
              <a:cubicBezTo>
                <a:pt x="5295423" y="205960"/>
                <a:pt x="5259208" y="169745"/>
                <a:pt x="5214534" y="169745"/>
              </a:cubicBezTo>
              <a:close/>
              <a:moveTo>
                <a:pt x="173897" y="169745"/>
              </a:moveTo>
              <a:cubicBezTo>
                <a:pt x="129223" y="169745"/>
                <a:pt x="93009" y="205960"/>
                <a:pt x="93009" y="250634"/>
              </a:cubicBezTo>
              <a:lnTo>
                <a:pt x="93009" y="1571968"/>
              </a:lnTo>
              <a:cubicBezTo>
                <a:pt x="93009" y="1616642"/>
                <a:pt x="129223" y="1652857"/>
                <a:pt x="173897" y="1652857"/>
              </a:cubicBezTo>
              <a:lnTo>
                <a:pt x="1896675" y="1652857"/>
              </a:lnTo>
              <a:cubicBezTo>
                <a:pt x="1941350" y="1652857"/>
                <a:pt x="1977565" y="1616642"/>
                <a:pt x="1977565" y="1571968"/>
              </a:cubicBezTo>
              <a:lnTo>
                <a:pt x="1977565" y="250634"/>
              </a:lnTo>
              <a:cubicBezTo>
                <a:pt x="1977565" y="205960"/>
                <a:pt x="1941350" y="169745"/>
                <a:pt x="1896675" y="169745"/>
              </a:cubicBezTo>
              <a:close/>
              <a:moveTo>
                <a:pt x="0" y="0"/>
              </a:moveTo>
              <a:lnTo>
                <a:pt x="7320642" y="0"/>
              </a:lnTo>
              <a:lnTo>
                <a:pt x="7320642" y="6380976"/>
              </a:lnTo>
              <a:lnTo>
                <a:pt x="0" y="6380976"/>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16</xdr:col>
      <xdr:colOff>99733</xdr:colOff>
      <xdr:row>6</xdr:row>
      <xdr:rowOff>2</xdr:rowOff>
    </xdr:from>
    <xdr:to>
      <xdr:col>17</xdr:col>
      <xdr:colOff>356908</xdr:colOff>
      <xdr:row>11</xdr:row>
      <xdr:rowOff>142875</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123824</xdr:colOff>
      <xdr:row>4</xdr:row>
      <xdr:rowOff>180975</xdr:rowOff>
    </xdr:from>
    <xdr:to>
      <xdr:col>12</xdr:col>
      <xdr:colOff>552449</xdr:colOff>
      <xdr:row>17</xdr:row>
      <xdr:rowOff>38101</xdr:rowOff>
    </xdr:to>
    <xdr:graphicFrame macro="">
      <xdr:nvGraphicFramePr>
        <xdr:cNvPr id="25" name="Chart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174250</xdr:colOff>
      <xdr:row>22</xdr:row>
      <xdr:rowOff>19050</xdr:rowOff>
    </xdr:from>
    <xdr:to>
      <xdr:col>17</xdr:col>
      <xdr:colOff>756958</xdr:colOff>
      <xdr:row>28</xdr:row>
      <xdr:rowOff>19050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19050</xdr:colOff>
      <xdr:row>7</xdr:row>
      <xdr:rowOff>142875</xdr:rowOff>
    </xdr:from>
    <xdr:to>
      <xdr:col>5</xdr:col>
      <xdr:colOff>38100</xdr:colOff>
      <xdr:row>10</xdr:row>
      <xdr:rowOff>0</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6</xdr:col>
      <xdr:colOff>171449</xdr:colOff>
      <xdr:row>46</xdr:row>
      <xdr:rowOff>76200</xdr:rowOff>
    </xdr:from>
    <xdr:to>
      <xdr:col>12</xdr:col>
      <xdr:colOff>561974</xdr:colOff>
      <xdr:row>56</xdr:row>
      <xdr:rowOff>152400</xdr:rowOff>
    </xdr:to>
    <xdr:graphicFrame macro="">
      <xdr:nvGraphicFramePr>
        <xdr:cNvPr id="9" name="Chart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6</xdr:col>
      <xdr:colOff>38100</xdr:colOff>
      <xdr:row>20</xdr:row>
      <xdr:rowOff>9525</xdr:rowOff>
    </xdr:from>
    <xdr:to>
      <xdr:col>12</xdr:col>
      <xdr:colOff>600075</xdr:colOff>
      <xdr:row>28</xdr:row>
      <xdr:rowOff>38100</xdr:rowOff>
    </xdr:to>
    <xdr:graphicFrame macro="">
      <xdr:nvGraphicFramePr>
        <xdr:cNvPr id="29" name="Chart 28">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17</xdr:col>
      <xdr:colOff>622673</xdr:colOff>
      <xdr:row>0</xdr:row>
      <xdr:rowOff>85726</xdr:rowOff>
    </xdr:from>
    <xdr:to>
      <xdr:col>17</xdr:col>
      <xdr:colOff>761772</xdr:colOff>
      <xdr:row>0</xdr:row>
      <xdr:rowOff>232043</xdr:rowOff>
    </xdr:to>
    <xdr:pic macro="[0]!Maximize">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7"/>
        <a:stretch>
          <a:fillRect/>
        </a:stretch>
      </xdr:blipFill>
      <xdr:spPr>
        <a:xfrm>
          <a:off x="12486340" y="85726"/>
          <a:ext cx="140220" cy="146317"/>
        </a:xfrm>
        <a:prstGeom prst="rect">
          <a:avLst/>
        </a:prstGeom>
      </xdr:spPr>
    </xdr:pic>
    <xdr:clientData/>
  </xdr:twoCellAnchor>
  <xdr:twoCellAnchor editAs="absolute">
    <xdr:from>
      <xdr:col>17</xdr:col>
      <xdr:colOff>271183</xdr:colOff>
      <xdr:row>0</xdr:row>
      <xdr:rowOff>85725</xdr:rowOff>
    </xdr:from>
    <xdr:to>
      <xdr:col>17</xdr:col>
      <xdr:colOff>414058</xdr:colOff>
      <xdr:row>0</xdr:row>
      <xdr:rowOff>219076</xdr:rowOff>
    </xdr:to>
    <xdr:pic macro="[0]!Minimize">
      <xdr:nvPicPr>
        <xdr:cNvPr id="28" name="Picture 27">
          <a:extLst>
            <a:ext uri="{FF2B5EF4-FFF2-40B4-BE49-F238E27FC236}">
              <a16:creationId xmlns:a16="http://schemas.microsoft.com/office/drawing/2014/main" id="{00000000-0008-0000-0100-00001C000000}"/>
            </a:ext>
          </a:extLst>
        </xdr:cNvPr>
        <xdr:cNvPicPr>
          <a:picLocks/>
        </xdr:cNvPicPr>
      </xdr:nvPicPr>
      <xdr:blipFill>
        <a:blip xmlns:r="http://schemas.openxmlformats.org/officeDocument/2006/relationships" r:embed="rId8"/>
        <a:stretch>
          <a:fillRect/>
        </a:stretch>
      </xdr:blipFill>
      <xdr:spPr>
        <a:xfrm>
          <a:off x="12134850" y="85725"/>
          <a:ext cx="142875" cy="13335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0</xdr:col>
          <xdr:colOff>178778</xdr:colOff>
          <xdr:row>1</xdr:row>
          <xdr:rowOff>19051</xdr:rowOff>
        </xdr:from>
        <xdr:to>
          <xdr:col>1</xdr:col>
          <xdr:colOff>483578</xdr:colOff>
          <xdr:row>2</xdr:row>
          <xdr:rowOff>171451</xdr:rowOff>
        </xdr:to>
        <xdr:pic>
          <xdr:nvPicPr>
            <xdr:cNvPr id="24" name="Picture 23">
              <a:extLst>
                <a:ext uri="{FF2B5EF4-FFF2-40B4-BE49-F238E27FC236}">
                  <a16:creationId xmlns:a16="http://schemas.microsoft.com/office/drawing/2014/main" id="{00000000-0008-0000-0100-000018000000}"/>
                </a:ext>
              </a:extLst>
            </xdr:cNvPr>
            <xdr:cNvPicPr>
              <a:picLocks noChangeAspect="1" noChangeArrowheads="1"/>
              <a:extLst>
                <a:ext uri="{84589F7E-364E-4C9E-8A38-B11213B215E9}">
                  <a14:cameraTool cellRange="Settings!$M$3:$M$6" spid="_x0000_s2250"/>
                </a:ext>
              </a:extLst>
            </xdr:cNvPicPr>
          </xdr:nvPicPr>
          <xdr:blipFill rotWithShape="1">
            <a:blip xmlns:r="http://schemas.openxmlformats.org/officeDocument/2006/relationships" r:embed="rId9"/>
            <a:srcRect l="1437" r="1472" b="1886"/>
            <a:stretch>
              <a:fillRect/>
            </a:stretch>
          </xdr:blipFill>
          <xdr:spPr bwMode="auto">
            <a:xfrm>
              <a:off x="178778" y="333376"/>
              <a:ext cx="495300" cy="4953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14</xdr:col>
      <xdr:colOff>118782</xdr:colOff>
      <xdr:row>4</xdr:row>
      <xdr:rowOff>133350</xdr:rowOff>
    </xdr:from>
    <xdr:to>
      <xdr:col>15</xdr:col>
      <xdr:colOff>703170</xdr:colOff>
      <xdr:row>12</xdr:row>
      <xdr:rowOff>80010</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9529482" y="1333500"/>
          <a:ext cx="1403538" cy="1470660"/>
          <a:chOff x="9454963" y="1571624"/>
          <a:chExt cx="1280160" cy="1270635"/>
        </a:xfrm>
      </xdr:grpSpPr>
      <xdr:grpSp>
        <xdr:nvGrpSpPr>
          <xdr:cNvPr id="10" name="Group 9">
            <a:extLst>
              <a:ext uri="{FF2B5EF4-FFF2-40B4-BE49-F238E27FC236}">
                <a16:creationId xmlns:a16="http://schemas.microsoft.com/office/drawing/2014/main" id="{00000000-0008-0000-0100-00000A000000}"/>
              </a:ext>
            </a:extLst>
          </xdr:cNvPr>
          <xdr:cNvGrpSpPr/>
        </xdr:nvGrpSpPr>
        <xdr:grpSpPr>
          <a:xfrm>
            <a:off x="9454963" y="1571624"/>
            <a:ext cx="1280160" cy="1270635"/>
            <a:chOff x="9467850" y="1447799"/>
            <a:chExt cx="1280160" cy="1280160"/>
          </a:xfrm>
        </xdr:grpSpPr>
        <xdr:sp macro="" textlink="">
          <xdr:nvSpPr>
            <xdr:cNvPr id="12" name="Oval 11">
              <a:extLst>
                <a:ext uri="{FF2B5EF4-FFF2-40B4-BE49-F238E27FC236}">
                  <a16:creationId xmlns:a16="http://schemas.microsoft.com/office/drawing/2014/main" id="{00000000-0008-0000-0100-00000C000000}"/>
                </a:ext>
              </a:extLst>
            </xdr:cNvPr>
            <xdr:cNvSpPr/>
          </xdr:nvSpPr>
          <xdr:spPr>
            <a:xfrm>
              <a:off x="9467850" y="1447799"/>
              <a:ext cx="1280160" cy="1280160"/>
            </a:xfrm>
            <a:prstGeom prst="ellipse">
              <a:avLst/>
            </a:prstGeom>
            <a:gradFill flip="none" rotWithShape="1">
              <a:gsLst>
                <a:gs pos="70000">
                  <a:schemeClr val="accent3">
                    <a:alpha val="0"/>
                  </a:schemeClr>
                </a:gs>
                <a:gs pos="30000">
                  <a:schemeClr val="accent3">
                    <a:alpha val="50000"/>
                  </a:schemeClr>
                </a:gs>
              </a:gsLst>
              <a:path path="circle">
                <a:fillToRect l="50000" t="50000" r="50000" b="50000"/>
              </a:path>
              <a:tileRect/>
            </a:gradFill>
            <a:ln>
              <a:noFill/>
            </a:ln>
            <a:effectLst>
              <a:glow rad="50800">
                <a:schemeClr val="accent3">
                  <a:alpha val="4000"/>
                </a:schemeClr>
              </a:glow>
              <a:outerShdw blurRad="50800" dist="12700" dir="5400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9555481" y="1530668"/>
            <a:ext cx="1104899" cy="1114423"/>
          </xdr:xfrm>
          <a:graphic>
            <a:graphicData uri="http://schemas.openxmlformats.org/drawingml/2006/chart">
              <c:chart xmlns:c="http://schemas.openxmlformats.org/drawingml/2006/chart" xmlns:r="http://schemas.openxmlformats.org/officeDocument/2006/relationships" r:id="rId10"/>
            </a:graphicData>
          </a:graphic>
        </xdr:graphicFrame>
      </xdr:grpSp>
      <xdr:sp macro="" textlink="$I$33">
        <xdr:nvSpPr>
          <xdr:cNvPr id="11" name="TextBox 10">
            <a:extLst>
              <a:ext uri="{FF2B5EF4-FFF2-40B4-BE49-F238E27FC236}">
                <a16:creationId xmlns:a16="http://schemas.microsoft.com/office/drawing/2014/main" id="{00000000-0008-0000-0100-00000B000000}"/>
              </a:ext>
            </a:extLst>
          </xdr:cNvPr>
          <xdr:cNvSpPr txBox="1"/>
        </xdr:nvSpPr>
        <xdr:spPr>
          <a:xfrm>
            <a:off x="9640471" y="2055298"/>
            <a:ext cx="93111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C54D856-4AC6-415B-8B58-3B82FB700DDE}" type="TxLink">
              <a:rPr lang="en-US" sz="1600" b="1" i="0" u="none" strike="noStrike">
                <a:solidFill>
                  <a:srgbClr val="BCBFC6"/>
                </a:solidFill>
                <a:latin typeface="Bahnschrift SemiBold" panose="020B0502040204020203" pitchFamily="34" charset="0"/>
                <a:cs typeface="Arial"/>
              </a:rPr>
              <a:pPr algn="ctr"/>
              <a:t>42.86%</a:t>
            </a:fld>
            <a:endParaRPr lang="en-US" sz="2800">
              <a:solidFill>
                <a:schemeClr val="bg2"/>
              </a:solidFill>
              <a:latin typeface="Bahnschrift SemiBold" panose="020B0502040204020203" pitchFamily="34" charset="0"/>
            </a:endParaRPr>
          </a:p>
        </xdr:txBody>
      </xdr:sp>
    </xdr:grpSp>
    <xdr:clientData/>
  </xdr:twoCellAnchor>
  <xdr:twoCellAnchor editAs="absolute">
    <xdr:from>
      <xdr:col>14</xdr:col>
      <xdr:colOff>318807</xdr:colOff>
      <xdr:row>8</xdr:row>
      <xdr:rowOff>161925</xdr:rowOff>
    </xdr:from>
    <xdr:to>
      <xdr:col>15</xdr:col>
      <xdr:colOff>518833</xdr:colOff>
      <xdr:row>10</xdr:row>
      <xdr:rowOff>9525</xdr:rowOff>
    </xdr:to>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9729507" y="2124075"/>
          <a:ext cx="101917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bg2"/>
              </a:solidFill>
              <a:latin typeface="Bahnschrift Light SemiCondensed" panose="020B0502040204020203" pitchFamily="34" charset="0"/>
              <a:cs typeface="Arial" panose="020B0604020202020204" pitchFamily="34" charset="0"/>
            </a:rPr>
            <a:t>Win Rate%</a:t>
          </a:r>
        </a:p>
      </xdr:txBody>
    </xdr:sp>
    <xdr:clientData/>
  </xdr:twoCellAnchor>
  <xdr:twoCellAnchor editAs="absolute">
    <xdr:from>
      <xdr:col>16</xdr:col>
      <xdr:colOff>4482</xdr:colOff>
      <xdr:row>4</xdr:row>
      <xdr:rowOff>133350</xdr:rowOff>
    </xdr:from>
    <xdr:to>
      <xdr:col>17</xdr:col>
      <xdr:colOff>588870</xdr:colOff>
      <xdr:row>12</xdr:row>
      <xdr:rowOff>80010</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11053482" y="1333500"/>
          <a:ext cx="1403538" cy="1470660"/>
          <a:chOff x="9454963" y="1571624"/>
          <a:chExt cx="1280160" cy="1270635"/>
        </a:xfrm>
      </xdr:grpSpPr>
      <xdr:grpSp>
        <xdr:nvGrpSpPr>
          <xdr:cNvPr id="15" name="Group 14">
            <a:extLst>
              <a:ext uri="{FF2B5EF4-FFF2-40B4-BE49-F238E27FC236}">
                <a16:creationId xmlns:a16="http://schemas.microsoft.com/office/drawing/2014/main" id="{00000000-0008-0000-0100-00000F000000}"/>
              </a:ext>
            </a:extLst>
          </xdr:cNvPr>
          <xdr:cNvGrpSpPr/>
        </xdr:nvGrpSpPr>
        <xdr:grpSpPr>
          <a:xfrm>
            <a:off x="9454963" y="1571624"/>
            <a:ext cx="1280160" cy="1270635"/>
            <a:chOff x="9467850" y="1447799"/>
            <a:chExt cx="1280160" cy="1280160"/>
          </a:xfrm>
        </xdr:grpSpPr>
        <xdr:sp macro="" textlink="">
          <xdr:nvSpPr>
            <xdr:cNvPr id="21" name="Oval 20">
              <a:extLst>
                <a:ext uri="{FF2B5EF4-FFF2-40B4-BE49-F238E27FC236}">
                  <a16:creationId xmlns:a16="http://schemas.microsoft.com/office/drawing/2014/main" id="{00000000-0008-0000-0100-000015000000}"/>
                </a:ext>
              </a:extLst>
            </xdr:cNvPr>
            <xdr:cNvSpPr/>
          </xdr:nvSpPr>
          <xdr:spPr>
            <a:xfrm>
              <a:off x="9467850" y="1447799"/>
              <a:ext cx="1280160" cy="1280160"/>
            </a:xfrm>
            <a:prstGeom prst="ellipse">
              <a:avLst/>
            </a:prstGeom>
            <a:gradFill flip="none" rotWithShape="1">
              <a:gsLst>
                <a:gs pos="70000">
                  <a:schemeClr val="accent3">
                    <a:alpha val="0"/>
                  </a:schemeClr>
                </a:gs>
                <a:gs pos="30000">
                  <a:schemeClr val="accent3">
                    <a:alpha val="50000"/>
                  </a:schemeClr>
                </a:gs>
              </a:gsLst>
              <a:path path="circle">
                <a:fillToRect l="50000" t="50000" r="50000" b="50000"/>
              </a:path>
              <a:tileRect/>
            </a:gradFill>
            <a:ln>
              <a:noFill/>
            </a:ln>
            <a:effectLst>
              <a:glow rad="50800">
                <a:schemeClr val="accent3">
                  <a:alpha val="4000"/>
                </a:schemeClr>
              </a:glow>
              <a:outerShdw blurRad="50800" dist="12700" dir="5400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30" name="Chart 29">
              <a:extLst>
                <a:ext uri="{FF2B5EF4-FFF2-40B4-BE49-F238E27FC236}">
                  <a16:creationId xmlns:a16="http://schemas.microsoft.com/office/drawing/2014/main" id="{00000000-0008-0000-0100-00001E000000}"/>
                </a:ext>
              </a:extLst>
            </xdr:cNvPr>
            <xdr:cNvGraphicFramePr>
              <a:graphicFrameLocks/>
            </xdr:cNvGraphicFramePr>
          </xdr:nvGraphicFramePr>
          <xdr:xfrm>
            <a:off x="9555481" y="1530668"/>
            <a:ext cx="1104899" cy="1114423"/>
          </xdr:xfrm>
          <a:graphic>
            <a:graphicData uri="http://schemas.openxmlformats.org/drawingml/2006/chart">
              <c:chart xmlns:c="http://schemas.openxmlformats.org/drawingml/2006/chart" xmlns:r="http://schemas.openxmlformats.org/officeDocument/2006/relationships" r:id="rId11"/>
            </a:graphicData>
          </a:graphic>
        </xdr:graphicFrame>
      </xdr:grpSp>
      <xdr:sp macro="" textlink="'Stock Position'!BI8">
        <xdr:nvSpPr>
          <xdr:cNvPr id="16" name="TextBox 15">
            <a:extLst>
              <a:ext uri="{FF2B5EF4-FFF2-40B4-BE49-F238E27FC236}">
                <a16:creationId xmlns:a16="http://schemas.microsoft.com/office/drawing/2014/main" id="{00000000-0008-0000-0100-000010000000}"/>
              </a:ext>
            </a:extLst>
          </xdr:cNvPr>
          <xdr:cNvSpPr txBox="1"/>
        </xdr:nvSpPr>
        <xdr:spPr>
          <a:xfrm>
            <a:off x="9640471" y="2055298"/>
            <a:ext cx="93111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C4BE078-CD43-4CFC-A1C0-62A0460D64A0}" type="TxLink">
              <a:rPr lang="en-US" sz="1600" b="0" i="0" u="none" strike="noStrike">
                <a:solidFill>
                  <a:schemeClr val="bg2"/>
                </a:solidFill>
                <a:latin typeface="Bahnschrift SemiBold" panose="020B0502040204020203" pitchFamily="34" charset="0"/>
                <a:cs typeface="Calibri"/>
              </a:rPr>
              <a:pPr algn="ctr"/>
              <a:t>84.59%</a:t>
            </a:fld>
            <a:endParaRPr lang="en-US" sz="3600">
              <a:solidFill>
                <a:schemeClr val="bg2"/>
              </a:solidFill>
              <a:latin typeface="Bahnschrift SemiBold" panose="020B0502040204020203" pitchFamily="34" charset="0"/>
            </a:endParaRPr>
          </a:p>
        </xdr:txBody>
      </xdr:sp>
    </xdr:grpSp>
    <xdr:clientData/>
  </xdr:twoCellAnchor>
  <xdr:twoCellAnchor editAs="absolute">
    <xdr:from>
      <xdr:col>16</xdr:col>
      <xdr:colOff>204507</xdr:colOff>
      <xdr:row>8</xdr:row>
      <xdr:rowOff>161925</xdr:rowOff>
    </xdr:from>
    <xdr:to>
      <xdr:col>17</xdr:col>
      <xdr:colOff>404533</xdr:colOff>
      <xdr:row>10</xdr:row>
      <xdr:rowOff>9525</xdr:rowOff>
    </xdr:to>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11253507" y="2124075"/>
          <a:ext cx="101917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bg2"/>
              </a:solidFill>
              <a:latin typeface="Bahnschrift Light SemiCondensed" panose="020B0502040204020203" pitchFamily="34" charset="0"/>
              <a:cs typeface="Arial" panose="020B0604020202020204" pitchFamily="34" charset="0"/>
            </a:rPr>
            <a:t>Profit Rate%</a:t>
          </a:r>
        </a:p>
      </xdr:txBody>
    </xdr:sp>
    <xdr:clientData/>
  </xdr:twoCellAnchor>
  <xdr:twoCellAnchor editAs="absolute">
    <xdr:from>
      <xdr:col>7</xdr:col>
      <xdr:colOff>376629</xdr:colOff>
      <xdr:row>2</xdr:row>
      <xdr:rowOff>235322</xdr:rowOff>
    </xdr:from>
    <xdr:to>
      <xdr:col>12</xdr:col>
      <xdr:colOff>44151</xdr:colOff>
      <xdr:row>4</xdr:row>
      <xdr:rowOff>139400</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4805754" y="892547"/>
          <a:ext cx="3782322" cy="447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O V E R A L L    S U M M A R Y</a:t>
          </a:r>
        </a:p>
      </xdr:txBody>
    </xdr:sp>
    <xdr:clientData/>
  </xdr:twoCellAnchor>
  <xdr:twoCellAnchor editAs="absolute">
    <xdr:from>
      <xdr:col>6</xdr:col>
      <xdr:colOff>302222</xdr:colOff>
      <xdr:row>18</xdr:row>
      <xdr:rowOff>11204</xdr:rowOff>
    </xdr:from>
    <xdr:to>
      <xdr:col>14</xdr:col>
      <xdr:colOff>25997</xdr:colOff>
      <xdr:row>19</xdr:row>
      <xdr:rowOff>59165</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3874097" y="3764054"/>
          <a:ext cx="5562600" cy="352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P E R FO R M A N C E</a:t>
          </a:r>
        </a:p>
      </xdr:txBody>
    </xdr:sp>
    <xdr:clientData/>
  </xdr:twoCellAnchor>
  <xdr:twoCellAnchor editAs="absolute">
    <xdr:from>
      <xdr:col>6</xdr:col>
      <xdr:colOff>193302</xdr:colOff>
      <xdr:row>28</xdr:row>
      <xdr:rowOff>16584</xdr:rowOff>
    </xdr:from>
    <xdr:to>
      <xdr:col>13</xdr:col>
      <xdr:colOff>120911</xdr:colOff>
      <xdr:row>29</xdr:row>
      <xdr:rowOff>161700</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3765177" y="6064959"/>
          <a:ext cx="5585459" cy="345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A N A L Y T I C S</a:t>
          </a:r>
        </a:p>
      </xdr:txBody>
    </xdr:sp>
    <xdr:clientData/>
  </xdr:twoCellAnchor>
  <xdr:twoCellAnchor editAs="absolute">
    <xdr:from>
      <xdr:col>6</xdr:col>
      <xdr:colOff>204507</xdr:colOff>
      <xdr:row>43</xdr:row>
      <xdr:rowOff>30703</xdr:rowOff>
    </xdr:from>
    <xdr:to>
      <xdr:col>13</xdr:col>
      <xdr:colOff>139737</xdr:colOff>
      <xdr:row>44</xdr:row>
      <xdr:rowOff>238684</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3776382" y="8955628"/>
          <a:ext cx="5593080" cy="398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E V</a:t>
          </a:r>
          <a:r>
            <a:rPr lang="en-US" sz="1400" baseline="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 A L U A T I O N</a:t>
          </a:r>
          <a:endPar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endParaRPr>
        </a:p>
      </xdr:txBody>
    </xdr:sp>
    <xdr:clientData/>
  </xdr:twoCellAnchor>
  <xdr:twoCellAnchor editAs="absolute">
    <xdr:from>
      <xdr:col>1</xdr:col>
      <xdr:colOff>285750</xdr:colOff>
      <xdr:row>0</xdr:row>
      <xdr:rowOff>76200</xdr:rowOff>
    </xdr:from>
    <xdr:to>
      <xdr:col>1</xdr:col>
      <xdr:colOff>502857</xdr:colOff>
      <xdr:row>0</xdr:row>
      <xdr:rowOff>286512</xdr:rowOff>
    </xdr:to>
    <xdr:pic>
      <xdr:nvPicPr>
        <xdr:cNvPr id="36" name="Picture 35">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2">
          <a:lum bright="70000" contrast="-70000"/>
          <a:extLst>
            <a:ext uri="{28A0092B-C50C-407E-A947-70E740481C1C}">
              <a14:useLocalDpi xmlns:a14="http://schemas.microsoft.com/office/drawing/2010/main" val="0"/>
            </a:ext>
          </a:extLst>
        </a:blip>
        <a:stretch>
          <a:fillRect/>
        </a:stretch>
      </xdr:blipFill>
      <xdr:spPr>
        <a:xfrm>
          <a:off x="476250" y="76200"/>
          <a:ext cx="217107" cy="210312"/>
        </a:xfrm>
        <a:prstGeom prst="rect">
          <a:avLst/>
        </a:prstGeom>
      </xdr:spPr>
    </xdr:pic>
    <xdr:clientData/>
  </xdr:twoCellAnchor>
  <xdr:twoCellAnchor editAs="absolute">
    <xdr:from>
      <xdr:col>1</xdr:col>
      <xdr:colOff>514350</xdr:colOff>
      <xdr:row>0</xdr:row>
      <xdr:rowOff>57150</xdr:rowOff>
    </xdr:from>
    <xdr:to>
      <xdr:col>2</xdr:col>
      <xdr:colOff>304800</xdr:colOff>
      <xdr:row>1</xdr:row>
      <xdr:rowOff>38100</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704850" y="57150"/>
          <a:ext cx="1009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rPr>
            <a:t>Dashboard</a:t>
          </a:r>
        </a:p>
      </xdr:txBody>
    </xdr:sp>
    <xdr:clientData/>
  </xdr:twoCellAnchor>
  <xdr:twoCellAnchor editAs="absolute">
    <xdr:from>
      <xdr:col>3</xdr:col>
      <xdr:colOff>323850</xdr:colOff>
      <xdr:row>0</xdr:row>
      <xdr:rowOff>219076</xdr:rowOff>
    </xdr:from>
    <xdr:to>
      <xdr:col>6</xdr:col>
      <xdr:colOff>352425</xdr:colOff>
      <xdr:row>2</xdr:row>
      <xdr:rowOff>19051</xdr:rowOff>
    </xdr:to>
    <xdr:sp macro="" textlink="$AC$1">
      <xdr:nvSpPr>
        <xdr:cNvPr id="22" name="TextBox 21">
          <a:extLst>
            <a:ext uri="{FF2B5EF4-FFF2-40B4-BE49-F238E27FC236}">
              <a16:creationId xmlns:a16="http://schemas.microsoft.com/office/drawing/2014/main" id="{00000000-0008-0000-0100-000016000000}"/>
            </a:ext>
          </a:extLst>
        </xdr:cNvPr>
        <xdr:cNvSpPr txBox="1"/>
      </xdr:nvSpPr>
      <xdr:spPr>
        <a:xfrm>
          <a:off x="2314575" y="219076"/>
          <a:ext cx="16097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56806D3-4082-4F97-AC39-B0E724EC218B}" type="TxLink">
            <a:rPr lang="en-US" sz="1200" b="1" i="0" u="none" strike="noStrike">
              <a:solidFill>
                <a:srgbClr val="02C076"/>
              </a:solidFill>
              <a:latin typeface="Arial"/>
              <a:cs typeface="Arial"/>
            </a:rPr>
            <a:pPr algn="ctr"/>
            <a:t>Php 120,000.00 </a:t>
          </a:fld>
          <a:endParaRPr lang="en-US" sz="1100"/>
        </a:p>
      </xdr:txBody>
    </xdr:sp>
    <xdr:clientData/>
  </xdr:twoCellAnchor>
  <xdr:twoCellAnchor editAs="absolute">
    <xdr:from>
      <xdr:col>6</xdr:col>
      <xdr:colOff>404813</xdr:colOff>
      <xdr:row>0</xdr:row>
      <xdr:rowOff>219076</xdr:rowOff>
    </xdr:from>
    <xdr:to>
      <xdr:col>8</xdr:col>
      <xdr:colOff>528638</xdr:colOff>
      <xdr:row>2</xdr:row>
      <xdr:rowOff>19051</xdr:rowOff>
    </xdr:to>
    <xdr:sp macro="" textlink="$AF$1">
      <xdr:nvSpPr>
        <xdr:cNvPr id="26" name="TextBox 25">
          <a:extLst>
            <a:ext uri="{FF2B5EF4-FFF2-40B4-BE49-F238E27FC236}">
              <a16:creationId xmlns:a16="http://schemas.microsoft.com/office/drawing/2014/main" id="{00000000-0008-0000-0100-00001A000000}"/>
            </a:ext>
          </a:extLst>
        </xdr:cNvPr>
        <xdr:cNvSpPr txBox="1"/>
      </xdr:nvSpPr>
      <xdr:spPr>
        <a:xfrm>
          <a:off x="3976688" y="219076"/>
          <a:ext cx="16097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D08D2FD-F2B7-4701-BEE6-5BEC6E009948}" type="TxLink">
            <a:rPr lang="en-US" sz="1200" b="1" i="0" u="none" strike="noStrike">
              <a:solidFill>
                <a:srgbClr val="02C076"/>
              </a:solidFill>
              <a:latin typeface="Arial"/>
              <a:cs typeface="Arial"/>
            </a:rPr>
            <a:pPr algn="ctr"/>
            <a:t>Php 44,486.53 </a:t>
          </a:fld>
          <a:endParaRPr lang="en-US" sz="1100"/>
        </a:p>
      </xdr:txBody>
    </xdr:sp>
    <xdr:clientData/>
  </xdr:twoCellAnchor>
  <xdr:twoCellAnchor editAs="absolute">
    <xdr:from>
      <xdr:col>8</xdr:col>
      <xdr:colOff>581026</xdr:colOff>
      <xdr:row>0</xdr:row>
      <xdr:rowOff>219076</xdr:rowOff>
    </xdr:from>
    <xdr:to>
      <xdr:col>10</xdr:col>
      <xdr:colOff>809626</xdr:colOff>
      <xdr:row>2</xdr:row>
      <xdr:rowOff>19051</xdr:rowOff>
    </xdr:to>
    <xdr:sp macro="" textlink="$AH$1">
      <xdr:nvSpPr>
        <xdr:cNvPr id="37" name="TextBox 36">
          <a:extLst>
            <a:ext uri="{FF2B5EF4-FFF2-40B4-BE49-F238E27FC236}">
              <a16:creationId xmlns:a16="http://schemas.microsoft.com/office/drawing/2014/main" id="{00000000-0008-0000-0100-000025000000}"/>
            </a:ext>
          </a:extLst>
        </xdr:cNvPr>
        <xdr:cNvSpPr txBox="1"/>
      </xdr:nvSpPr>
      <xdr:spPr>
        <a:xfrm>
          <a:off x="5638801" y="219076"/>
          <a:ext cx="16097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1AD96CA-FAF2-4A1A-9863-7191E04AFE34}" type="TxLink">
            <a:rPr lang="en-US" sz="1200" b="1" i="0" u="none" strike="noStrike">
              <a:solidFill>
                <a:srgbClr val="F84960"/>
              </a:solidFill>
              <a:latin typeface="Arial"/>
              <a:cs typeface="Arial"/>
            </a:rPr>
            <a:pPr algn="ctr"/>
            <a:t>Php -   </a:t>
          </a:fld>
          <a:endParaRPr lang="en-US" sz="1100"/>
        </a:p>
      </xdr:txBody>
    </xdr:sp>
    <xdr:clientData/>
  </xdr:twoCellAnchor>
  <xdr:twoCellAnchor editAs="absolute">
    <xdr:from>
      <xdr:col>10</xdr:col>
      <xdr:colOff>862014</xdr:colOff>
      <xdr:row>0</xdr:row>
      <xdr:rowOff>219076</xdr:rowOff>
    </xdr:from>
    <xdr:to>
      <xdr:col>12</xdr:col>
      <xdr:colOff>366714</xdr:colOff>
      <xdr:row>2</xdr:row>
      <xdr:rowOff>19051</xdr:rowOff>
    </xdr:to>
    <xdr:sp macro="" textlink="$AJ$1">
      <xdr:nvSpPr>
        <xdr:cNvPr id="38" name="TextBox 37">
          <a:extLst>
            <a:ext uri="{FF2B5EF4-FFF2-40B4-BE49-F238E27FC236}">
              <a16:creationId xmlns:a16="http://schemas.microsoft.com/office/drawing/2014/main" id="{00000000-0008-0000-0100-000026000000}"/>
            </a:ext>
          </a:extLst>
        </xdr:cNvPr>
        <xdr:cNvSpPr txBox="1"/>
      </xdr:nvSpPr>
      <xdr:spPr>
        <a:xfrm>
          <a:off x="7300914" y="219076"/>
          <a:ext cx="16097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8335520-951C-4154-BE1F-5CF52B13A34E}" type="TxLink">
            <a:rPr lang="en-US" sz="1200" b="1" i="0" u="none" strike="noStrike">
              <a:solidFill>
                <a:srgbClr val="B3BAC1"/>
              </a:solidFill>
              <a:latin typeface="Arial"/>
              <a:cs typeface="Arial"/>
            </a:rPr>
            <a:pPr algn="ctr"/>
            <a:t>Php 164,486.53 </a:t>
          </a:fld>
          <a:endParaRPr lang="en-US" sz="1100"/>
        </a:p>
      </xdr:txBody>
    </xdr:sp>
    <xdr:clientData/>
  </xdr:twoCellAnchor>
  <xdr:twoCellAnchor editAs="absolute">
    <xdr:from>
      <xdr:col>12</xdr:col>
      <xdr:colOff>419100</xdr:colOff>
      <xdr:row>0</xdr:row>
      <xdr:rowOff>219076</xdr:rowOff>
    </xdr:from>
    <xdr:to>
      <xdr:col>15</xdr:col>
      <xdr:colOff>342900</xdr:colOff>
      <xdr:row>2</xdr:row>
      <xdr:rowOff>19051</xdr:rowOff>
    </xdr:to>
    <xdr:sp macro="" textlink="$AL$1">
      <xdr:nvSpPr>
        <xdr:cNvPr id="39" name="TextBox 38">
          <a:extLst>
            <a:ext uri="{FF2B5EF4-FFF2-40B4-BE49-F238E27FC236}">
              <a16:creationId xmlns:a16="http://schemas.microsoft.com/office/drawing/2014/main" id="{00000000-0008-0000-0100-000027000000}"/>
            </a:ext>
          </a:extLst>
        </xdr:cNvPr>
        <xdr:cNvSpPr txBox="1"/>
      </xdr:nvSpPr>
      <xdr:spPr>
        <a:xfrm>
          <a:off x="8963025" y="219076"/>
          <a:ext cx="16097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E53BDA7-DDAF-4C46-8B6E-58CA0B342CE4}" type="TxLink">
            <a:rPr lang="en-US" sz="1200" b="1" i="0" u="none" strike="noStrike">
              <a:solidFill>
                <a:srgbClr val="B3BAC1"/>
              </a:solidFill>
              <a:latin typeface="Arial"/>
              <a:cs typeface="Arial"/>
            </a:rPr>
            <a:pPr algn="ctr"/>
            <a:t>Php 118,120.16 </a:t>
          </a:fld>
          <a:endParaRPr lang="en-US" sz="1100"/>
        </a:p>
      </xdr:txBody>
    </xdr:sp>
    <xdr:clientData/>
  </xdr:twoCellAnchor>
  <xdr:twoCellAnchor editAs="absolute">
    <xdr:from>
      <xdr:col>16</xdr:col>
      <xdr:colOff>447675</xdr:colOff>
      <xdr:row>1</xdr:row>
      <xdr:rowOff>114300</xdr:rowOff>
    </xdr:from>
    <xdr:to>
      <xdr:col>16</xdr:col>
      <xdr:colOff>721995</xdr:colOff>
      <xdr:row>2</xdr:row>
      <xdr:rowOff>45720</xdr:rowOff>
    </xdr:to>
    <xdr:pic>
      <xdr:nvPicPr>
        <xdr:cNvPr id="40" name="Picture 39">
          <a:hlinkClick xmlns:r="http://schemas.openxmlformats.org/officeDocument/2006/relationships" r:id="rId13" tooltip="TRADE LOG"/>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14" cstate="print">
          <a:duotone>
            <a:prstClr val="black"/>
            <a:schemeClr val="accent3">
              <a:tint val="45000"/>
              <a:satMod val="400000"/>
            </a:schemeClr>
          </a:duotone>
          <a:extLst>
            <a:ext uri="{BEBA8EAE-BF5A-486C-A8C5-ECC9F3942E4B}">
              <a14:imgProps xmlns:a14="http://schemas.microsoft.com/office/drawing/2010/main">
                <a14:imgLayer r:embed="rId15">
                  <a14:imgEffect>
                    <a14:sharpenSoften amount="400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11496675" y="428625"/>
          <a:ext cx="274320" cy="274320"/>
        </a:xfrm>
        <a:prstGeom prst="rect">
          <a:avLst/>
        </a:prstGeom>
      </xdr:spPr>
    </xdr:pic>
    <xdr:clientData/>
  </xdr:twoCellAnchor>
  <xdr:twoCellAnchor editAs="absolute">
    <xdr:from>
      <xdr:col>16</xdr:col>
      <xdr:colOff>28575</xdr:colOff>
      <xdr:row>1</xdr:row>
      <xdr:rowOff>114300</xdr:rowOff>
    </xdr:from>
    <xdr:to>
      <xdr:col>16</xdr:col>
      <xdr:colOff>302895</xdr:colOff>
      <xdr:row>2</xdr:row>
      <xdr:rowOff>45720</xdr:rowOff>
    </xdr:to>
    <xdr:pic>
      <xdr:nvPicPr>
        <xdr:cNvPr id="41" name="Picture 40">
          <a:hlinkClick xmlns:r="http://schemas.openxmlformats.org/officeDocument/2006/relationships" r:id="rId16" tooltip="BANK TRANSFERS"/>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17">
          <a:extLst>
            <a:ext uri="{BEBA8EAE-BF5A-486C-A8C5-ECC9F3942E4B}">
              <a14:imgProps xmlns:a14="http://schemas.microsoft.com/office/drawing/2010/main">
                <a14:imgLayer r:embed="rId18">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11077575" y="428625"/>
          <a:ext cx="274320" cy="274320"/>
        </a:xfrm>
        <a:prstGeom prst="rect">
          <a:avLst/>
        </a:prstGeom>
      </xdr:spPr>
    </xdr:pic>
    <xdr:clientData/>
  </xdr:twoCellAnchor>
  <xdr:twoCellAnchor editAs="absolute">
    <xdr:from>
      <xdr:col>17</xdr:col>
      <xdr:colOff>47625</xdr:colOff>
      <xdr:row>1</xdr:row>
      <xdr:rowOff>114300</xdr:rowOff>
    </xdr:from>
    <xdr:to>
      <xdr:col>17</xdr:col>
      <xdr:colOff>321945</xdr:colOff>
      <xdr:row>2</xdr:row>
      <xdr:rowOff>45720</xdr:rowOff>
    </xdr:to>
    <xdr:pic>
      <xdr:nvPicPr>
        <xdr:cNvPr id="42" name="Picture 41">
          <a:hlinkClick xmlns:r="http://schemas.openxmlformats.org/officeDocument/2006/relationships" r:id="rId19" tooltip="DIVIDENDS"/>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20">
          <a:extLst>
            <a:ext uri="{BEBA8EAE-BF5A-486C-A8C5-ECC9F3942E4B}">
              <a14:imgProps xmlns:a14="http://schemas.microsoft.com/office/drawing/2010/main">
                <a14:imgLayer r:embed="rId21">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11915775" y="428625"/>
          <a:ext cx="274320" cy="274320"/>
        </a:xfrm>
        <a:prstGeom prst="rect">
          <a:avLst/>
        </a:prstGeom>
      </xdr:spPr>
    </xdr:pic>
    <xdr:clientData/>
  </xdr:twoCellAnchor>
  <xdr:twoCellAnchor editAs="absolute">
    <xdr:from>
      <xdr:col>17</xdr:col>
      <xdr:colOff>466725</xdr:colOff>
      <xdr:row>1</xdr:row>
      <xdr:rowOff>114300</xdr:rowOff>
    </xdr:from>
    <xdr:to>
      <xdr:col>17</xdr:col>
      <xdr:colOff>741045</xdr:colOff>
      <xdr:row>2</xdr:row>
      <xdr:rowOff>45720</xdr:rowOff>
    </xdr:to>
    <xdr:pic>
      <xdr:nvPicPr>
        <xdr:cNvPr id="43" name="Picture 42">
          <a:hlinkClick xmlns:r="http://schemas.openxmlformats.org/officeDocument/2006/relationships" r:id="rId22" tooltip="SETTINGS"/>
          <a:extLst>
            <a:ext uri="{FF2B5EF4-FFF2-40B4-BE49-F238E27FC236}">
              <a16:creationId xmlns:a16="http://schemas.microsoft.com/office/drawing/2014/main" id="{00000000-0008-0000-0100-00002B000000}"/>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2334875" y="428625"/>
          <a:ext cx="274320" cy="274320"/>
        </a:xfrm>
        <a:prstGeom prst="rect">
          <a:avLst/>
        </a:prstGeom>
        <a:noFill/>
      </xdr:spPr>
    </xdr:pic>
    <xdr:clientData/>
  </xdr:twoCellAnchor>
  <xdr:twoCellAnchor editAs="oneCell">
    <xdr:from>
      <xdr:col>15</xdr:col>
      <xdr:colOff>428625</xdr:colOff>
      <xdr:row>1</xdr:row>
      <xdr:rowOff>114300</xdr:rowOff>
    </xdr:from>
    <xdr:to>
      <xdr:col>15</xdr:col>
      <xdr:colOff>702945</xdr:colOff>
      <xdr:row>2</xdr:row>
      <xdr:rowOff>45720</xdr:rowOff>
    </xdr:to>
    <xdr:pic macro="[0]!refreshDash">
      <xdr:nvPicPr>
        <xdr:cNvPr id="4" name="Picture 3">
          <a:extLst>
            <a:ext uri="{FF2B5EF4-FFF2-40B4-BE49-F238E27FC236}">
              <a16:creationId xmlns:a16="http://schemas.microsoft.com/office/drawing/2014/main" id="{EA70C882-8A45-4C46-90ED-2AF99608E2FC}"/>
            </a:ext>
          </a:extLst>
        </xdr:cNvPr>
        <xdr:cNvPicPr>
          <a:picLocks noChangeAspect="1"/>
        </xdr:cNvPicPr>
      </xdr:nvPicPr>
      <xdr:blipFill>
        <a:blip xmlns:r="http://schemas.openxmlformats.org/officeDocument/2006/relationships" r:embed="rId24">
          <a:extLst>
            <a:ext uri="{BEBA8EAE-BF5A-486C-A8C5-ECC9F3942E4B}">
              <a14:imgProps xmlns:a14="http://schemas.microsoft.com/office/drawing/2010/main">
                <a14:imgLayer r:embed="rId25">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10658475" y="428625"/>
          <a:ext cx="274320" cy="274320"/>
        </a:xfrm>
        <a:prstGeom prst="rect">
          <a:avLst/>
        </a:prstGeom>
      </xdr:spPr>
    </xdr:pic>
    <xdr:clientData/>
  </xdr:twoCellAnchor>
  <xdr:twoCellAnchor editAs="absolute">
    <xdr:from>
      <xdr:col>4</xdr:col>
      <xdr:colOff>133350</xdr:colOff>
      <xdr:row>55</xdr:row>
      <xdr:rowOff>104775</xdr:rowOff>
    </xdr:from>
    <xdr:to>
      <xdr:col>14</xdr:col>
      <xdr:colOff>610161</xdr:colOff>
      <xdr:row>64</xdr:row>
      <xdr:rowOff>137273</xdr:rowOff>
    </xdr:to>
    <xdr:sp macro="" textlink="">
      <xdr:nvSpPr>
        <xdr:cNvPr id="5" name="Rectangle 4">
          <a:extLst>
            <a:ext uri="{FF2B5EF4-FFF2-40B4-BE49-F238E27FC236}">
              <a16:creationId xmlns:a16="http://schemas.microsoft.com/office/drawing/2014/main" id="{DBBEABDD-7DCA-41F5-9951-3DF6780F8330}"/>
            </a:ext>
          </a:extLst>
        </xdr:cNvPr>
        <xdr:cNvSpPr/>
      </xdr:nvSpPr>
      <xdr:spPr>
        <a:xfrm>
          <a:off x="2705100" y="11430000"/>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tx2"/>
              </a:solidFill>
              <a:effectLst/>
              <a:latin typeface="+mn-lt"/>
              <a:ea typeface="+mn-ea"/>
              <a:cs typeface="+mn-cs"/>
            </a:rPr>
            <a:t>Upgrade now! </a:t>
          </a:r>
          <a:r>
            <a:rPr lang="en-US" sz="1800" b="0" i="0">
              <a:solidFill>
                <a:schemeClr val="tx2"/>
              </a:solidFill>
              <a:effectLst/>
              <a:latin typeface="+mn-lt"/>
              <a:ea typeface="+mn-ea"/>
              <a:cs typeface="+mn-cs"/>
            </a:rPr>
            <a:t>Experience the full potential of our Stock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tx2"/>
              </a:solidFill>
              <a:effectLst/>
              <a:latin typeface="+mn-lt"/>
              <a:ea typeface="+mn-ea"/>
              <a:cs typeface="+mn-cs"/>
            </a:rPr>
            <a:t>Visit</a:t>
          </a:r>
          <a:r>
            <a:rPr lang="en-US" sz="1800" b="0" i="0">
              <a:solidFill>
                <a:schemeClr val="lt1"/>
              </a:solidFill>
              <a:effectLst/>
              <a:latin typeface="+mn-lt"/>
              <a:ea typeface="+mn-ea"/>
              <a:cs typeface="+mn-cs"/>
            </a:rPr>
            <a:t> </a:t>
          </a:r>
          <a:r>
            <a:rPr lang="en-US" sz="1800" b="0" i="0" u="sng">
              <a:solidFill>
                <a:schemeClr val="accent1"/>
              </a:solidFill>
              <a:effectLst/>
              <a:latin typeface="+mn-lt"/>
              <a:ea typeface="+mn-ea"/>
              <a:cs typeface="+mn-cs"/>
            </a:rPr>
            <a:t>https://www.rocketsheets.com/product/trading-journal/ </a:t>
          </a:r>
          <a:r>
            <a:rPr lang="en-US" sz="1800" b="0" i="0">
              <a:solidFill>
                <a:schemeClr val="tx2"/>
              </a:solidFill>
              <a:effectLst/>
              <a:latin typeface="+mn-lt"/>
              <a:ea typeface="+mn-ea"/>
              <a:cs typeface="+mn-cs"/>
            </a:rPr>
            <a:t>now to upgrade and maximize your potential. Use code STJ20 at checkout to enjoy a 20% discount.</a:t>
          </a:r>
          <a:endParaRPr lang="en-US" sz="3600">
            <a:solidFill>
              <a:schemeClr val="tx2"/>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117158</xdr:colOff>
      <xdr:row>8</xdr:row>
      <xdr:rowOff>78105</xdr:rowOff>
    </xdr:from>
    <xdr:to>
      <xdr:col>6</xdr:col>
      <xdr:colOff>4270058</xdr:colOff>
      <xdr:row>11</xdr:row>
      <xdr:rowOff>40005</xdr:rowOff>
    </xdr:to>
    <xdr:sp macro="[0]!aFormb" textlink="">
      <xdr:nvSpPr>
        <xdr:cNvPr id="2" name="activateB">
          <a:extLst>
            <a:ext uri="{FF2B5EF4-FFF2-40B4-BE49-F238E27FC236}">
              <a16:creationId xmlns:a16="http://schemas.microsoft.com/office/drawing/2014/main" id="{00000000-0008-0000-0200-000002000000}"/>
            </a:ext>
          </a:extLst>
        </xdr:cNvPr>
        <xdr:cNvSpPr/>
      </xdr:nvSpPr>
      <xdr:spPr>
        <a:xfrm>
          <a:off x="4445318" y="3522345"/>
          <a:ext cx="4152900" cy="495300"/>
        </a:xfrm>
        <a:prstGeom prst="roundRect">
          <a:avLst>
            <a:gd name="adj" fmla="val 50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Bahnschrift SemiBold" panose="020B0502040204020203" pitchFamily="34" charset="0"/>
            </a:rPr>
            <a:t>A C T I V A T E</a:t>
          </a:r>
        </a:p>
      </xdr:txBody>
    </xdr:sp>
    <xdr:clientData/>
  </xdr:twoCellAnchor>
  <xdr:twoCellAnchor editAs="absolute">
    <xdr:from>
      <xdr:col>6</xdr:col>
      <xdr:colOff>117158</xdr:colOff>
      <xdr:row>8</xdr:row>
      <xdr:rowOff>78105</xdr:rowOff>
    </xdr:from>
    <xdr:to>
      <xdr:col>6</xdr:col>
      <xdr:colOff>4270058</xdr:colOff>
      <xdr:row>11</xdr:row>
      <xdr:rowOff>40005</xdr:rowOff>
    </xdr:to>
    <xdr:sp macro="[0]!relOadActivation" textlink="">
      <xdr:nvSpPr>
        <xdr:cNvPr id="3" name="reActivateB" hidden="1">
          <a:extLst>
            <a:ext uri="{FF2B5EF4-FFF2-40B4-BE49-F238E27FC236}">
              <a16:creationId xmlns:a16="http://schemas.microsoft.com/office/drawing/2014/main" id="{00000000-0008-0000-0200-000003000000}"/>
            </a:ext>
          </a:extLst>
        </xdr:cNvPr>
        <xdr:cNvSpPr/>
      </xdr:nvSpPr>
      <xdr:spPr>
        <a:xfrm>
          <a:off x="4445318" y="3522345"/>
          <a:ext cx="4152900" cy="495300"/>
        </a:xfrm>
        <a:prstGeom prst="roundRect">
          <a:avLst>
            <a:gd name="adj" fmla="val 50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Bahnschrift SemiBold" panose="020B0502040204020203" pitchFamily="34" charset="0"/>
            </a:rPr>
            <a:t>R</a:t>
          </a:r>
          <a:r>
            <a:rPr lang="en-US" sz="1600" b="1" baseline="0">
              <a:latin typeface="Bahnschrift SemiBold" panose="020B0502040204020203" pitchFamily="34" charset="0"/>
            </a:rPr>
            <a:t> E </a:t>
          </a:r>
          <a:r>
            <a:rPr lang="en-US" sz="1600" b="1">
              <a:latin typeface="Bahnschrift SemiBold" panose="020B0502040204020203" pitchFamily="34" charset="0"/>
            </a:rPr>
            <a:t>A C T I V A T E</a:t>
          </a:r>
        </a:p>
      </xdr:txBody>
    </xdr:sp>
    <xdr:clientData/>
  </xdr:twoCellAnchor>
  <xdr:twoCellAnchor editAs="absolute">
    <xdr:from>
      <xdr:col>6</xdr:col>
      <xdr:colOff>117158</xdr:colOff>
      <xdr:row>8</xdr:row>
      <xdr:rowOff>78105</xdr:rowOff>
    </xdr:from>
    <xdr:to>
      <xdr:col>6</xdr:col>
      <xdr:colOff>4270058</xdr:colOff>
      <xdr:row>11</xdr:row>
      <xdr:rowOff>40005</xdr:rowOff>
    </xdr:to>
    <xdr:sp macro="[0]!Access" textlink="">
      <xdr:nvSpPr>
        <xdr:cNvPr id="4" name="eAccessB" hidden="1">
          <a:extLst>
            <a:ext uri="{FF2B5EF4-FFF2-40B4-BE49-F238E27FC236}">
              <a16:creationId xmlns:a16="http://schemas.microsoft.com/office/drawing/2014/main" id="{00000000-0008-0000-0200-000004000000}"/>
            </a:ext>
          </a:extLst>
        </xdr:cNvPr>
        <xdr:cNvSpPr/>
      </xdr:nvSpPr>
      <xdr:spPr>
        <a:xfrm>
          <a:off x="4445318" y="3522345"/>
          <a:ext cx="4152900" cy="495300"/>
        </a:xfrm>
        <a:prstGeom prst="roundRect">
          <a:avLst>
            <a:gd name="adj" fmla="val 50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Bahnschrift SemiBold" panose="020B0502040204020203" pitchFamily="34" charset="0"/>
            </a:rPr>
            <a:t>T</a:t>
          </a:r>
          <a:r>
            <a:rPr lang="en-US" sz="1600" b="1" baseline="0">
              <a:latin typeface="Bahnschrift SemiBold" panose="020B0502040204020203" pitchFamily="34" charset="0"/>
            </a:rPr>
            <a:t> E M P O R A R Y    A C C E S S</a:t>
          </a:r>
          <a:endParaRPr lang="en-US" sz="1600" b="1">
            <a:latin typeface="Bahnschrift SemiBold" panose="020B0502040204020203" pitchFamily="34" charset="0"/>
          </a:endParaRPr>
        </a:p>
      </xdr:txBody>
    </xdr:sp>
    <xdr:clientData/>
  </xdr:twoCellAnchor>
  <xdr:twoCellAnchor editAs="oneCell">
    <xdr:from>
      <xdr:col>6</xdr:col>
      <xdr:colOff>1546860</xdr:colOff>
      <xdr:row>0</xdr:row>
      <xdr:rowOff>171450</xdr:rowOff>
    </xdr:from>
    <xdr:to>
      <xdr:col>6</xdr:col>
      <xdr:colOff>2807970</xdr:colOff>
      <xdr:row>0</xdr:row>
      <xdr:rowOff>708660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8830" y="175260"/>
          <a:ext cx="1261110" cy="5372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57150</xdr:rowOff>
    </xdr:from>
    <xdr:to>
      <xdr:col>32</xdr:col>
      <xdr:colOff>790575</xdr:colOff>
      <xdr:row>13</xdr:row>
      <xdr:rowOff>19050</xdr:rowOff>
    </xdr:to>
    <xdr:sp macro="" textlink="">
      <xdr:nvSpPr>
        <xdr:cNvPr id="12" name="Freeform: Shape 11">
          <a:extLst>
            <a:ext uri="{FF2B5EF4-FFF2-40B4-BE49-F238E27FC236}">
              <a16:creationId xmlns:a16="http://schemas.microsoft.com/office/drawing/2014/main" id="{63B5B32D-FB55-6F57-F941-BADF3D999A73}"/>
            </a:ext>
          </a:extLst>
        </xdr:cNvPr>
        <xdr:cNvSpPr>
          <a:spLocks noChangeAspect="1"/>
        </xdr:cNvSpPr>
      </xdr:nvSpPr>
      <xdr:spPr>
        <a:xfrm>
          <a:off x="0" y="57150"/>
          <a:ext cx="15240000" cy="1866900"/>
        </a:xfrm>
        <a:custGeom>
          <a:avLst/>
          <a:gdLst>
            <a:gd name="connsiteX0" fmla="*/ 10317647 w 15190357"/>
            <a:gd name="connsiteY0" fmla="*/ 293535 h 1866900"/>
            <a:gd name="connsiteX1" fmla="*/ 10221624 w 15190357"/>
            <a:gd name="connsiteY1" fmla="*/ 389558 h 1866900"/>
            <a:gd name="connsiteX2" fmla="*/ 10221624 w 15190357"/>
            <a:gd name="connsiteY2" fmla="*/ 1695292 h 1866900"/>
            <a:gd name="connsiteX3" fmla="*/ 10317647 w 15190357"/>
            <a:gd name="connsiteY3" fmla="*/ 1791315 h 1866900"/>
            <a:gd name="connsiteX4" fmla="*/ 12603330 w 15190357"/>
            <a:gd name="connsiteY4" fmla="*/ 1791315 h 1866900"/>
            <a:gd name="connsiteX5" fmla="*/ 12699353 w 15190357"/>
            <a:gd name="connsiteY5" fmla="*/ 1695292 h 1866900"/>
            <a:gd name="connsiteX6" fmla="*/ 12699353 w 15190357"/>
            <a:gd name="connsiteY6" fmla="*/ 389558 h 1866900"/>
            <a:gd name="connsiteX7" fmla="*/ 12603330 w 15190357"/>
            <a:gd name="connsiteY7" fmla="*/ 293535 h 1866900"/>
            <a:gd name="connsiteX8" fmla="*/ 8538009 w 15190357"/>
            <a:gd name="connsiteY8" fmla="*/ 293535 h 1866900"/>
            <a:gd name="connsiteX9" fmla="*/ 8441986 w 15190357"/>
            <a:gd name="connsiteY9" fmla="*/ 389558 h 1866900"/>
            <a:gd name="connsiteX10" fmla="*/ 8441986 w 15190357"/>
            <a:gd name="connsiteY10" fmla="*/ 1695292 h 1866900"/>
            <a:gd name="connsiteX11" fmla="*/ 8538009 w 15190357"/>
            <a:gd name="connsiteY11" fmla="*/ 1791315 h 1866900"/>
            <a:gd name="connsiteX12" fmla="*/ 10056777 w 15190357"/>
            <a:gd name="connsiteY12" fmla="*/ 1791315 h 1866900"/>
            <a:gd name="connsiteX13" fmla="*/ 10152800 w 15190357"/>
            <a:gd name="connsiteY13" fmla="*/ 1695292 h 1866900"/>
            <a:gd name="connsiteX14" fmla="*/ 10152800 w 15190357"/>
            <a:gd name="connsiteY14" fmla="*/ 389558 h 1866900"/>
            <a:gd name="connsiteX15" fmla="*/ 10056777 w 15190357"/>
            <a:gd name="connsiteY15" fmla="*/ 293535 h 1866900"/>
            <a:gd name="connsiteX16" fmla="*/ 4113494 w 15190357"/>
            <a:gd name="connsiteY16" fmla="*/ 293535 h 1866900"/>
            <a:gd name="connsiteX17" fmla="*/ 4017471 w 15190357"/>
            <a:gd name="connsiteY17" fmla="*/ 389558 h 1866900"/>
            <a:gd name="connsiteX18" fmla="*/ 4017471 w 15190357"/>
            <a:gd name="connsiteY18" fmla="*/ 1695292 h 1866900"/>
            <a:gd name="connsiteX19" fmla="*/ 4113494 w 15190357"/>
            <a:gd name="connsiteY19" fmla="*/ 1791315 h 1866900"/>
            <a:gd name="connsiteX20" fmla="*/ 8277138 w 15190357"/>
            <a:gd name="connsiteY20" fmla="*/ 1791315 h 1866900"/>
            <a:gd name="connsiteX21" fmla="*/ 8373161 w 15190357"/>
            <a:gd name="connsiteY21" fmla="*/ 1695292 h 1866900"/>
            <a:gd name="connsiteX22" fmla="*/ 8373161 w 15190357"/>
            <a:gd name="connsiteY22" fmla="*/ 389558 h 1866900"/>
            <a:gd name="connsiteX23" fmla="*/ 8277138 w 15190357"/>
            <a:gd name="connsiteY23" fmla="*/ 293535 h 1866900"/>
            <a:gd name="connsiteX24" fmla="*/ 269081 w 15190357"/>
            <a:gd name="connsiteY24" fmla="*/ 293535 h 1866900"/>
            <a:gd name="connsiteX25" fmla="*/ 173058 w 15190357"/>
            <a:gd name="connsiteY25" fmla="*/ 389558 h 1866900"/>
            <a:gd name="connsiteX26" fmla="*/ 173058 w 15190357"/>
            <a:gd name="connsiteY26" fmla="*/ 1695292 h 1866900"/>
            <a:gd name="connsiteX27" fmla="*/ 269081 w 15190357"/>
            <a:gd name="connsiteY27" fmla="*/ 1791315 h 1866900"/>
            <a:gd name="connsiteX28" fmla="*/ 3852622 w 15190357"/>
            <a:gd name="connsiteY28" fmla="*/ 1791315 h 1866900"/>
            <a:gd name="connsiteX29" fmla="*/ 3948645 w 15190357"/>
            <a:gd name="connsiteY29" fmla="*/ 1695292 h 1866900"/>
            <a:gd name="connsiteX30" fmla="*/ 3948645 w 15190357"/>
            <a:gd name="connsiteY30" fmla="*/ 389558 h 1866900"/>
            <a:gd name="connsiteX31" fmla="*/ 3852622 w 15190357"/>
            <a:gd name="connsiteY31" fmla="*/ 293535 h 1866900"/>
            <a:gd name="connsiteX32" fmla="*/ 0 w 15190357"/>
            <a:gd name="connsiteY32" fmla="*/ 0 h 1866900"/>
            <a:gd name="connsiteX33" fmla="*/ 15190357 w 15190357"/>
            <a:gd name="connsiteY33" fmla="*/ 0 h 1866900"/>
            <a:gd name="connsiteX34" fmla="*/ 15190357 w 15190357"/>
            <a:gd name="connsiteY34" fmla="*/ 1866900 h 1866900"/>
            <a:gd name="connsiteX35" fmla="*/ 0 w 15190357"/>
            <a:gd name="connsiteY35" fmla="*/ 1866900 h 1866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15190357" h="1866900">
              <a:moveTo>
                <a:pt x="10317647" y="293535"/>
              </a:moveTo>
              <a:cubicBezTo>
                <a:pt x="10264615" y="293535"/>
                <a:pt x="10221624" y="336526"/>
                <a:pt x="10221624" y="389558"/>
              </a:cubicBezTo>
              <a:lnTo>
                <a:pt x="10221624" y="1695292"/>
              </a:lnTo>
              <a:cubicBezTo>
                <a:pt x="10221624" y="1748324"/>
                <a:pt x="10264615" y="1791315"/>
                <a:pt x="10317647" y="1791315"/>
              </a:cubicBezTo>
              <a:lnTo>
                <a:pt x="12603330" y="1791315"/>
              </a:lnTo>
              <a:cubicBezTo>
                <a:pt x="12656362" y="1791315"/>
                <a:pt x="12699353" y="1748324"/>
                <a:pt x="12699353" y="1695292"/>
              </a:cubicBezTo>
              <a:lnTo>
                <a:pt x="12699353" y="389558"/>
              </a:lnTo>
              <a:cubicBezTo>
                <a:pt x="12699353" y="336526"/>
                <a:pt x="12656362" y="293535"/>
                <a:pt x="12603330" y="293535"/>
              </a:cubicBezTo>
              <a:close/>
              <a:moveTo>
                <a:pt x="8538009" y="293535"/>
              </a:moveTo>
              <a:cubicBezTo>
                <a:pt x="8484977" y="293535"/>
                <a:pt x="8441986" y="336526"/>
                <a:pt x="8441986" y="389558"/>
              </a:cubicBezTo>
              <a:lnTo>
                <a:pt x="8441986" y="1695292"/>
              </a:lnTo>
              <a:cubicBezTo>
                <a:pt x="8441986" y="1748324"/>
                <a:pt x="8484977" y="1791315"/>
                <a:pt x="8538009" y="1791315"/>
              </a:cubicBezTo>
              <a:lnTo>
                <a:pt x="10056777" y="1791315"/>
              </a:lnTo>
              <a:cubicBezTo>
                <a:pt x="10109809" y="1791315"/>
                <a:pt x="10152800" y="1748324"/>
                <a:pt x="10152800" y="1695292"/>
              </a:cubicBezTo>
              <a:lnTo>
                <a:pt x="10152800" y="389558"/>
              </a:lnTo>
              <a:cubicBezTo>
                <a:pt x="10152800" y="336526"/>
                <a:pt x="10109809" y="293535"/>
                <a:pt x="10056777" y="293535"/>
              </a:cubicBezTo>
              <a:close/>
              <a:moveTo>
                <a:pt x="4113494" y="293535"/>
              </a:moveTo>
              <a:cubicBezTo>
                <a:pt x="4060462" y="293535"/>
                <a:pt x="4017471" y="336526"/>
                <a:pt x="4017471" y="389558"/>
              </a:cubicBezTo>
              <a:lnTo>
                <a:pt x="4017471" y="1695292"/>
              </a:lnTo>
              <a:cubicBezTo>
                <a:pt x="4017471" y="1748324"/>
                <a:pt x="4060462" y="1791315"/>
                <a:pt x="4113494" y="1791315"/>
              </a:cubicBezTo>
              <a:lnTo>
                <a:pt x="8277138" y="1791315"/>
              </a:lnTo>
              <a:cubicBezTo>
                <a:pt x="8330170" y="1791315"/>
                <a:pt x="8373161" y="1748324"/>
                <a:pt x="8373161" y="1695292"/>
              </a:cubicBezTo>
              <a:lnTo>
                <a:pt x="8373161" y="389558"/>
              </a:lnTo>
              <a:cubicBezTo>
                <a:pt x="8373161" y="336526"/>
                <a:pt x="8330170" y="293535"/>
                <a:pt x="8277138" y="293535"/>
              </a:cubicBezTo>
              <a:close/>
              <a:moveTo>
                <a:pt x="269081" y="293535"/>
              </a:moveTo>
              <a:cubicBezTo>
                <a:pt x="216049" y="293535"/>
                <a:pt x="173058" y="336526"/>
                <a:pt x="173058" y="389558"/>
              </a:cubicBezTo>
              <a:lnTo>
                <a:pt x="173058" y="1695292"/>
              </a:lnTo>
              <a:cubicBezTo>
                <a:pt x="173058" y="1748324"/>
                <a:pt x="216049" y="1791315"/>
                <a:pt x="269081" y="1791315"/>
              </a:cubicBezTo>
              <a:lnTo>
                <a:pt x="3852622" y="1791315"/>
              </a:lnTo>
              <a:cubicBezTo>
                <a:pt x="3905654" y="1791315"/>
                <a:pt x="3948645" y="1748324"/>
                <a:pt x="3948645" y="1695292"/>
              </a:cubicBezTo>
              <a:lnTo>
                <a:pt x="3948645" y="389558"/>
              </a:lnTo>
              <a:cubicBezTo>
                <a:pt x="3948645" y="336526"/>
                <a:pt x="3905654" y="293535"/>
                <a:pt x="3852622" y="293535"/>
              </a:cubicBezTo>
              <a:close/>
              <a:moveTo>
                <a:pt x="0" y="0"/>
              </a:moveTo>
              <a:lnTo>
                <a:pt x="15190357" y="0"/>
              </a:lnTo>
              <a:lnTo>
                <a:pt x="15190357" y="1866900"/>
              </a:lnTo>
              <a:lnTo>
                <a:pt x="0" y="1866900"/>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29</xdr:col>
      <xdr:colOff>64994</xdr:colOff>
      <xdr:row>2</xdr:row>
      <xdr:rowOff>19049</xdr:rowOff>
    </xdr:from>
    <xdr:to>
      <xdr:col>30</xdr:col>
      <xdr:colOff>324410</xdr:colOff>
      <xdr:row>9</xdr:row>
      <xdr:rowOff>223556</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31</xdr:col>
      <xdr:colOff>275290</xdr:colOff>
      <xdr:row>0</xdr:row>
      <xdr:rowOff>79243</xdr:rowOff>
    </xdr:from>
    <xdr:to>
      <xdr:col>31</xdr:col>
      <xdr:colOff>415510</xdr:colOff>
      <xdr:row>0</xdr:row>
      <xdr:rowOff>225560</xdr:rowOff>
    </xdr:to>
    <xdr:pic macro="[0]!Maximize">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stretch>
          <a:fillRect/>
        </a:stretch>
      </xdr:blipFill>
      <xdr:spPr>
        <a:xfrm>
          <a:off x="12504830" y="79243"/>
          <a:ext cx="143021" cy="146317"/>
        </a:xfrm>
        <a:prstGeom prst="rect">
          <a:avLst/>
        </a:prstGeom>
      </xdr:spPr>
    </xdr:pic>
    <xdr:clientData/>
  </xdr:twoCellAnchor>
  <xdr:twoCellAnchor editAs="absolute">
    <xdr:from>
      <xdr:col>30</xdr:col>
      <xdr:colOff>843700</xdr:colOff>
      <xdr:row>0</xdr:row>
      <xdr:rowOff>85726</xdr:rowOff>
    </xdr:from>
    <xdr:to>
      <xdr:col>31</xdr:col>
      <xdr:colOff>72175</xdr:colOff>
      <xdr:row>0</xdr:row>
      <xdr:rowOff>219077</xdr:rowOff>
    </xdr:to>
    <xdr:pic macro="[0]!Minimize">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a:stretch>
          <a:fillRect/>
        </a:stretch>
      </xdr:blipFill>
      <xdr:spPr>
        <a:xfrm>
          <a:off x="12158840" y="85726"/>
          <a:ext cx="142875" cy="13335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30</xdr:col>
          <xdr:colOff>419102</xdr:colOff>
          <xdr:row>0</xdr:row>
          <xdr:rowOff>57151</xdr:rowOff>
        </xdr:from>
        <xdr:to>
          <xdr:col>30</xdr:col>
          <xdr:colOff>650109</xdr:colOff>
          <xdr:row>0</xdr:row>
          <xdr:rowOff>285751</xdr:rowOff>
        </xdr:to>
        <xdr:pic>
          <xdr:nvPicPr>
            <xdr:cNvPr id="14" name="Picture 13">
              <a:hlinkClick xmlns:r="http://schemas.openxmlformats.org/officeDocument/2006/relationships" r:id="rId4" tooltip="Dashboard"/>
              <a:extLst>
                <a:ext uri="{FF2B5EF4-FFF2-40B4-BE49-F238E27FC236}">
                  <a16:creationId xmlns:a16="http://schemas.microsoft.com/office/drawing/2014/main" id="{00000000-0008-0000-0300-00000E000000}"/>
                </a:ext>
              </a:extLst>
            </xdr:cNvPr>
            <xdr:cNvPicPr>
              <a:picLocks noChangeAspect="1" noChangeArrowheads="1"/>
              <a:extLst>
                <a:ext uri="{84589F7E-364E-4C9E-8A38-B11213B215E9}">
                  <a14:cameraTool cellRange="Settings!$M$3:$M$6" spid="_x0000_s252257"/>
                </a:ext>
              </a:extLst>
            </xdr:cNvPicPr>
          </xdr:nvPicPr>
          <xdr:blipFill>
            <a:blip xmlns:r="http://schemas.openxmlformats.org/officeDocument/2006/relationships" r:embed="rId5"/>
            <a:srcRect/>
            <a:stretch>
              <a:fillRect/>
            </a:stretch>
          </xdr:blipFill>
          <xdr:spPr bwMode="auto">
            <a:xfrm>
              <a:off x="11715752" y="57151"/>
              <a:ext cx="231007"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28</xdr:col>
      <xdr:colOff>57150</xdr:colOff>
      <xdr:row>2</xdr:row>
      <xdr:rowOff>38101</xdr:rowOff>
    </xdr:from>
    <xdr:to>
      <xdr:col>28</xdr:col>
      <xdr:colOff>230886</xdr:colOff>
      <xdr:row>2</xdr:row>
      <xdr:rowOff>209551</xdr:rowOff>
    </xdr:to>
    <xdr:pic>
      <xdr:nvPicPr>
        <xdr:cNvPr id="17" name="Picture 16">
          <a:hlinkClick xmlns:r="http://schemas.openxmlformats.org/officeDocument/2006/relationships" r:id="rId6" tooltip="Settings"/>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7">
          <a:lum bright="70000" contrast="-70000"/>
        </a:blip>
        <a:stretch>
          <a:fillRect/>
        </a:stretch>
      </xdr:blipFill>
      <xdr:spPr>
        <a:xfrm>
          <a:off x="9801225" y="333376"/>
          <a:ext cx="173736" cy="171450"/>
        </a:xfrm>
        <a:prstGeom prst="rect">
          <a:avLst/>
        </a:prstGeom>
      </xdr:spPr>
    </xdr:pic>
    <xdr:clientData/>
  </xdr:twoCellAnchor>
  <xdr:twoCellAnchor editAs="absolute">
    <xdr:from>
      <xdr:col>30</xdr:col>
      <xdr:colOff>349231</xdr:colOff>
      <xdr:row>6</xdr:row>
      <xdr:rowOff>123825</xdr:rowOff>
    </xdr:from>
    <xdr:to>
      <xdr:col>30</xdr:col>
      <xdr:colOff>662324</xdr:colOff>
      <xdr:row>8</xdr:row>
      <xdr:rowOff>103543</xdr:rowOff>
    </xdr:to>
    <xdr:sp macro="[0]!TLogLAST" textlink="">
      <xdr:nvSpPr>
        <xdr:cNvPr id="4" name="Oval 3">
          <a:extLst>
            <a:ext uri="{FF2B5EF4-FFF2-40B4-BE49-F238E27FC236}">
              <a16:creationId xmlns:a16="http://schemas.microsoft.com/office/drawing/2014/main" id="{00000000-0008-0000-0300-000004000000}"/>
            </a:ext>
          </a:extLst>
        </xdr:cNvPr>
        <xdr:cNvSpPr>
          <a:spLocks noChangeAspect="1"/>
        </xdr:cNvSpPr>
      </xdr:nvSpPr>
      <xdr:spPr>
        <a:xfrm>
          <a:off x="11645881" y="1228725"/>
          <a:ext cx="313093"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absolute">
    <xdr:from>
      <xdr:col>30</xdr:col>
      <xdr:colOff>342900</xdr:colOff>
      <xdr:row>3</xdr:row>
      <xdr:rowOff>76200</xdr:rowOff>
    </xdr:from>
    <xdr:to>
      <xdr:col>30</xdr:col>
      <xdr:colOff>668655</xdr:colOff>
      <xdr:row>5</xdr:row>
      <xdr:rowOff>55918</xdr:rowOff>
    </xdr:to>
    <xdr:sp macro="[0]!TReviewUP" textlink="">
      <xdr:nvSpPr>
        <xdr:cNvPr id="5" name="Oval 4">
          <a:extLst>
            <a:ext uri="{FF2B5EF4-FFF2-40B4-BE49-F238E27FC236}">
              <a16:creationId xmlns:a16="http://schemas.microsoft.com/office/drawing/2014/main" id="{00000000-0008-0000-0300-000005000000}"/>
            </a:ext>
          </a:extLst>
        </xdr:cNvPr>
        <xdr:cNvSpPr>
          <a:spLocks noChangeAspect="1"/>
        </xdr:cNvSpPr>
      </xdr:nvSpPr>
      <xdr:spPr>
        <a:xfrm flipV="1">
          <a:off x="11639550" y="666750"/>
          <a:ext cx="325755"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absolute">
    <xdr:from>
      <xdr:col>30</xdr:col>
      <xdr:colOff>884479</xdr:colOff>
      <xdr:row>7</xdr:row>
      <xdr:rowOff>113735</xdr:rowOff>
    </xdr:from>
    <xdr:to>
      <xdr:col>31</xdr:col>
      <xdr:colOff>238518</xdr:colOff>
      <xdr:row>9</xdr:row>
      <xdr:rowOff>47732</xdr:rowOff>
    </xdr:to>
    <xdr:pic macro="[0]!addRow">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8">
          <a:lum bright="70000" contrast="-70000"/>
          <a:extLst>
            <a:ext uri="{28A0092B-C50C-407E-A947-70E740481C1C}">
              <a14:useLocalDpi xmlns:a14="http://schemas.microsoft.com/office/drawing/2010/main" val="0"/>
            </a:ext>
          </a:extLst>
        </a:blip>
        <a:stretch>
          <a:fillRect/>
        </a:stretch>
      </xdr:blipFill>
      <xdr:spPr>
        <a:xfrm>
          <a:off x="12181129" y="1390085"/>
          <a:ext cx="268439" cy="276897"/>
        </a:xfrm>
        <a:prstGeom prst="rect">
          <a:avLst/>
        </a:prstGeom>
      </xdr:spPr>
    </xdr:pic>
    <xdr:clientData/>
  </xdr:twoCellAnchor>
  <xdr:twoCellAnchor editAs="absolute">
    <xdr:from>
      <xdr:col>30</xdr:col>
      <xdr:colOff>883443</xdr:colOff>
      <xdr:row>2</xdr:row>
      <xdr:rowOff>180975</xdr:rowOff>
    </xdr:from>
    <xdr:to>
      <xdr:col>31</xdr:col>
      <xdr:colOff>239553</xdr:colOff>
      <xdr:row>4</xdr:row>
      <xdr:rowOff>58831</xdr:rowOff>
    </xdr:to>
    <xdr:pic macro="[0]!optimizeFormula">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9">
          <a:duotone>
            <a:schemeClr val="accent2">
              <a:shade val="45000"/>
              <a:satMod val="135000"/>
            </a:schemeClr>
            <a:prstClr val="white"/>
          </a:duotone>
          <a:extLst>
            <a:ext uri="{BEBA8EAE-BF5A-486C-A8C5-ECC9F3942E4B}">
              <a14:imgProps xmlns:a14="http://schemas.microsoft.com/office/drawing/2010/main">
                <a14:imgLayer r:embed="rId10">
                  <a14:imgEffect>
                    <a14:colorTemperature colorTemp="8386"/>
                  </a14:imgEffect>
                </a14:imgLayer>
              </a14:imgProps>
            </a:ext>
            <a:ext uri="{28A0092B-C50C-407E-A947-70E740481C1C}">
              <a14:useLocalDpi xmlns:a14="http://schemas.microsoft.com/office/drawing/2010/main" val="0"/>
            </a:ext>
          </a:extLst>
        </a:blip>
        <a:stretch>
          <a:fillRect/>
        </a:stretch>
      </xdr:blipFill>
      <xdr:spPr>
        <a:xfrm>
          <a:off x="12180093" y="542925"/>
          <a:ext cx="270510" cy="277906"/>
        </a:xfrm>
        <a:prstGeom prst="rect">
          <a:avLst/>
        </a:prstGeom>
      </xdr:spPr>
    </xdr:pic>
    <xdr:clientData/>
  </xdr:twoCellAnchor>
  <xdr:twoCellAnchor editAs="absolute">
    <xdr:from>
      <xdr:col>30</xdr:col>
      <xdr:colOff>828675</xdr:colOff>
      <xdr:row>5</xdr:row>
      <xdr:rowOff>642</xdr:rowOff>
    </xdr:from>
    <xdr:to>
      <xdr:col>31</xdr:col>
      <xdr:colOff>294322</xdr:colOff>
      <xdr:row>7</xdr:row>
      <xdr:rowOff>57624</xdr:rowOff>
    </xdr:to>
    <xdr:pic macro="[0]!resetLogCal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1"/>
        <a:stretch>
          <a:fillRect/>
        </a:stretch>
      </xdr:blipFill>
      <xdr:spPr>
        <a:xfrm>
          <a:off x="12125325" y="934092"/>
          <a:ext cx="380047" cy="399882"/>
        </a:xfrm>
        <a:prstGeom prst="rect">
          <a:avLst/>
        </a:prstGeom>
      </xdr:spPr>
    </xdr:pic>
    <xdr:clientData/>
  </xdr:twoCellAnchor>
  <xdr:twoCellAnchor editAs="absolute">
    <xdr:from>
      <xdr:col>3</xdr:col>
      <xdr:colOff>219075</xdr:colOff>
      <xdr:row>0</xdr:row>
      <xdr:rowOff>104775</xdr:rowOff>
    </xdr:from>
    <xdr:to>
      <xdr:col>3</xdr:col>
      <xdr:colOff>401955</xdr:colOff>
      <xdr:row>0</xdr:row>
      <xdr:rowOff>287655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2" cstate="print">
          <a:duotone>
            <a:prstClr val="black"/>
            <a:schemeClr val="accent3">
              <a:tint val="45000"/>
              <a:satMod val="400000"/>
            </a:schemeClr>
          </a:duotone>
          <a:extLst>
            <a:ext uri="{BEBA8EAE-BF5A-486C-A8C5-ECC9F3942E4B}">
              <a14:imgProps xmlns:a14="http://schemas.microsoft.com/office/drawing/2010/main">
                <a14:imgLayer r:embed="rId13">
                  <a14:imgEffect>
                    <a14:sharpenSoften amount="4000"/>
                  </a14:imgEffect>
                  <a14:imgEffect>
                    <a14:brightnessContrast bright="100000"/>
                  </a14:imgEffect>
                </a14:imgLayer>
              </a14:imgProps>
            </a:ext>
            <a:ext uri="{28A0092B-C50C-407E-A947-70E740481C1C}">
              <a14:useLocalDpi xmlns:a14="http://schemas.microsoft.com/office/drawing/2010/main" val="0"/>
            </a:ext>
          </a:extLst>
        </a:blip>
        <a:stretch>
          <a:fillRect/>
        </a:stretch>
      </xdr:blipFill>
      <xdr:spPr>
        <a:xfrm>
          <a:off x="495300" y="104775"/>
          <a:ext cx="182880" cy="182880"/>
        </a:xfrm>
        <a:prstGeom prst="rect">
          <a:avLst/>
        </a:prstGeom>
      </xdr:spPr>
    </xdr:pic>
    <xdr:clientData/>
  </xdr:twoCellAnchor>
  <xdr:twoCellAnchor editAs="absolute">
    <xdr:from>
      <xdr:col>3</xdr:col>
      <xdr:colOff>428626</xdr:colOff>
      <xdr:row>0</xdr:row>
      <xdr:rowOff>66676</xdr:rowOff>
    </xdr:from>
    <xdr:to>
      <xdr:col>4</xdr:col>
      <xdr:colOff>685801</xdr:colOff>
      <xdr:row>2</xdr:row>
      <xdr:rowOff>1</xdr:rowOff>
    </xdr:to>
    <xdr:sp macro="" textlink="">
      <xdr:nvSpPr>
        <xdr:cNvPr id="3" name="TextBox 2">
          <a:extLst>
            <a:ext uri="{FF2B5EF4-FFF2-40B4-BE49-F238E27FC236}">
              <a16:creationId xmlns:a16="http://schemas.microsoft.com/office/drawing/2014/main" id="{00000000-0008-0000-0300-000003000000}"/>
            </a:ext>
          </a:extLst>
        </xdr:cNvPr>
        <xdr:cNvSpPr txBox="1">
          <a:spLocks noChangeAspect="1"/>
        </xdr:cNvSpPr>
      </xdr:nvSpPr>
      <xdr:spPr>
        <a:xfrm>
          <a:off x="704851" y="66676"/>
          <a:ext cx="1009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rPr>
            <a:t>Trade Log</a:t>
          </a:r>
        </a:p>
      </xdr:txBody>
    </xdr:sp>
    <xdr:clientData/>
  </xdr:twoCellAnchor>
  <xdr:twoCellAnchor editAs="absolute">
    <xdr:from>
      <xdr:col>6</xdr:col>
      <xdr:colOff>609600</xdr:colOff>
      <xdr:row>62</xdr:row>
      <xdr:rowOff>95250</xdr:rowOff>
    </xdr:from>
    <xdr:to>
      <xdr:col>28</xdr:col>
      <xdr:colOff>372036</xdr:colOff>
      <xdr:row>72</xdr:row>
      <xdr:rowOff>108698</xdr:rowOff>
    </xdr:to>
    <xdr:sp macro="" textlink="">
      <xdr:nvSpPr>
        <xdr:cNvPr id="6" name="Rectangle 5">
          <a:extLst>
            <a:ext uri="{FF2B5EF4-FFF2-40B4-BE49-F238E27FC236}">
              <a16:creationId xmlns:a16="http://schemas.microsoft.com/office/drawing/2014/main" id="{9417543B-88B3-47EF-B63D-C4DABF74241F}"/>
            </a:ext>
          </a:extLst>
        </xdr:cNvPr>
        <xdr:cNvSpPr/>
      </xdr:nvSpPr>
      <xdr:spPr>
        <a:xfrm>
          <a:off x="2800350" y="14163675"/>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tx2"/>
              </a:solidFill>
              <a:effectLst/>
              <a:latin typeface="+mn-lt"/>
              <a:ea typeface="+mn-ea"/>
              <a:cs typeface="+mn-cs"/>
            </a:rPr>
            <a:t>Upgrade now! </a:t>
          </a:r>
          <a:r>
            <a:rPr lang="en-US" sz="1800" b="0" i="0">
              <a:solidFill>
                <a:schemeClr val="tx2"/>
              </a:solidFill>
              <a:effectLst/>
              <a:latin typeface="+mn-lt"/>
              <a:ea typeface="+mn-ea"/>
              <a:cs typeface="+mn-cs"/>
            </a:rPr>
            <a:t>Experience the full potential of our Stock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tx2"/>
              </a:solidFill>
              <a:effectLst/>
              <a:latin typeface="+mn-lt"/>
              <a:ea typeface="+mn-ea"/>
              <a:cs typeface="+mn-cs"/>
            </a:rPr>
            <a:t>Visit</a:t>
          </a:r>
          <a:r>
            <a:rPr lang="en-US" sz="1800" b="0" i="0">
              <a:solidFill>
                <a:schemeClr val="lt1"/>
              </a:solidFill>
              <a:effectLst/>
              <a:latin typeface="+mn-lt"/>
              <a:ea typeface="+mn-ea"/>
              <a:cs typeface="+mn-cs"/>
            </a:rPr>
            <a:t> </a:t>
          </a:r>
          <a:r>
            <a:rPr lang="en-US" sz="1800" b="0" i="0" u="sng">
              <a:solidFill>
                <a:schemeClr val="accent1"/>
              </a:solidFill>
              <a:effectLst/>
              <a:latin typeface="+mn-lt"/>
              <a:ea typeface="+mn-ea"/>
              <a:cs typeface="+mn-cs"/>
            </a:rPr>
            <a:t>https://www.rocketsheets.com/product/trading-journal/ </a:t>
          </a:r>
          <a:r>
            <a:rPr lang="en-US" sz="1800" b="0" i="0">
              <a:solidFill>
                <a:schemeClr val="tx2"/>
              </a:solidFill>
              <a:effectLst/>
              <a:latin typeface="+mn-lt"/>
              <a:ea typeface="+mn-ea"/>
              <a:cs typeface="+mn-cs"/>
            </a:rPr>
            <a:t>now to upgrade and maximize your potential. Use code STJ20 at checkout to enjoy a 20% discount.</a:t>
          </a:r>
          <a:endParaRPr lang="en-US" sz="3600">
            <a:solidFill>
              <a:schemeClr val="tx2"/>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85725</xdr:rowOff>
    </xdr:from>
    <xdr:to>
      <xdr:col>11</xdr:col>
      <xdr:colOff>539198</xdr:colOff>
      <xdr:row>13</xdr:row>
      <xdr:rowOff>38100</xdr:rowOff>
    </xdr:to>
    <xdr:sp macro="" textlink="">
      <xdr:nvSpPr>
        <xdr:cNvPr id="10" name="Freeform: Shape 9">
          <a:extLst>
            <a:ext uri="{FF2B5EF4-FFF2-40B4-BE49-F238E27FC236}">
              <a16:creationId xmlns:a16="http://schemas.microsoft.com/office/drawing/2014/main" id="{00000000-0008-0000-0400-00000A000000}"/>
            </a:ext>
          </a:extLst>
        </xdr:cNvPr>
        <xdr:cNvSpPr/>
      </xdr:nvSpPr>
      <xdr:spPr>
        <a:xfrm>
          <a:off x="0" y="85725"/>
          <a:ext cx="13093148" cy="2009775"/>
        </a:xfrm>
        <a:custGeom>
          <a:avLst/>
          <a:gdLst>
            <a:gd name="connsiteX0" fmla="*/ 4774799 w 12710160"/>
            <a:gd name="connsiteY0" fmla="*/ 279289 h 1993392"/>
            <a:gd name="connsiteX1" fmla="*/ 4616994 w 12710160"/>
            <a:gd name="connsiteY1" fmla="*/ 437094 h 1993392"/>
            <a:gd name="connsiteX2" fmla="*/ 4616994 w 12710160"/>
            <a:gd name="connsiteY2" fmla="*/ 1733714 h 1993392"/>
            <a:gd name="connsiteX3" fmla="*/ 4774799 w 12710160"/>
            <a:gd name="connsiteY3" fmla="*/ 1891519 h 1993392"/>
            <a:gd name="connsiteX4" fmla="*/ 12034195 w 12710160"/>
            <a:gd name="connsiteY4" fmla="*/ 1891519 h 1993392"/>
            <a:gd name="connsiteX5" fmla="*/ 12192000 w 12710160"/>
            <a:gd name="connsiteY5" fmla="*/ 1733714 h 1993392"/>
            <a:gd name="connsiteX6" fmla="*/ 12192000 w 12710160"/>
            <a:gd name="connsiteY6" fmla="*/ 437094 h 1993392"/>
            <a:gd name="connsiteX7" fmla="*/ 12034195 w 12710160"/>
            <a:gd name="connsiteY7" fmla="*/ 279289 h 1993392"/>
            <a:gd name="connsiteX8" fmla="*/ 441559 w 12710160"/>
            <a:gd name="connsiteY8" fmla="*/ 279289 h 1993392"/>
            <a:gd name="connsiteX9" fmla="*/ 283754 w 12710160"/>
            <a:gd name="connsiteY9" fmla="*/ 437094 h 1993392"/>
            <a:gd name="connsiteX10" fmla="*/ 283754 w 12710160"/>
            <a:gd name="connsiteY10" fmla="*/ 1733714 h 1993392"/>
            <a:gd name="connsiteX11" fmla="*/ 441559 w 12710160"/>
            <a:gd name="connsiteY11" fmla="*/ 1891519 h 1993392"/>
            <a:gd name="connsiteX12" fmla="*/ 4350478 w 12710160"/>
            <a:gd name="connsiteY12" fmla="*/ 1891519 h 1993392"/>
            <a:gd name="connsiteX13" fmla="*/ 4508282 w 12710160"/>
            <a:gd name="connsiteY13" fmla="*/ 1733714 h 1993392"/>
            <a:gd name="connsiteX14" fmla="*/ 4508282 w 12710160"/>
            <a:gd name="connsiteY14" fmla="*/ 437094 h 1993392"/>
            <a:gd name="connsiteX15" fmla="*/ 4350478 w 12710160"/>
            <a:gd name="connsiteY15" fmla="*/ 279289 h 1993392"/>
            <a:gd name="connsiteX16" fmla="*/ 0 w 12710160"/>
            <a:gd name="connsiteY16" fmla="*/ 0 h 1993392"/>
            <a:gd name="connsiteX17" fmla="*/ 12710160 w 12710160"/>
            <a:gd name="connsiteY17" fmla="*/ 0 h 1993392"/>
            <a:gd name="connsiteX18" fmla="*/ 12710160 w 12710160"/>
            <a:gd name="connsiteY18" fmla="*/ 1993392 h 1993392"/>
            <a:gd name="connsiteX19" fmla="*/ 0 w 12710160"/>
            <a:gd name="connsiteY19" fmla="*/ 1993392 h 19933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12710160" h="1993392">
              <a:moveTo>
                <a:pt x="4774799" y="279289"/>
              </a:moveTo>
              <a:cubicBezTo>
                <a:pt x="4687646" y="279289"/>
                <a:pt x="4616994" y="349941"/>
                <a:pt x="4616994" y="437094"/>
              </a:cubicBezTo>
              <a:lnTo>
                <a:pt x="4616994" y="1733714"/>
              </a:lnTo>
              <a:cubicBezTo>
                <a:pt x="4616994" y="1820867"/>
                <a:pt x="4687646" y="1891519"/>
                <a:pt x="4774799" y="1891519"/>
              </a:cubicBezTo>
              <a:lnTo>
                <a:pt x="12034195" y="1891519"/>
              </a:lnTo>
              <a:cubicBezTo>
                <a:pt x="12121348" y="1891519"/>
                <a:pt x="12192000" y="1820867"/>
                <a:pt x="12192000" y="1733714"/>
              </a:cubicBezTo>
              <a:lnTo>
                <a:pt x="12192000" y="437094"/>
              </a:lnTo>
              <a:cubicBezTo>
                <a:pt x="12192000" y="349941"/>
                <a:pt x="12121348" y="279289"/>
                <a:pt x="12034195" y="279289"/>
              </a:cubicBezTo>
              <a:close/>
              <a:moveTo>
                <a:pt x="441559" y="279289"/>
              </a:moveTo>
              <a:cubicBezTo>
                <a:pt x="354406" y="279289"/>
                <a:pt x="283754" y="349941"/>
                <a:pt x="283754" y="437094"/>
              </a:cubicBezTo>
              <a:lnTo>
                <a:pt x="283754" y="1733714"/>
              </a:lnTo>
              <a:cubicBezTo>
                <a:pt x="283754" y="1820867"/>
                <a:pt x="354406" y="1891519"/>
                <a:pt x="441559" y="1891519"/>
              </a:cubicBezTo>
              <a:lnTo>
                <a:pt x="4350478" y="1891519"/>
              </a:lnTo>
              <a:cubicBezTo>
                <a:pt x="4437630" y="1891519"/>
                <a:pt x="4508282" y="1820867"/>
                <a:pt x="4508282" y="1733714"/>
              </a:cubicBezTo>
              <a:lnTo>
                <a:pt x="4508282" y="437094"/>
              </a:lnTo>
              <a:cubicBezTo>
                <a:pt x="4508282" y="349941"/>
                <a:pt x="4437630" y="279289"/>
                <a:pt x="4350478" y="279289"/>
              </a:cubicBezTo>
              <a:close/>
              <a:moveTo>
                <a:pt x="0" y="0"/>
              </a:moveTo>
              <a:lnTo>
                <a:pt x="12710160" y="0"/>
              </a:lnTo>
              <a:lnTo>
                <a:pt x="12710160" y="1993392"/>
              </a:lnTo>
              <a:lnTo>
                <a:pt x="0" y="1993392"/>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10</xdr:col>
      <xdr:colOff>1675463</xdr:colOff>
      <xdr:row>0</xdr:row>
      <xdr:rowOff>83051</xdr:rowOff>
    </xdr:from>
    <xdr:to>
      <xdr:col>11</xdr:col>
      <xdr:colOff>72608</xdr:colOff>
      <xdr:row>0</xdr:row>
      <xdr:rowOff>229368</xdr:rowOff>
    </xdr:to>
    <xdr:pic macro="[0]!Maximize">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12486338" y="83051"/>
          <a:ext cx="140220" cy="146317"/>
        </a:xfrm>
        <a:prstGeom prst="rect">
          <a:avLst/>
        </a:prstGeom>
      </xdr:spPr>
    </xdr:pic>
    <xdr:clientData/>
  </xdr:twoCellAnchor>
  <xdr:twoCellAnchor editAs="absolute">
    <xdr:from>
      <xdr:col>10</xdr:col>
      <xdr:colOff>1329472</xdr:colOff>
      <xdr:row>0</xdr:row>
      <xdr:rowOff>89534</xdr:rowOff>
    </xdr:from>
    <xdr:to>
      <xdr:col>10</xdr:col>
      <xdr:colOff>1472347</xdr:colOff>
      <xdr:row>0</xdr:row>
      <xdr:rowOff>222885</xdr:rowOff>
    </xdr:to>
    <xdr:pic macro="[0]!Minimize">
      <xdr:nvPicPr>
        <xdr:cNvPr id="6" name="Picture 5">
          <a:extLst>
            <a:ext uri="{FF2B5EF4-FFF2-40B4-BE49-F238E27FC236}">
              <a16:creationId xmlns:a16="http://schemas.microsoft.com/office/drawing/2014/main" id="{00000000-0008-0000-0400-000006000000}"/>
            </a:ext>
          </a:extLst>
        </xdr:cNvPr>
        <xdr:cNvPicPr>
          <a:picLocks/>
        </xdr:cNvPicPr>
      </xdr:nvPicPr>
      <xdr:blipFill>
        <a:blip xmlns:r="http://schemas.openxmlformats.org/officeDocument/2006/relationships" r:embed="rId2"/>
        <a:stretch>
          <a:fillRect/>
        </a:stretch>
      </xdr:blipFill>
      <xdr:spPr>
        <a:xfrm>
          <a:off x="12140347" y="89534"/>
          <a:ext cx="142875" cy="13335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10</xdr:col>
          <xdr:colOff>904875</xdr:colOff>
          <xdr:row>0</xdr:row>
          <xdr:rowOff>57150</xdr:rowOff>
        </xdr:from>
        <xdr:to>
          <xdr:col>10</xdr:col>
          <xdr:colOff>1135882</xdr:colOff>
          <xdr:row>0</xdr:row>
          <xdr:rowOff>285750</xdr:rowOff>
        </xdr:to>
        <xdr:pic>
          <xdr:nvPicPr>
            <xdr:cNvPr id="9" name="Picture 8">
              <a:hlinkClick xmlns:r="http://schemas.openxmlformats.org/officeDocument/2006/relationships" r:id="rId3" tooltip="Dashboard"/>
              <a:extLst>
                <a:ext uri="{FF2B5EF4-FFF2-40B4-BE49-F238E27FC236}">
                  <a16:creationId xmlns:a16="http://schemas.microsoft.com/office/drawing/2014/main" id="{00000000-0008-0000-0400-000009000000}"/>
                </a:ext>
              </a:extLst>
            </xdr:cNvPr>
            <xdr:cNvPicPr>
              <a:picLocks noChangeAspect="1" noChangeArrowheads="1"/>
              <a:extLst>
                <a:ext uri="{84589F7E-364E-4C9E-8A38-B11213B215E9}">
                  <a14:cameraTool cellRange="Settings!$M$3:$M$6" spid="_x0000_s237795"/>
                </a:ext>
              </a:extLst>
            </xdr:cNvPicPr>
          </xdr:nvPicPr>
          <xdr:blipFill>
            <a:blip xmlns:r="http://schemas.openxmlformats.org/officeDocument/2006/relationships" r:embed="rId4"/>
            <a:srcRect/>
            <a:stretch>
              <a:fillRect/>
            </a:stretch>
          </xdr:blipFill>
          <xdr:spPr bwMode="auto">
            <a:xfrm>
              <a:off x="11715750" y="57150"/>
              <a:ext cx="231007"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10</xdr:col>
      <xdr:colOff>958831</xdr:colOff>
      <xdr:row>6</xdr:row>
      <xdr:rowOff>180975</xdr:rowOff>
    </xdr:from>
    <xdr:to>
      <xdr:col>10</xdr:col>
      <xdr:colOff>1271924</xdr:colOff>
      <xdr:row>8</xdr:row>
      <xdr:rowOff>46393</xdr:rowOff>
    </xdr:to>
    <xdr:sp macro="[0]!TLogLAST" textlink="">
      <xdr:nvSpPr>
        <xdr:cNvPr id="2" name="Oval 1">
          <a:extLst>
            <a:ext uri="{FF2B5EF4-FFF2-40B4-BE49-F238E27FC236}">
              <a16:creationId xmlns:a16="http://schemas.microsoft.com/office/drawing/2014/main" id="{00000000-0008-0000-0400-000002000000}"/>
            </a:ext>
          </a:extLst>
        </xdr:cNvPr>
        <xdr:cNvSpPr/>
      </xdr:nvSpPr>
      <xdr:spPr>
        <a:xfrm>
          <a:off x="11769706" y="1190625"/>
          <a:ext cx="313093"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absolute">
    <xdr:from>
      <xdr:col>10</xdr:col>
      <xdr:colOff>952500</xdr:colOff>
      <xdr:row>4</xdr:row>
      <xdr:rowOff>152400</xdr:rowOff>
    </xdr:from>
    <xdr:to>
      <xdr:col>10</xdr:col>
      <xdr:colOff>1278255</xdr:colOff>
      <xdr:row>6</xdr:row>
      <xdr:rowOff>17818</xdr:rowOff>
    </xdr:to>
    <xdr:sp macro="[0]!TReviewUP" textlink="">
      <xdr:nvSpPr>
        <xdr:cNvPr id="3" name="Oval 2">
          <a:extLst>
            <a:ext uri="{FF2B5EF4-FFF2-40B4-BE49-F238E27FC236}">
              <a16:creationId xmlns:a16="http://schemas.microsoft.com/office/drawing/2014/main" id="{00000000-0008-0000-0400-000003000000}"/>
            </a:ext>
          </a:extLst>
        </xdr:cNvPr>
        <xdr:cNvSpPr/>
      </xdr:nvSpPr>
      <xdr:spPr>
        <a:xfrm flipV="1">
          <a:off x="11763375" y="704850"/>
          <a:ext cx="325755"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absolute">
    <xdr:from>
      <xdr:col>3</xdr:col>
      <xdr:colOff>523875</xdr:colOff>
      <xdr:row>8</xdr:row>
      <xdr:rowOff>190500</xdr:rowOff>
    </xdr:from>
    <xdr:to>
      <xdr:col>5</xdr:col>
      <xdr:colOff>1072861</xdr:colOff>
      <xdr:row>13</xdr:row>
      <xdr:rowOff>4328</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xdr:col>
      <xdr:colOff>180975</xdr:colOff>
      <xdr:row>0</xdr:row>
      <xdr:rowOff>85725</xdr:rowOff>
    </xdr:from>
    <xdr:to>
      <xdr:col>3</xdr:col>
      <xdr:colOff>382143</xdr:colOff>
      <xdr:row>0</xdr:row>
      <xdr:rowOff>286893</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66725" y="85725"/>
          <a:ext cx="201168" cy="201168"/>
        </a:xfrm>
        <a:prstGeom prst="rect">
          <a:avLst/>
        </a:prstGeom>
      </xdr:spPr>
    </xdr:pic>
    <xdr:clientData/>
  </xdr:twoCellAnchor>
  <xdr:twoCellAnchor editAs="absolute">
    <xdr:from>
      <xdr:col>3</xdr:col>
      <xdr:colOff>409575</xdr:colOff>
      <xdr:row>0</xdr:row>
      <xdr:rowOff>57150</xdr:rowOff>
    </xdr:from>
    <xdr:to>
      <xdr:col>4</xdr:col>
      <xdr:colOff>326091</xdr:colOff>
      <xdr:row>0</xdr:row>
      <xdr:rowOff>295275</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695325" y="57150"/>
          <a:ext cx="13262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Bank Transfers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76200</xdr:rowOff>
    </xdr:from>
    <xdr:to>
      <xdr:col>21</xdr:col>
      <xdr:colOff>428625</xdr:colOff>
      <xdr:row>12</xdr:row>
      <xdr:rowOff>0</xdr:rowOff>
    </xdr:to>
    <xdr:sp macro="" textlink="">
      <xdr:nvSpPr>
        <xdr:cNvPr id="5" name="Freeform: Shape 4">
          <a:extLst>
            <a:ext uri="{FF2B5EF4-FFF2-40B4-BE49-F238E27FC236}">
              <a16:creationId xmlns:a16="http://schemas.microsoft.com/office/drawing/2014/main" id="{00000000-0008-0000-0500-000005000000}"/>
            </a:ext>
          </a:extLst>
        </xdr:cNvPr>
        <xdr:cNvSpPr/>
      </xdr:nvSpPr>
      <xdr:spPr>
        <a:xfrm>
          <a:off x="0" y="76200"/>
          <a:ext cx="13068300" cy="2190750"/>
        </a:xfrm>
        <a:custGeom>
          <a:avLst/>
          <a:gdLst>
            <a:gd name="connsiteX0" fmla="*/ 4376326 w 12595859"/>
            <a:gd name="connsiteY0" fmla="*/ 290184 h 2135892"/>
            <a:gd name="connsiteX1" fmla="*/ 4246518 w 12595859"/>
            <a:gd name="connsiteY1" fmla="*/ 419993 h 2135892"/>
            <a:gd name="connsiteX2" fmla="*/ 4246518 w 12595859"/>
            <a:gd name="connsiteY2" fmla="*/ 1947265 h 2135892"/>
            <a:gd name="connsiteX3" fmla="*/ 4376326 w 12595859"/>
            <a:gd name="connsiteY3" fmla="*/ 2077074 h 2135892"/>
            <a:gd name="connsiteX4" fmla="*/ 5851890 w 12595859"/>
            <a:gd name="connsiteY4" fmla="*/ 2077074 h 2135892"/>
            <a:gd name="connsiteX5" fmla="*/ 5981699 w 12595859"/>
            <a:gd name="connsiteY5" fmla="*/ 1947265 h 2135892"/>
            <a:gd name="connsiteX6" fmla="*/ 5981699 w 12595859"/>
            <a:gd name="connsiteY6" fmla="*/ 419993 h 2135892"/>
            <a:gd name="connsiteX7" fmla="*/ 5851890 w 12595859"/>
            <a:gd name="connsiteY7" fmla="*/ 290184 h 2135892"/>
            <a:gd name="connsiteX8" fmla="*/ 1864938 w 12595859"/>
            <a:gd name="connsiteY8" fmla="*/ 290184 h 2135892"/>
            <a:gd name="connsiteX9" fmla="*/ 1735728 w 12595859"/>
            <a:gd name="connsiteY9" fmla="*/ 419394 h 2135892"/>
            <a:gd name="connsiteX10" fmla="*/ 1735728 w 12595859"/>
            <a:gd name="connsiteY10" fmla="*/ 1947864 h 2135892"/>
            <a:gd name="connsiteX11" fmla="*/ 1864938 w 12595859"/>
            <a:gd name="connsiteY11" fmla="*/ 2077074 h 2135892"/>
            <a:gd name="connsiteX12" fmla="*/ 4064330 w 12595859"/>
            <a:gd name="connsiteY12" fmla="*/ 2077074 h 2135892"/>
            <a:gd name="connsiteX13" fmla="*/ 4193539 w 12595859"/>
            <a:gd name="connsiteY13" fmla="*/ 1947864 h 2135892"/>
            <a:gd name="connsiteX14" fmla="*/ 4193539 w 12595859"/>
            <a:gd name="connsiteY14" fmla="*/ 419394 h 2135892"/>
            <a:gd name="connsiteX15" fmla="*/ 4064330 w 12595859"/>
            <a:gd name="connsiteY15" fmla="*/ 290184 h 2135892"/>
            <a:gd name="connsiteX16" fmla="*/ 408939 w 12595859"/>
            <a:gd name="connsiteY16" fmla="*/ 290184 h 2135892"/>
            <a:gd name="connsiteX17" fmla="*/ 288290 w 12595859"/>
            <a:gd name="connsiteY17" fmla="*/ 410833 h 2135892"/>
            <a:gd name="connsiteX18" fmla="*/ 288290 w 12595859"/>
            <a:gd name="connsiteY18" fmla="*/ 1956425 h 2135892"/>
            <a:gd name="connsiteX19" fmla="*/ 408939 w 12595859"/>
            <a:gd name="connsiteY19" fmla="*/ 2077074 h 2135892"/>
            <a:gd name="connsiteX20" fmla="*/ 1562101 w 12595859"/>
            <a:gd name="connsiteY20" fmla="*/ 2077074 h 2135892"/>
            <a:gd name="connsiteX21" fmla="*/ 1682750 w 12595859"/>
            <a:gd name="connsiteY21" fmla="*/ 1956425 h 2135892"/>
            <a:gd name="connsiteX22" fmla="*/ 1682750 w 12595859"/>
            <a:gd name="connsiteY22" fmla="*/ 410833 h 2135892"/>
            <a:gd name="connsiteX23" fmla="*/ 1562101 w 12595859"/>
            <a:gd name="connsiteY23" fmla="*/ 290184 h 2135892"/>
            <a:gd name="connsiteX24" fmla="*/ 6174055 w 12595859"/>
            <a:gd name="connsiteY24" fmla="*/ 290184 h 2135892"/>
            <a:gd name="connsiteX25" fmla="*/ 6034677 w 12595859"/>
            <a:gd name="connsiteY25" fmla="*/ 429561 h 2135892"/>
            <a:gd name="connsiteX26" fmla="*/ 6034677 w 12595859"/>
            <a:gd name="connsiteY26" fmla="*/ 1937697 h 2135892"/>
            <a:gd name="connsiteX27" fmla="*/ 6174055 w 12595859"/>
            <a:gd name="connsiteY27" fmla="*/ 2077074 h 2135892"/>
            <a:gd name="connsiteX28" fmla="*/ 8986842 w 12595859"/>
            <a:gd name="connsiteY28" fmla="*/ 2077074 h 2135892"/>
            <a:gd name="connsiteX29" fmla="*/ 9126219 w 12595859"/>
            <a:gd name="connsiteY29" fmla="*/ 1937697 h 2135892"/>
            <a:gd name="connsiteX30" fmla="*/ 9126219 w 12595859"/>
            <a:gd name="connsiteY30" fmla="*/ 429561 h 2135892"/>
            <a:gd name="connsiteX31" fmla="*/ 8986842 w 12595859"/>
            <a:gd name="connsiteY31" fmla="*/ 290184 h 2135892"/>
            <a:gd name="connsiteX32" fmla="*/ 9318574 w 12595859"/>
            <a:gd name="connsiteY32" fmla="*/ 290184 h 2135892"/>
            <a:gd name="connsiteX33" fmla="*/ 9179197 w 12595859"/>
            <a:gd name="connsiteY33" fmla="*/ 429561 h 2135892"/>
            <a:gd name="connsiteX34" fmla="*/ 9179197 w 12595859"/>
            <a:gd name="connsiteY34" fmla="*/ 1937697 h 2135892"/>
            <a:gd name="connsiteX35" fmla="*/ 9318574 w 12595859"/>
            <a:gd name="connsiteY35" fmla="*/ 2077074 h 2135892"/>
            <a:gd name="connsiteX36" fmla="*/ 12052622 w 12595859"/>
            <a:gd name="connsiteY36" fmla="*/ 2077074 h 2135892"/>
            <a:gd name="connsiteX37" fmla="*/ 12191999 w 12595859"/>
            <a:gd name="connsiteY37" fmla="*/ 1937697 h 2135892"/>
            <a:gd name="connsiteX38" fmla="*/ 12191999 w 12595859"/>
            <a:gd name="connsiteY38" fmla="*/ 429561 h 2135892"/>
            <a:gd name="connsiteX39" fmla="*/ 12052622 w 12595859"/>
            <a:gd name="connsiteY39" fmla="*/ 290184 h 2135892"/>
            <a:gd name="connsiteX40" fmla="*/ 0 w 12595859"/>
            <a:gd name="connsiteY40" fmla="*/ 0 h 2135892"/>
            <a:gd name="connsiteX41" fmla="*/ 12595859 w 12595859"/>
            <a:gd name="connsiteY41" fmla="*/ 0 h 2135892"/>
            <a:gd name="connsiteX42" fmla="*/ 12595859 w 12595859"/>
            <a:gd name="connsiteY42" fmla="*/ 2135892 h 2135892"/>
            <a:gd name="connsiteX43" fmla="*/ 0 w 12595859"/>
            <a:gd name="connsiteY43" fmla="*/ 2135892 h 21358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Lst>
          <a:rect l="l" t="t" r="r" b="b"/>
          <a:pathLst>
            <a:path w="12595859" h="2135892">
              <a:moveTo>
                <a:pt x="4376326" y="290184"/>
              </a:moveTo>
              <a:cubicBezTo>
                <a:pt x="4304634" y="290184"/>
                <a:pt x="4246518" y="348301"/>
                <a:pt x="4246518" y="419993"/>
              </a:cubicBezTo>
              <a:lnTo>
                <a:pt x="4246518" y="1947265"/>
              </a:lnTo>
              <a:cubicBezTo>
                <a:pt x="4246518" y="2018957"/>
                <a:pt x="4304634" y="2077074"/>
                <a:pt x="4376326" y="2077074"/>
              </a:cubicBezTo>
              <a:lnTo>
                <a:pt x="5851890" y="2077074"/>
              </a:lnTo>
              <a:cubicBezTo>
                <a:pt x="5923583" y="2077074"/>
                <a:pt x="5981699" y="2018957"/>
                <a:pt x="5981699" y="1947265"/>
              </a:cubicBezTo>
              <a:lnTo>
                <a:pt x="5981699" y="419993"/>
              </a:lnTo>
              <a:cubicBezTo>
                <a:pt x="5981699" y="348301"/>
                <a:pt x="5923583" y="290184"/>
                <a:pt x="5851890" y="290184"/>
              </a:cubicBezTo>
              <a:close/>
              <a:moveTo>
                <a:pt x="1864938" y="290184"/>
              </a:moveTo>
              <a:cubicBezTo>
                <a:pt x="1793577" y="290184"/>
                <a:pt x="1735728" y="348033"/>
                <a:pt x="1735728" y="419394"/>
              </a:cubicBezTo>
              <a:lnTo>
                <a:pt x="1735728" y="1947864"/>
              </a:lnTo>
              <a:cubicBezTo>
                <a:pt x="1735728" y="2019225"/>
                <a:pt x="1793577" y="2077074"/>
                <a:pt x="1864938" y="2077074"/>
              </a:cubicBezTo>
              <a:lnTo>
                <a:pt x="4064330" y="2077074"/>
              </a:lnTo>
              <a:cubicBezTo>
                <a:pt x="4135692" y="2077074"/>
                <a:pt x="4193539" y="2019225"/>
                <a:pt x="4193539" y="1947864"/>
              </a:cubicBezTo>
              <a:lnTo>
                <a:pt x="4193539" y="419394"/>
              </a:lnTo>
              <a:cubicBezTo>
                <a:pt x="4193539" y="348033"/>
                <a:pt x="4135692" y="290184"/>
                <a:pt x="4064330" y="290184"/>
              </a:cubicBezTo>
              <a:close/>
              <a:moveTo>
                <a:pt x="408939" y="290184"/>
              </a:moveTo>
              <a:cubicBezTo>
                <a:pt x="342306" y="290184"/>
                <a:pt x="288290" y="344200"/>
                <a:pt x="288290" y="410833"/>
              </a:cubicBezTo>
              <a:lnTo>
                <a:pt x="288290" y="1956425"/>
              </a:lnTo>
              <a:cubicBezTo>
                <a:pt x="288290" y="2023058"/>
                <a:pt x="342306" y="2077074"/>
                <a:pt x="408939" y="2077074"/>
              </a:cubicBezTo>
              <a:lnTo>
                <a:pt x="1562101" y="2077074"/>
              </a:lnTo>
              <a:cubicBezTo>
                <a:pt x="1628734" y="2077074"/>
                <a:pt x="1682750" y="2023058"/>
                <a:pt x="1682750" y="1956425"/>
              </a:cubicBezTo>
              <a:lnTo>
                <a:pt x="1682750" y="410833"/>
              </a:lnTo>
              <a:cubicBezTo>
                <a:pt x="1682750" y="344200"/>
                <a:pt x="1628734" y="290184"/>
                <a:pt x="1562101" y="290184"/>
              </a:cubicBezTo>
              <a:close/>
              <a:moveTo>
                <a:pt x="6174055" y="290184"/>
              </a:moveTo>
              <a:cubicBezTo>
                <a:pt x="6097078" y="290184"/>
                <a:pt x="6034677" y="352585"/>
                <a:pt x="6034677" y="429561"/>
              </a:cubicBezTo>
              <a:lnTo>
                <a:pt x="6034677" y="1937697"/>
              </a:lnTo>
              <a:cubicBezTo>
                <a:pt x="6034677" y="2014673"/>
                <a:pt x="6097078" y="2077074"/>
                <a:pt x="6174055" y="2077074"/>
              </a:cubicBezTo>
              <a:lnTo>
                <a:pt x="8986842" y="2077074"/>
              </a:lnTo>
              <a:cubicBezTo>
                <a:pt x="9063818" y="2077074"/>
                <a:pt x="9126219" y="2014673"/>
                <a:pt x="9126219" y="1937697"/>
              </a:cubicBezTo>
              <a:lnTo>
                <a:pt x="9126219" y="429561"/>
              </a:lnTo>
              <a:cubicBezTo>
                <a:pt x="9126219" y="352585"/>
                <a:pt x="9063818" y="290184"/>
                <a:pt x="8986842" y="290184"/>
              </a:cubicBezTo>
              <a:close/>
              <a:moveTo>
                <a:pt x="9318574" y="290184"/>
              </a:moveTo>
              <a:cubicBezTo>
                <a:pt x="9241598" y="290184"/>
                <a:pt x="9179197" y="352585"/>
                <a:pt x="9179197" y="429561"/>
              </a:cubicBezTo>
              <a:lnTo>
                <a:pt x="9179197" y="1937697"/>
              </a:lnTo>
              <a:cubicBezTo>
                <a:pt x="9179197" y="2014673"/>
                <a:pt x="9241598" y="2077074"/>
                <a:pt x="9318574" y="2077074"/>
              </a:cubicBezTo>
              <a:lnTo>
                <a:pt x="12052622" y="2077074"/>
              </a:lnTo>
              <a:cubicBezTo>
                <a:pt x="12129598" y="2077074"/>
                <a:pt x="12191999" y="2014673"/>
                <a:pt x="12191999" y="1937697"/>
              </a:cubicBezTo>
              <a:lnTo>
                <a:pt x="12191999" y="429561"/>
              </a:lnTo>
              <a:cubicBezTo>
                <a:pt x="12191999" y="352585"/>
                <a:pt x="12129598" y="290184"/>
                <a:pt x="12052622" y="290184"/>
              </a:cubicBezTo>
              <a:close/>
              <a:moveTo>
                <a:pt x="0" y="0"/>
              </a:moveTo>
              <a:lnTo>
                <a:pt x="12595859" y="0"/>
              </a:lnTo>
              <a:lnTo>
                <a:pt x="12595859" y="2135892"/>
              </a:lnTo>
              <a:lnTo>
                <a:pt x="0" y="2135892"/>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20</xdr:col>
      <xdr:colOff>313388</xdr:colOff>
      <xdr:row>0</xdr:row>
      <xdr:rowOff>83051</xdr:rowOff>
    </xdr:from>
    <xdr:to>
      <xdr:col>20</xdr:col>
      <xdr:colOff>453608</xdr:colOff>
      <xdr:row>0</xdr:row>
      <xdr:rowOff>229368</xdr:rowOff>
    </xdr:to>
    <xdr:pic macro="[0]!Maximize">
      <xdr:nvPicPr>
        <xdr:cNvPr id="24" name="Picture 23">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1"/>
        <a:stretch>
          <a:fillRect/>
        </a:stretch>
      </xdr:blipFill>
      <xdr:spPr>
        <a:xfrm>
          <a:off x="12486338" y="83051"/>
          <a:ext cx="140220" cy="146317"/>
        </a:xfrm>
        <a:prstGeom prst="rect">
          <a:avLst/>
        </a:prstGeom>
      </xdr:spPr>
    </xdr:pic>
    <xdr:clientData/>
  </xdr:twoCellAnchor>
  <xdr:twoCellAnchor editAs="absolute">
    <xdr:from>
      <xdr:col>19</xdr:col>
      <xdr:colOff>781785</xdr:colOff>
      <xdr:row>0</xdr:row>
      <xdr:rowOff>89534</xdr:rowOff>
    </xdr:from>
    <xdr:to>
      <xdr:col>20</xdr:col>
      <xdr:colOff>115035</xdr:colOff>
      <xdr:row>0</xdr:row>
      <xdr:rowOff>222885</xdr:rowOff>
    </xdr:to>
    <xdr:pic macro="[0]!Minimize">
      <xdr:nvPicPr>
        <xdr:cNvPr id="25" name="Picture 24">
          <a:extLst>
            <a:ext uri="{FF2B5EF4-FFF2-40B4-BE49-F238E27FC236}">
              <a16:creationId xmlns:a16="http://schemas.microsoft.com/office/drawing/2014/main" id="{00000000-0008-0000-0500-000019000000}"/>
            </a:ext>
          </a:extLst>
        </xdr:cNvPr>
        <xdr:cNvPicPr>
          <a:picLocks/>
        </xdr:cNvPicPr>
      </xdr:nvPicPr>
      <xdr:blipFill>
        <a:blip xmlns:r="http://schemas.openxmlformats.org/officeDocument/2006/relationships" r:embed="rId2"/>
        <a:stretch>
          <a:fillRect/>
        </a:stretch>
      </xdr:blipFill>
      <xdr:spPr>
        <a:xfrm>
          <a:off x="12145110" y="89534"/>
          <a:ext cx="142875" cy="13335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19</xdr:col>
          <xdr:colOff>352425</xdr:colOff>
          <xdr:row>0</xdr:row>
          <xdr:rowOff>57150</xdr:rowOff>
        </xdr:from>
        <xdr:to>
          <xdr:col>19</xdr:col>
          <xdr:colOff>583432</xdr:colOff>
          <xdr:row>0</xdr:row>
          <xdr:rowOff>285750</xdr:rowOff>
        </xdr:to>
        <xdr:pic>
          <xdr:nvPicPr>
            <xdr:cNvPr id="26" name="Picture 25">
              <a:hlinkClick xmlns:r="http://schemas.openxmlformats.org/officeDocument/2006/relationships" r:id="rId3" tooltip="Dashboard"/>
              <a:extLst>
                <a:ext uri="{FF2B5EF4-FFF2-40B4-BE49-F238E27FC236}">
                  <a16:creationId xmlns:a16="http://schemas.microsoft.com/office/drawing/2014/main" id="{00000000-0008-0000-0500-00001A000000}"/>
                </a:ext>
              </a:extLst>
            </xdr:cNvPr>
            <xdr:cNvPicPr>
              <a:picLocks noChangeAspect="1" noChangeArrowheads="1"/>
              <a:extLst>
                <a:ext uri="{84589F7E-364E-4C9E-8A38-B11213B215E9}">
                  <a14:cameraTool cellRange="Settings!$M$3:$M$6" spid="_x0000_s235871"/>
                </a:ext>
              </a:extLst>
            </xdr:cNvPicPr>
          </xdr:nvPicPr>
          <xdr:blipFill>
            <a:blip xmlns:r="http://schemas.openxmlformats.org/officeDocument/2006/relationships" r:embed="rId4"/>
            <a:srcRect/>
            <a:stretch>
              <a:fillRect/>
            </a:stretch>
          </xdr:blipFill>
          <xdr:spPr bwMode="auto">
            <a:xfrm>
              <a:off x="11715750" y="57150"/>
              <a:ext cx="231007"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10</xdr:col>
      <xdr:colOff>823912</xdr:colOff>
      <xdr:row>14</xdr:row>
      <xdr:rowOff>66674</xdr:rowOff>
    </xdr:from>
    <xdr:to>
      <xdr:col>10</xdr:col>
      <xdr:colOff>961072</xdr:colOff>
      <xdr:row>14</xdr:row>
      <xdr:rowOff>203834</xdr:rowOff>
    </xdr:to>
    <xdr:sp macro="[0]!Sortbyloss" textlink="">
      <xdr:nvSpPr>
        <xdr:cNvPr id="4" name="sortG">
          <a:extLst>
            <a:ext uri="{FF2B5EF4-FFF2-40B4-BE49-F238E27FC236}">
              <a16:creationId xmlns:a16="http://schemas.microsoft.com/office/drawing/2014/main" id="{00000000-0008-0000-0500-000004000000}"/>
            </a:ext>
          </a:extLst>
        </xdr:cNvPr>
        <xdr:cNvSpPr/>
      </xdr:nvSpPr>
      <xdr:spPr>
        <a:xfrm>
          <a:off x="6024562" y="2333624"/>
          <a:ext cx="137160" cy="137160"/>
        </a:xfrm>
        <a:prstGeom prst="triangle">
          <a:avLst/>
        </a:prstGeom>
        <a:solidFill>
          <a:srgbClr val="02C07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11</xdr:col>
      <xdr:colOff>423862</xdr:colOff>
      <xdr:row>14</xdr:row>
      <xdr:rowOff>66674</xdr:rowOff>
    </xdr:from>
    <xdr:to>
      <xdr:col>11</xdr:col>
      <xdr:colOff>561022</xdr:colOff>
      <xdr:row>14</xdr:row>
      <xdr:rowOff>203834</xdr:rowOff>
    </xdr:to>
    <xdr:sp macro="[0]!LtoPpercent" textlink="">
      <xdr:nvSpPr>
        <xdr:cNvPr id="27" name="PerPL" hidden="1">
          <a:extLst>
            <a:ext uri="{FF2B5EF4-FFF2-40B4-BE49-F238E27FC236}">
              <a16:creationId xmlns:a16="http://schemas.microsoft.com/office/drawing/2014/main" id="{00000000-0008-0000-0500-00001B000000}"/>
            </a:ext>
          </a:extLst>
        </xdr:cNvPr>
        <xdr:cNvSpPr/>
      </xdr:nvSpPr>
      <xdr:spPr>
        <a:xfrm>
          <a:off x="6672262" y="2333624"/>
          <a:ext cx="137160" cy="137160"/>
        </a:xfrm>
        <a:prstGeom prst="triangle">
          <a:avLst/>
        </a:prstGeom>
        <a:solidFill>
          <a:srgbClr val="02C07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10</xdr:col>
      <xdr:colOff>823912</xdr:colOff>
      <xdr:row>14</xdr:row>
      <xdr:rowOff>66674</xdr:rowOff>
    </xdr:from>
    <xdr:to>
      <xdr:col>10</xdr:col>
      <xdr:colOff>961072</xdr:colOff>
      <xdr:row>14</xdr:row>
      <xdr:rowOff>203834</xdr:rowOff>
    </xdr:to>
    <xdr:sp macro="[0]!SortGain" textlink="">
      <xdr:nvSpPr>
        <xdr:cNvPr id="28" name="sortL" hidden="1">
          <a:extLst>
            <a:ext uri="{FF2B5EF4-FFF2-40B4-BE49-F238E27FC236}">
              <a16:creationId xmlns:a16="http://schemas.microsoft.com/office/drawing/2014/main" id="{00000000-0008-0000-0500-00001C000000}"/>
            </a:ext>
          </a:extLst>
        </xdr:cNvPr>
        <xdr:cNvSpPr/>
      </xdr:nvSpPr>
      <xdr:spPr>
        <a:xfrm flipV="1">
          <a:off x="6024562" y="2333624"/>
          <a:ext cx="137160" cy="137160"/>
        </a:xfrm>
        <a:prstGeom prst="triangle">
          <a:avLst/>
        </a:prstGeom>
        <a:solidFill>
          <a:srgbClr val="F849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423862</xdr:colOff>
      <xdr:row>14</xdr:row>
      <xdr:rowOff>66674</xdr:rowOff>
    </xdr:from>
    <xdr:to>
      <xdr:col>11</xdr:col>
      <xdr:colOff>561022</xdr:colOff>
      <xdr:row>14</xdr:row>
      <xdr:rowOff>203834</xdr:rowOff>
    </xdr:to>
    <xdr:sp macro="[0]!PtoLPercent" textlink="">
      <xdr:nvSpPr>
        <xdr:cNvPr id="29" name="PerLP">
          <a:extLst>
            <a:ext uri="{FF2B5EF4-FFF2-40B4-BE49-F238E27FC236}">
              <a16:creationId xmlns:a16="http://schemas.microsoft.com/office/drawing/2014/main" id="{00000000-0008-0000-0500-00001D000000}"/>
            </a:ext>
          </a:extLst>
        </xdr:cNvPr>
        <xdr:cNvSpPr/>
      </xdr:nvSpPr>
      <xdr:spPr>
        <a:xfrm flipV="1">
          <a:off x="6672262" y="2333624"/>
          <a:ext cx="137160" cy="137160"/>
        </a:xfrm>
        <a:prstGeom prst="triangle">
          <a:avLst/>
        </a:prstGeom>
        <a:solidFill>
          <a:srgbClr val="F849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9</xdr:col>
      <xdr:colOff>76199</xdr:colOff>
      <xdr:row>2</xdr:row>
      <xdr:rowOff>38101</xdr:rowOff>
    </xdr:from>
    <xdr:to>
      <xdr:col>10</xdr:col>
      <xdr:colOff>990599</xdr:colOff>
      <xdr:row>10</xdr:row>
      <xdr:rowOff>190500</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6</xdr:col>
      <xdr:colOff>788948</xdr:colOff>
      <xdr:row>8</xdr:row>
      <xdr:rowOff>137160</xdr:rowOff>
    </xdr:from>
    <xdr:to>
      <xdr:col>7</xdr:col>
      <xdr:colOff>280313</xdr:colOff>
      <xdr:row>10</xdr:row>
      <xdr:rowOff>57150</xdr:rowOff>
    </xdr:to>
    <xdr:sp macro="[0]!lossFilter" textlink="">
      <xdr:nvSpPr>
        <xdr:cNvPr id="3" name="losstradesoff">
          <a:extLst>
            <a:ext uri="{FF2B5EF4-FFF2-40B4-BE49-F238E27FC236}">
              <a16:creationId xmlns:a16="http://schemas.microsoft.com/office/drawing/2014/main" id="{00000000-0008-0000-0500-000003000000}"/>
            </a:ext>
          </a:extLst>
        </xdr:cNvPr>
        <xdr:cNvSpPr/>
      </xdr:nvSpPr>
      <xdr:spPr>
        <a:xfrm>
          <a:off x="2674898" y="1746885"/>
          <a:ext cx="320040" cy="320040"/>
        </a:xfrm>
        <a:prstGeom prst="roundRect">
          <a:avLst>
            <a:gd name="adj" fmla="val 50000"/>
          </a:avLst>
        </a:prstGeom>
        <a:solidFill>
          <a:schemeClr val="accent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chemeClr val="bg1"/>
              </a:solidFill>
              <a:latin typeface="Bahnschrift SemiBold SemiConden" panose="020B0502040204020203" pitchFamily="34" charset="0"/>
              <a:cs typeface="Arial" panose="020B0604020202020204" pitchFamily="34" charset="0"/>
            </a:rPr>
            <a:t>L</a:t>
          </a:r>
          <a:endParaRPr lang="en-US" sz="900" b="1">
            <a:solidFill>
              <a:schemeClr val="bg1"/>
            </a:solidFill>
            <a:latin typeface="Bahnschrift SemiBold SemiConden" panose="020B0502040204020203" pitchFamily="34" charset="0"/>
            <a:cs typeface="Arial" panose="020B0604020202020204" pitchFamily="34" charset="0"/>
          </a:endParaRPr>
        </a:p>
      </xdr:txBody>
    </xdr:sp>
    <xdr:clientData/>
  </xdr:twoCellAnchor>
  <xdr:twoCellAnchor editAs="absolute">
    <xdr:from>
      <xdr:col>6</xdr:col>
      <xdr:colOff>376522</xdr:colOff>
      <xdr:row>8</xdr:row>
      <xdr:rowOff>137160</xdr:rowOff>
    </xdr:from>
    <xdr:to>
      <xdr:col>6</xdr:col>
      <xdr:colOff>696562</xdr:colOff>
      <xdr:row>10</xdr:row>
      <xdr:rowOff>57150</xdr:rowOff>
    </xdr:to>
    <xdr:sp macro="[0]!gainFilter" textlink="">
      <xdr:nvSpPr>
        <xdr:cNvPr id="7" name="wintradesoff">
          <a:extLst>
            <a:ext uri="{FF2B5EF4-FFF2-40B4-BE49-F238E27FC236}">
              <a16:creationId xmlns:a16="http://schemas.microsoft.com/office/drawing/2014/main" id="{00000000-0008-0000-0500-000007000000}"/>
            </a:ext>
          </a:extLst>
        </xdr:cNvPr>
        <xdr:cNvSpPr/>
      </xdr:nvSpPr>
      <xdr:spPr>
        <a:xfrm>
          <a:off x="2262472" y="1746885"/>
          <a:ext cx="320040" cy="320040"/>
        </a:xfrm>
        <a:prstGeom prst="roundRect">
          <a:avLst>
            <a:gd name="adj" fmla="val 50000"/>
          </a:avLst>
        </a:prstGeom>
        <a:solidFill>
          <a:schemeClr val="accent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accent6"/>
              </a:solidFill>
              <a:latin typeface="Bahnschrift SemiBold SemiConden" panose="020B0502040204020203" pitchFamily="34" charset="0"/>
              <a:cs typeface="Arial" panose="020B0604020202020204" pitchFamily="34" charset="0"/>
            </a:rPr>
            <a:t>W</a:t>
          </a:r>
          <a:endParaRPr lang="en-US" sz="900">
            <a:solidFill>
              <a:schemeClr val="accent6"/>
            </a:solidFill>
            <a:latin typeface="Bahnschrift SemiBold SemiConden" panose="020B0502040204020203" pitchFamily="34" charset="0"/>
            <a:cs typeface="Arial" panose="020B0604020202020204" pitchFamily="34" charset="0"/>
          </a:endParaRPr>
        </a:p>
      </xdr:txBody>
    </xdr:sp>
    <xdr:clientData/>
  </xdr:twoCellAnchor>
  <xdr:twoCellAnchor editAs="absolute">
    <xdr:from>
      <xdr:col>6</xdr:col>
      <xdr:colOff>6785</xdr:colOff>
      <xdr:row>8</xdr:row>
      <xdr:rowOff>160020</xdr:rowOff>
    </xdr:from>
    <xdr:to>
      <xdr:col>6</xdr:col>
      <xdr:colOff>284136</xdr:colOff>
      <xdr:row>10</xdr:row>
      <xdr:rowOff>34290</xdr:rowOff>
    </xdr:to>
    <xdr:pic macro="[0]!RestartFilter">
      <xdr:nvPicPr>
        <xdr:cNvPr id="12" name="Picture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brightnessContrast contrast="100000"/>
                  </a14:imgEffect>
                </a14:imgLayer>
              </a14:imgProps>
            </a:ext>
          </a:extLst>
        </a:blip>
        <a:stretch>
          <a:fillRect/>
        </a:stretch>
      </xdr:blipFill>
      <xdr:spPr>
        <a:xfrm>
          <a:off x="1892735" y="1769745"/>
          <a:ext cx="277351" cy="274320"/>
        </a:xfrm>
        <a:prstGeom prst="rect">
          <a:avLst/>
        </a:prstGeom>
      </xdr:spPr>
    </xdr:pic>
    <xdr:clientData/>
  </xdr:twoCellAnchor>
  <xdr:twoCellAnchor editAs="absolute">
    <xdr:from>
      <xdr:col>3</xdr:col>
      <xdr:colOff>377302</xdr:colOff>
      <xdr:row>9</xdr:row>
      <xdr:rowOff>0</xdr:rowOff>
    </xdr:from>
    <xdr:to>
      <xdr:col>4</xdr:col>
      <xdr:colOff>461682</xdr:colOff>
      <xdr:row>10</xdr:row>
      <xdr:rowOff>26670</xdr:rowOff>
    </xdr:to>
    <xdr:grpSp>
      <xdr:nvGrpSpPr>
        <xdr:cNvPr id="21" name="Group 20">
          <a:extLst>
            <a:ext uri="{FF2B5EF4-FFF2-40B4-BE49-F238E27FC236}">
              <a16:creationId xmlns:a16="http://schemas.microsoft.com/office/drawing/2014/main" id="{00000000-0008-0000-0500-000015000000}"/>
            </a:ext>
          </a:extLst>
        </xdr:cNvPr>
        <xdr:cNvGrpSpPr/>
      </xdr:nvGrpSpPr>
      <xdr:grpSpPr>
        <a:xfrm>
          <a:off x="663052" y="1809750"/>
          <a:ext cx="732080" cy="226695"/>
          <a:chOff x="627137" y="1733550"/>
          <a:chExt cx="732080" cy="226695"/>
        </a:xfrm>
      </xdr:grpSpPr>
      <xdr:pic macro="[0]!DATEFILTER">
        <xdr:nvPicPr>
          <xdr:cNvPr id="14" name="Picture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8">
            <a:lum bright="70000" contrast="-70000"/>
            <a:extLst>
              <a:ext uri="{28A0092B-C50C-407E-A947-70E740481C1C}">
                <a14:useLocalDpi xmlns:a14="http://schemas.microsoft.com/office/drawing/2010/main" val="0"/>
              </a:ext>
            </a:extLst>
          </a:blip>
          <a:stretch>
            <a:fillRect/>
          </a:stretch>
        </xdr:blipFill>
        <xdr:spPr>
          <a:xfrm>
            <a:off x="1086631" y="1751711"/>
            <a:ext cx="193449" cy="190371"/>
          </a:xfrm>
          <a:prstGeom prst="rect">
            <a:avLst/>
          </a:prstGeom>
          <a:noFill/>
        </xdr:spPr>
      </xdr:pic>
      <xdr:sp macro="[0]!DATEFILTER" textlink="">
        <xdr:nvSpPr>
          <xdr:cNvPr id="15" name="SHOWENTRY">
            <a:extLst>
              <a:ext uri="{FF2B5EF4-FFF2-40B4-BE49-F238E27FC236}">
                <a16:creationId xmlns:a16="http://schemas.microsoft.com/office/drawing/2014/main" id="{00000000-0008-0000-0500-00000F000000}"/>
              </a:ext>
            </a:extLst>
          </xdr:cNvPr>
          <xdr:cNvSpPr/>
        </xdr:nvSpPr>
        <xdr:spPr>
          <a:xfrm>
            <a:off x="627137" y="1733550"/>
            <a:ext cx="732080" cy="226695"/>
          </a:xfrm>
          <a:prstGeom prst="roundRect">
            <a:avLst>
              <a:gd name="adj" fmla="val 50000"/>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8</xdr:col>
      <xdr:colOff>420311</xdr:colOff>
      <xdr:row>8</xdr:row>
      <xdr:rowOff>135871</xdr:rowOff>
    </xdr:from>
    <xdr:to>
      <xdr:col>8</xdr:col>
      <xdr:colOff>733404</xdr:colOff>
      <xdr:row>10</xdr:row>
      <xdr:rowOff>58439</xdr:rowOff>
    </xdr:to>
    <xdr:sp macro="[0]!TLogLAST" textlink="">
      <xdr:nvSpPr>
        <xdr:cNvPr id="16" name="Oval 15">
          <a:extLst>
            <a:ext uri="{FF2B5EF4-FFF2-40B4-BE49-F238E27FC236}">
              <a16:creationId xmlns:a16="http://schemas.microsoft.com/office/drawing/2014/main" id="{00000000-0008-0000-0500-000010000000}"/>
            </a:ext>
          </a:extLst>
        </xdr:cNvPr>
        <xdr:cNvSpPr/>
      </xdr:nvSpPr>
      <xdr:spPr>
        <a:xfrm>
          <a:off x="3963611" y="1745596"/>
          <a:ext cx="313093"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absolute">
    <xdr:from>
      <xdr:col>8</xdr:col>
      <xdr:colOff>2170</xdr:colOff>
      <xdr:row>8</xdr:row>
      <xdr:rowOff>135871</xdr:rowOff>
    </xdr:from>
    <xdr:to>
      <xdr:col>8</xdr:col>
      <xdr:colOff>327925</xdr:colOff>
      <xdr:row>10</xdr:row>
      <xdr:rowOff>58439</xdr:rowOff>
    </xdr:to>
    <xdr:sp macro="[0]!TReviewUP" textlink="">
      <xdr:nvSpPr>
        <xdr:cNvPr id="17" name="Oval 16">
          <a:extLst>
            <a:ext uri="{FF2B5EF4-FFF2-40B4-BE49-F238E27FC236}">
              <a16:creationId xmlns:a16="http://schemas.microsoft.com/office/drawing/2014/main" id="{00000000-0008-0000-0500-000011000000}"/>
            </a:ext>
          </a:extLst>
        </xdr:cNvPr>
        <xdr:cNvSpPr/>
      </xdr:nvSpPr>
      <xdr:spPr>
        <a:xfrm flipV="1">
          <a:off x="3545470" y="1745596"/>
          <a:ext cx="325755"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absolute">
    <xdr:from>
      <xdr:col>3</xdr:col>
      <xdr:colOff>331862</xdr:colOff>
      <xdr:row>3</xdr:row>
      <xdr:rowOff>57150</xdr:rowOff>
    </xdr:from>
    <xdr:to>
      <xdr:col>4</xdr:col>
      <xdr:colOff>507122</xdr:colOff>
      <xdr:row>4</xdr:row>
      <xdr:rowOff>112395</xdr:rowOff>
    </xdr:to>
    <xdr:sp macro="[0]!thisMonth" textlink="">
      <xdr:nvSpPr>
        <xdr:cNvPr id="20" name="SHOWENTRY">
          <a:extLst>
            <a:ext uri="{FF2B5EF4-FFF2-40B4-BE49-F238E27FC236}">
              <a16:creationId xmlns:a16="http://schemas.microsoft.com/office/drawing/2014/main" id="{00000000-0008-0000-0500-000014000000}"/>
            </a:ext>
          </a:extLst>
        </xdr:cNvPr>
        <xdr:cNvSpPr/>
      </xdr:nvSpPr>
      <xdr:spPr>
        <a:xfrm>
          <a:off x="617612" y="695325"/>
          <a:ext cx="822960" cy="226695"/>
        </a:xfrm>
        <a:prstGeom prst="roundRect">
          <a:avLst>
            <a:gd name="adj" fmla="val 50000"/>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This Month</a:t>
          </a:r>
        </a:p>
      </xdr:txBody>
    </xdr:sp>
    <xdr:clientData/>
  </xdr:twoCellAnchor>
  <xdr:twoCellAnchor editAs="absolute">
    <xdr:from>
      <xdr:col>3</xdr:col>
      <xdr:colOff>190500</xdr:colOff>
      <xdr:row>0</xdr:row>
      <xdr:rowOff>95250</xdr:rowOff>
    </xdr:from>
    <xdr:to>
      <xdr:col>3</xdr:col>
      <xdr:colOff>419100</xdr:colOff>
      <xdr:row>1</xdr:row>
      <xdr:rowOff>9525</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9">
          <a:lum bright="70000" contrast="-70000"/>
          <a:extLst>
            <a:ext uri="{28A0092B-C50C-407E-A947-70E740481C1C}">
              <a14:useLocalDpi xmlns:a14="http://schemas.microsoft.com/office/drawing/2010/main" val="0"/>
            </a:ext>
          </a:extLst>
        </a:blip>
        <a:stretch>
          <a:fillRect/>
        </a:stretch>
      </xdr:blipFill>
      <xdr:spPr>
        <a:xfrm>
          <a:off x="476250" y="95250"/>
          <a:ext cx="228600" cy="228600"/>
        </a:xfrm>
        <a:prstGeom prst="rect">
          <a:avLst/>
        </a:prstGeom>
      </xdr:spPr>
    </xdr:pic>
    <xdr:clientData/>
  </xdr:twoCellAnchor>
  <xdr:twoCellAnchor>
    <xdr:from>
      <xdr:col>3</xdr:col>
      <xdr:colOff>419100</xdr:colOff>
      <xdr:row>0</xdr:row>
      <xdr:rowOff>66675</xdr:rowOff>
    </xdr:from>
    <xdr:to>
      <xdr:col>5</xdr:col>
      <xdr:colOff>238125</xdr:colOff>
      <xdr:row>0</xdr:row>
      <xdr:rowOff>295275</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704850" y="66675"/>
          <a:ext cx="1009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rPr>
            <a:t>Trade Review</a:t>
          </a:r>
        </a:p>
      </xdr:txBody>
    </xdr:sp>
    <xdr:clientData/>
  </xdr:twoCellAnchor>
  <xdr:twoCellAnchor editAs="oneCell">
    <xdr:from>
      <xdr:col>7</xdr:col>
      <xdr:colOff>372699</xdr:colOff>
      <xdr:row>8</xdr:row>
      <xdr:rowOff>114300</xdr:rowOff>
    </xdr:from>
    <xdr:to>
      <xdr:col>7</xdr:col>
      <xdr:colOff>738459</xdr:colOff>
      <xdr:row>10</xdr:row>
      <xdr:rowOff>80010</xdr:rowOff>
    </xdr:to>
    <xdr:pic macro="[0]!tradeReviewUpdate">
      <xdr:nvPicPr>
        <xdr:cNvPr id="13" name="Picture 1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10">
          <a:extLst>
            <a:ext uri="{BEBA8EAE-BF5A-486C-A8C5-ECC9F3942E4B}">
              <a14:imgProps xmlns:a14="http://schemas.microsoft.com/office/drawing/2010/main">
                <a14:imgLayer r:embed="rId11">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3087324" y="1724025"/>
          <a:ext cx="365760" cy="365760"/>
        </a:xfrm>
        <a:prstGeom prst="rect">
          <a:avLst/>
        </a:prstGeom>
      </xdr:spPr>
    </xdr:pic>
    <xdr:clientData/>
  </xdr:twoCellAnchor>
  <xdr:twoCellAnchor>
    <xdr:from>
      <xdr:col>8</xdr:col>
      <xdr:colOff>90488</xdr:colOff>
      <xdr:row>7</xdr:row>
      <xdr:rowOff>9525</xdr:rowOff>
    </xdr:from>
    <xdr:to>
      <xdr:col>8</xdr:col>
      <xdr:colOff>547687</xdr:colOff>
      <xdr:row>8</xdr:row>
      <xdr:rowOff>9005</xdr:rowOff>
    </xdr:to>
    <xdr:grpSp>
      <xdr:nvGrpSpPr>
        <xdr:cNvPr id="22" name="Group 21">
          <a:extLst>
            <a:ext uri="{FF2B5EF4-FFF2-40B4-BE49-F238E27FC236}">
              <a16:creationId xmlns:a16="http://schemas.microsoft.com/office/drawing/2014/main" id="{00000000-0008-0000-0500-000016000000}"/>
            </a:ext>
          </a:extLst>
        </xdr:cNvPr>
        <xdr:cNvGrpSpPr/>
      </xdr:nvGrpSpPr>
      <xdr:grpSpPr>
        <a:xfrm>
          <a:off x="3633788" y="1419225"/>
          <a:ext cx="457199" cy="199505"/>
          <a:chOff x="7172326" y="1885950"/>
          <a:chExt cx="457199" cy="199505"/>
        </a:xfrm>
      </xdr:grpSpPr>
      <xdr:sp macro="[0]!note2" textlink="">
        <xdr:nvSpPr>
          <xdr:cNvPr id="19" name="Rectangle: Rounded Corners 18">
            <a:extLst>
              <a:ext uri="{FF2B5EF4-FFF2-40B4-BE49-F238E27FC236}">
                <a16:creationId xmlns:a16="http://schemas.microsoft.com/office/drawing/2014/main" id="{00000000-0008-0000-0500-000013000000}"/>
              </a:ext>
            </a:extLst>
          </xdr:cNvPr>
          <xdr:cNvSpPr/>
        </xdr:nvSpPr>
        <xdr:spPr>
          <a:xfrm>
            <a:off x="7172326" y="1897120"/>
            <a:ext cx="457199" cy="177165"/>
          </a:xfrm>
          <a:prstGeom prst="roundRect">
            <a:avLst>
              <a:gd name="adj" fmla="val 50000"/>
            </a:avLst>
          </a:prstGeom>
          <a:solidFill>
            <a:schemeClr val="accent5"/>
          </a:solidFill>
          <a:ln w="1270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macro="[0]!note2">
        <xdr:nvPicPr>
          <xdr:cNvPr id="18" name="Picture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8">
            <a:lum bright="70000" contrast="-70000"/>
            <a:extLst>
              <a:ext uri="{28A0092B-C50C-407E-A947-70E740481C1C}">
                <a14:useLocalDpi xmlns:a14="http://schemas.microsoft.com/office/drawing/2010/main" val="0"/>
              </a:ext>
            </a:extLst>
          </a:blip>
          <a:stretch>
            <a:fillRect/>
          </a:stretch>
        </xdr:blipFill>
        <xdr:spPr>
          <a:xfrm>
            <a:off x="7301173" y="1885950"/>
            <a:ext cx="199505" cy="199505"/>
          </a:xfrm>
          <a:prstGeom prst="rect">
            <a:avLst/>
          </a:prstGeom>
        </xdr:spPr>
      </xdr:pic>
    </xdr:grpSp>
    <xdr:clientData/>
  </xdr:twoCellAnchor>
  <xdr:twoCellAnchor>
    <xdr:from>
      <xdr:col>8</xdr:col>
      <xdr:colOff>90488</xdr:colOff>
      <xdr:row>6</xdr:row>
      <xdr:rowOff>0</xdr:rowOff>
    </xdr:from>
    <xdr:to>
      <xdr:col>8</xdr:col>
      <xdr:colOff>547687</xdr:colOff>
      <xdr:row>6</xdr:row>
      <xdr:rowOff>199505</xdr:rowOff>
    </xdr:to>
    <xdr:grpSp>
      <xdr:nvGrpSpPr>
        <xdr:cNvPr id="32" name="Group 31">
          <a:extLst>
            <a:ext uri="{FF2B5EF4-FFF2-40B4-BE49-F238E27FC236}">
              <a16:creationId xmlns:a16="http://schemas.microsoft.com/office/drawing/2014/main" id="{00000000-0008-0000-0500-000020000000}"/>
            </a:ext>
          </a:extLst>
        </xdr:cNvPr>
        <xdr:cNvGrpSpPr/>
      </xdr:nvGrpSpPr>
      <xdr:grpSpPr>
        <a:xfrm>
          <a:off x="3633788" y="1209675"/>
          <a:ext cx="457199" cy="199505"/>
          <a:chOff x="251216" y="309791"/>
          <a:chExt cx="457199" cy="199505"/>
        </a:xfrm>
      </xdr:grpSpPr>
      <xdr:sp macro="[0]!note1" textlink="">
        <xdr:nvSpPr>
          <xdr:cNvPr id="33" name="Rectangle: Rounded Corners 32">
            <a:extLst>
              <a:ext uri="{FF2B5EF4-FFF2-40B4-BE49-F238E27FC236}">
                <a16:creationId xmlns:a16="http://schemas.microsoft.com/office/drawing/2014/main" id="{00000000-0008-0000-0500-000021000000}"/>
              </a:ext>
            </a:extLst>
          </xdr:cNvPr>
          <xdr:cNvSpPr/>
        </xdr:nvSpPr>
        <xdr:spPr>
          <a:xfrm>
            <a:off x="251216" y="320961"/>
            <a:ext cx="457199" cy="177165"/>
          </a:xfrm>
          <a:prstGeom prst="roundRect">
            <a:avLst>
              <a:gd name="adj" fmla="val 50000"/>
            </a:avLst>
          </a:prstGeom>
          <a:solidFill>
            <a:schemeClr val="accent5"/>
          </a:solidFill>
          <a:ln w="1270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pic macro="[0]!note1">
        <xdr:nvPicPr>
          <xdr:cNvPr id="34" name="Picture 33">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8">
            <a:lum bright="70000" contrast="-70000"/>
            <a:extLst>
              <a:ext uri="{28A0092B-C50C-407E-A947-70E740481C1C}">
                <a14:useLocalDpi xmlns:a14="http://schemas.microsoft.com/office/drawing/2010/main" val="0"/>
              </a:ext>
            </a:extLst>
          </a:blip>
          <a:stretch>
            <a:fillRect/>
          </a:stretch>
        </xdr:blipFill>
        <xdr:spPr>
          <a:xfrm>
            <a:off x="380063" y="309791"/>
            <a:ext cx="199505" cy="199505"/>
          </a:xfrm>
          <a:prstGeom prst="rect">
            <a:avLst/>
          </a:prstGeom>
        </xdr:spPr>
      </xdr:pic>
    </xdr:grpSp>
    <xdr:clientData/>
  </xdr:twoCellAnchor>
  <xdr:twoCellAnchor>
    <xdr:from>
      <xdr:col>8</xdr:col>
      <xdr:colOff>90488</xdr:colOff>
      <xdr:row>4</xdr:row>
      <xdr:rowOff>190500</xdr:rowOff>
    </xdr:from>
    <xdr:to>
      <xdr:col>8</xdr:col>
      <xdr:colOff>547687</xdr:colOff>
      <xdr:row>5</xdr:row>
      <xdr:rowOff>189980</xdr:rowOff>
    </xdr:to>
    <xdr:grpSp>
      <xdr:nvGrpSpPr>
        <xdr:cNvPr id="35" name="Group 34">
          <a:extLst>
            <a:ext uri="{FF2B5EF4-FFF2-40B4-BE49-F238E27FC236}">
              <a16:creationId xmlns:a16="http://schemas.microsoft.com/office/drawing/2014/main" id="{00000000-0008-0000-0500-000023000000}"/>
            </a:ext>
          </a:extLst>
        </xdr:cNvPr>
        <xdr:cNvGrpSpPr/>
      </xdr:nvGrpSpPr>
      <xdr:grpSpPr>
        <a:xfrm>
          <a:off x="3633788" y="1000125"/>
          <a:ext cx="457199" cy="199505"/>
          <a:chOff x="251216" y="309791"/>
          <a:chExt cx="457199" cy="199505"/>
        </a:xfrm>
      </xdr:grpSpPr>
      <xdr:sp macro="[0]!tradesetup" textlink="">
        <xdr:nvSpPr>
          <xdr:cNvPr id="36" name="Rectangle: Rounded Corners 35">
            <a:extLst>
              <a:ext uri="{FF2B5EF4-FFF2-40B4-BE49-F238E27FC236}">
                <a16:creationId xmlns:a16="http://schemas.microsoft.com/office/drawing/2014/main" id="{00000000-0008-0000-0500-000024000000}"/>
              </a:ext>
            </a:extLst>
          </xdr:cNvPr>
          <xdr:cNvSpPr/>
        </xdr:nvSpPr>
        <xdr:spPr>
          <a:xfrm>
            <a:off x="251216" y="320961"/>
            <a:ext cx="457199" cy="177165"/>
          </a:xfrm>
          <a:prstGeom prst="roundRect">
            <a:avLst>
              <a:gd name="adj" fmla="val 50000"/>
            </a:avLst>
          </a:prstGeom>
          <a:solidFill>
            <a:schemeClr val="accent5"/>
          </a:solidFill>
          <a:ln w="1270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pic macro="[0]!tradesetup">
        <xdr:nvPicPr>
          <xdr:cNvPr id="37" name="Picture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8">
            <a:lum bright="70000" contrast="-70000"/>
            <a:extLst>
              <a:ext uri="{28A0092B-C50C-407E-A947-70E740481C1C}">
                <a14:useLocalDpi xmlns:a14="http://schemas.microsoft.com/office/drawing/2010/main" val="0"/>
              </a:ext>
            </a:extLst>
          </a:blip>
          <a:stretch>
            <a:fillRect/>
          </a:stretch>
        </xdr:blipFill>
        <xdr:spPr>
          <a:xfrm>
            <a:off x="380063" y="309791"/>
            <a:ext cx="199505" cy="199505"/>
          </a:xfrm>
          <a:prstGeom prst="rect">
            <a:avLst/>
          </a:prstGeom>
        </xdr:spPr>
      </xdr:pic>
    </xdr:grpSp>
    <xdr:clientData/>
  </xdr:twoCellAnchor>
  <xdr:twoCellAnchor>
    <xdr:from>
      <xdr:col>8</xdr:col>
      <xdr:colOff>90488</xdr:colOff>
      <xdr:row>2</xdr:row>
      <xdr:rowOff>266700</xdr:rowOff>
    </xdr:from>
    <xdr:to>
      <xdr:col>8</xdr:col>
      <xdr:colOff>547687</xdr:colOff>
      <xdr:row>4</xdr:row>
      <xdr:rowOff>18530</xdr:rowOff>
    </xdr:to>
    <xdr:grpSp>
      <xdr:nvGrpSpPr>
        <xdr:cNvPr id="38" name="Group 37">
          <a:extLst>
            <a:ext uri="{FF2B5EF4-FFF2-40B4-BE49-F238E27FC236}">
              <a16:creationId xmlns:a16="http://schemas.microsoft.com/office/drawing/2014/main" id="{00000000-0008-0000-0500-000026000000}"/>
            </a:ext>
          </a:extLst>
        </xdr:cNvPr>
        <xdr:cNvGrpSpPr/>
      </xdr:nvGrpSpPr>
      <xdr:grpSpPr>
        <a:xfrm>
          <a:off x="3633788" y="628650"/>
          <a:ext cx="457199" cy="199505"/>
          <a:chOff x="251216" y="309791"/>
          <a:chExt cx="457199" cy="199505"/>
        </a:xfrm>
      </xdr:grpSpPr>
      <xdr:sp macro="[0]!Filterstock" textlink="">
        <xdr:nvSpPr>
          <xdr:cNvPr id="39" name="Rectangle: Rounded Corners 38">
            <a:extLst>
              <a:ext uri="{FF2B5EF4-FFF2-40B4-BE49-F238E27FC236}">
                <a16:creationId xmlns:a16="http://schemas.microsoft.com/office/drawing/2014/main" id="{00000000-0008-0000-0500-000027000000}"/>
              </a:ext>
            </a:extLst>
          </xdr:cNvPr>
          <xdr:cNvSpPr/>
        </xdr:nvSpPr>
        <xdr:spPr>
          <a:xfrm>
            <a:off x="251216" y="320961"/>
            <a:ext cx="457199" cy="177165"/>
          </a:xfrm>
          <a:prstGeom prst="roundRect">
            <a:avLst>
              <a:gd name="adj" fmla="val 50000"/>
            </a:avLst>
          </a:prstGeom>
          <a:solidFill>
            <a:schemeClr val="accent5"/>
          </a:solidFill>
          <a:ln w="1270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pic macro="[0]!Filterstock">
        <xdr:nvPicPr>
          <xdr:cNvPr id="40" name="Picture 39">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8">
            <a:lum bright="70000" contrast="-70000"/>
            <a:extLst>
              <a:ext uri="{28A0092B-C50C-407E-A947-70E740481C1C}">
                <a14:useLocalDpi xmlns:a14="http://schemas.microsoft.com/office/drawing/2010/main" val="0"/>
              </a:ext>
            </a:extLst>
          </a:blip>
          <a:stretch>
            <a:fillRect/>
          </a:stretch>
        </xdr:blipFill>
        <xdr:spPr>
          <a:xfrm>
            <a:off x="380063" y="309791"/>
            <a:ext cx="199505" cy="199505"/>
          </a:xfrm>
          <a:prstGeom prst="rect">
            <a:avLst/>
          </a:prstGeom>
        </xdr:spPr>
      </xdr:pic>
    </xdr:grpSp>
    <xdr:clientData/>
  </xdr:twoCellAnchor>
  <xdr:twoCellAnchor editAs="absolute">
    <xdr:from>
      <xdr:col>7</xdr:col>
      <xdr:colOff>47625</xdr:colOff>
      <xdr:row>64</xdr:row>
      <xdr:rowOff>66675</xdr:rowOff>
    </xdr:from>
    <xdr:to>
      <xdr:col>17</xdr:col>
      <xdr:colOff>657786</xdr:colOff>
      <xdr:row>74</xdr:row>
      <xdr:rowOff>80123</xdr:rowOff>
    </xdr:to>
    <xdr:sp macro="" textlink="">
      <xdr:nvSpPr>
        <xdr:cNvPr id="2" name="Rectangle 1">
          <a:extLst>
            <a:ext uri="{FF2B5EF4-FFF2-40B4-BE49-F238E27FC236}">
              <a16:creationId xmlns:a16="http://schemas.microsoft.com/office/drawing/2014/main" id="{DC492F20-B18C-414A-9E95-8F61E2812749}"/>
            </a:ext>
          </a:extLst>
        </xdr:cNvPr>
        <xdr:cNvSpPr/>
      </xdr:nvSpPr>
      <xdr:spPr>
        <a:xfrm>
          <a:off x="2762250" y="14497050"/>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tx2"/>
              </a:solidFill>
              <a:effectLst/>
              <a:latin typeface="+mn-lt"/>
              <a:ea typeface="+mn-ea"/>
              <a:cs typeface="+mn-cs"/>
            </a:rPr>
            <a:t>Upgrade now! </a:t>
          </a:r>
          <a:r>
            <a:rPr lang="en-US" sz="1800" b="0" i="0">
              <a:solidFill>
                <a:schemeClr val="tx2"/>
              </a:solidFill>
              <a:effectLst/>
              <a:latin typeface="+mn-lt"/>
              <a:ea typeface="+mn-ea"/>
              <a:cs typeface="+mn-cs"/>
            </a:rPr>
            <a:t>Experience the full potential of our Stock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tx2"/>
              </a:solidFill>
              <a:effectLst/>
              <a:latin typeface="+mn-lt"/>
              <a:ea typeface="+mn-ea"/>
              <a:cs typeface="+mn-cs"/>
            </a:rPr>
            <a:t>Visit</a:t>
          </a:r>
          <a:r>
            <a:rPr lang="en-US" sz="1800" b="0" i="0">
              <a:solidFill>
                <a:schemeClr val="lt1"/>
              </a:solidFill>
              <a:effectLst/>
              <a:latin typeface="+mn-lt"/>
              <a:ea typeface="+mn-ea"/>
              <a:cs typeface="+mn-cs"/>
            </a:rPr>
            <a:t> </a:t>
          </a:r>
          <a:r>
            <a:rPr lang="en-US" sz="1800" b="0" i="0" u="sng">
              <a:solidFill>
                <a:schemeClr val="accent1"/>
              </a:solidFill>
              <a:effectLst/>
              <a:latin typeface="+mn-lt"/>
              <a:ea typeface="+mn-ea"/>
              <a:cs typeface="+mn-cs"/>
            </a:rPr>
            <a:t>https://www.rocketsheets.com/product/trading-journal/ </a:t>
          </a:r>
          <a:r>
            <a:rPr lang="en-US" sz="1800" b="0" i="0">
              <a:solidFill>
                <a:schemeClr val="tx2"/>
              </a:solidFill>
              <a:effectLst/>
              <a:latin typeface="+mn-lt"/>
              <a:ea typeface="+mn-ea"/>
              <a:cs typeface="+mn-cs"/>
            </a:rPr>
            <a:t>now to upgrade and maximize your potential. Use code STJ20 at checkout to enjoy a 20% discount.</a:t>
          </a:r>
          <a:endParaRPr lang="en-US" sz="3600">
            <a:solidFill>
              <a:schemeClr val="tx2"/>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85725</xdr:rowOff>
    </xdr:from>
    <xdr:to>
      <xdr:col>21</xdr:col>
      <xdr:colOff>409574</xdr:colOff>
      <xdr:row>19</xdr:row>
      <xdr:rowOff>38100</xdr:rowOff>
    </xdr:to>
    <xdr:sp macro="" textlink="">
      <xdr:nvSpPr>
        <xdr:cNvPr id="3" name="Freeform: Shape 2">
          <a:extLst>
            <a:ext uri="{FF2B5EF4-FFF2-40B4-BE49-F238E27FC236}">
              <a16:creationId xmlns:a16="http://schemas.microsoft.com/office/drawing/2014/main" id="{00000000-0008-0000-0600-000003000000}"/>
            </a:ext>
          </a:extLst>
        </xdr:cNvPr>
        <xdr:cNvSpPr/>
      </xdr:nvSpPr>
      <xdr:spPr>
        <a:xfrm>
          <a:off x="0" y="85725"/>
          <a:ext cx="13058774" cy="2057400"/>
        </a:xfrm>
        <a:custGeom>
          <a:avLst/>
          <a:gdLst>
            <a:gd name="connsiteX0" fmla="*/ 4241192 w 8483600"/>
            <a:gd name="connsiteY0" fmla="*/ 180159 h 1340189"/>
            <a:gd name="connsiteX1" fmla="*/ 4154408 w 8483600"/>
            <a:gd name="connsiteY1" fmla="*/ 266943 h 1340189"/>
            <a:gd name="connsiteX2" fmla="*/ 4154408 w 8483600"/>
            <a:gd name="connsiteY2" fmla="*/ 1190655 h 1340189"/>
            <a:gd name="connsiteX3" fmla="*/ 4241192 w 8483600"/>
            <a:gd name="connsiteY3" fmla="*/ 1277439 h 1340189"/>
            <a:gd name="connsiteX4" fmla="*/ 8125873 w 8483600"/>
            <a:gd name="connsiteY4" fmla="*/ 1277439 h 1340189"/>
            <a:gd name="connsiteX5" fmla="*/ 8212657 w 8483600"/>
            <a:gd name="connsiteY5" fmla="*/ 1190655 h 1340189"/>
            <a:gd name="connsiteX6" fmla="*/ 8212657 w 8483600"/>
            <a:gd name="connsiteY6" fmla="*/ 266943 h 1340189"/>
            <a:gd name="connsiteX7" fmla="*/ 8125873 w 8483600"/>
            <a:gd name="connsiteY7" fmla="*/ 180159 h 1340189"/>
            <a:gd name="connsiteX8" fmla="*/ 211721 w 8483600"/>
            <a:gd name="connsiteY8" fmla="*/ 180159 h 1340189"/>
            <a:gd name="connsiteX9" fmla="*/ 124937 w 8483600"/>
            <a:gd name="connsiteY9" fmla="*/ 266943 h 1340189"/>
            <a:gd name="connsiteX10" fmla="*/ 124937 w 8483600"/>
            <a:gd name="connsiteY10" fmla="*/ 1190655 h 1340189"/>
            <a:gd name="connsiteX11" fmla="*/ 211721 w 8483600"/>
            <a:gd name="connsiteY11" fmla="*/ 1277439 h 1340189"/>
            <a:gd name="connsiteX12" fmla="*/ 4002616 w 8483600"/>
            <a:gd name="connsiteY12" fmla="*/ 1277439 h 1340189"/>
            <a:gd name="connsiteX13" fmla="*/ 4089400 w 8483600"/>
            <a:gd name="connsiteY13" fmla="*/ 1190655 h 1340189"/>
            <a:gd name="connsiteX14" fmla="*/ 4089400 w 8483600"/>
            <a:gd name="connsiteY14" fmla="*/ 266943 h 1340189"/>
            <a:gd name="connsiteX15" fmla="*/ 4002616 w 8483600"/>
            <a:gd name="connsiteY15" fmla="*/ 180159 h 1340189"/>
            <a:gd name="connsiteX16" fmla="*/ 0 w 8483600"/>
            <a:gd name="connsiteY16" fmla="*/ 0 h 1340189"/>
            <a:gd name="connsiteX17" fmla="*/ 8483600 w 8483600"/>
            <a:gd name="connsiteY17" fmla="*/ 0 h 1340189"/>
            <a:gd name="connsiteX18" fmla="*/ 8483600 w 8483600"/>
            <a:gd name="connsiteY18" fmla="*/ 1340189 h 1340189"/>
            <a:gd name="connsiteX19" fmla="*/ 0 w 8483600"/>
            <a:gd name="connsiteY19" fmla="*/ 1340189 h 13401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483600" h="1340189">
              <a:moveTo>
                <a:pt x="4241192" y="180159"/>
              </a:moveTo>
              <a:cubicBezTo>
                <a:pt x="4193263" y="180159"/>
                <a:pt x="4154408" y="219014"/>
                <a:pt x="4154408" y="266943"/>
              </a:cubicBezTo>
              <a:lnTo>
                <a:pt x="4154408" y="1190655"/>
              </a:lnTo>
              <a:cubicBezTo>
                <a:pt x="4154408" y="1238584"/>
                <a:pt x="4193263" y="1277439"/>
                <a:pt x="4241192" y="1277439"/>
              </a:cubicBezTo>
              <a:lnTo>
                <a:pt x="8125873" y="1277439"/>
              </a:lnTo>
              <a:cubicBezTo>
                <a:pt x="8173802" y="1277439"/>
                <a:pt x="8212657" y="1238584"/>
                <a:pt x="8212657" y="1190655"/>
              </a:cubicBezTo>
              <a:lnTo>
                <a:pt x="8212657" y="266943"/>
              </a:lnTo>
              <a:cubicBezTo>
                <a:pt x="8212657" y="219014"/>
                <a:pt x="8173802" y="180159"/>
                <a:pt x="8125873" y="180159"/>
              </a:cubicBezTo>
              <a:close/>
              <a:moveTo>
                <a:pt x="211721" y="180159"/>
              </a:moveTo>
              <a:cubicBezTo>
                <a:pt x="163792" y="180159"/>
                <a:pt x="124937" y="219014"/>
                <a:pt x="124937" y="266943"/>
              </a:cubicBezTo>
              <a:lnTo>
                <a:pt x="124937" y="1190655"/>
              </a:lnTo>
              <a:cubicBezTo>
                <a:pt x="124937" y="1238584"/>
                <a:pt x="163792" y="1277439"/>
                <a:pt x="211721" y="1277439"/>
              </a:cubicBezTo>
              <a:lnTo>
                <a:pt x="4002616" y="1277439"/>
              </a:lnTo>
              <a:cubicBezTo>
                <a:pt x="4050545" y="1277439"/>
                <a:pt x="4089400" y="1238584"/>
                <a:pt x="4089400" y="1190655"/>
              </a:cubicBezTo>
              <a:lnTo>
                <a:pt x="4089400" y="266943"/>
              </a:lnTo>
              <a:cubicBezTo>
                <a:pt x="4089400" y="219014"/>
                <a:pt x="4050545" y="180159"/>
                <a:pt x="4002616" y="180159"/>
              </a:cubicBezTo>
              <a:close/>
              <a:moveTo>
                <a:pt x="0" y="0"/>
              </a:moveTo>
              <a:lnTo>
                <a:pt x="8483600" y="0"/>
              </a:lnTo>
              <a:lnTo>
                <a:pt x="8483600" y="1340189"/>
              </a:lnTo>
              <a:lnTo>
                <a:pt x="0" y="1340189"/>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2</xdr:col>
      <xdr:colOff>180974</xdr:colOff>
      <xdr:row>2</xdr:row>
      <xdr:rowOff>9525</xdr:rowOff>
    </xdr:from>
    <xdr:to>
      <xdr:col>9</xdr:col>
      <xdr:colOff>628650</xdr:colOff>
      <xdr:row>17</xdr:row>
      <xdr:rowOff>0</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418163</xdr:colOff>
      <xdr:row>0</xdr:row>
      <xdr:rowOff>83051</xdr:rowOff>
    </xdr:from>
    <xdr:to>
      <xdr:col>20</xdr:col>
      <xdr:colOff>567908</xdr:colOff>
      <xdr:row>0</xdr:row>
      <xdr:rowOff>229368</xdr:rowOff>
    </xdr:to>
    <xdr:pic macro="[0]!Maximize">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stretch>
          <a:fillRect/>
        </a:stretch>
      </xdr:blipFill>
      <xdr:spPr>
        <a:xfrm>
          <a:off x="12486338" y="83051"/>
          <a:ext cx="149745" cy="146317"/>
        </a:xfrm>
        <a:prstGeom prst="rect">
          <a:avLst/>
        </a:prstGeom>
      </xdr:spPr>
    </xdr:pic>
    <xdr:clientData/>
  </xdr:twoCellAnchor>
  <xdr:twoCellAnchor editAs="absolute">
    <xdr:from>
      <xdr:col>20</xdr:col>
      <xdr:colOff>72172</xdr:colOff>
      <xdr:row>0</xdr:row>
      <xdr:rowOff>89534</xdr:rowOff>
    </xdr:from>
    <xdr:to>
      <xdr:col>20</xdr:col>
      <xdr:colOff>215047</xdr:colOff>
      <xdr:row>0</xdr:row>
      <xdr:rowOff>222885</xdr:rowOff>
    </xdr:to>
    <xdr:pic macro="[0]!Minimize">
      <xdr:nvPicPr>
        <xdr:cNvPr id="9" name="Picture 8">
          <a:extLst>
            <a:ext uri="{FF2B5EF4-FFF2-40B4-BE49-F238E27FC236}">
              <a16:creationId xmlns:a16="http://schemas.microsoft.com/office/drawing/2014/main" id="{00000000-0008-0000-0600-000009000000}"/>
            </a:ext>
          </a:extLst>
        </xdr:cNvPr>
        <xdr:cNvPicPr>
          <a:picLocks/>
        </xdr:cNvPicPr>
      </xdr:nvPicPr>
      <xdr:blipFill>
        <a:blip xmlns:r="http://schemas.openxmlformats.org/officeDocument/2006/relationships" r:embed="rId3"/>
        <a:stretch>
          <a:fillRect/>
        </a:stretch>
      </xdr:blipFill>
      <xdr:spPr>
        <a:xfrm>
          <a:off x="12140347" y="89534"/>
          <a:ext cx="142875" cy="13335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19</xdr:col>
          <xdr:colOff>238125</xdr:colOff>
          <xdr:row>0</xdr:row>
          <xdr:rowOff>57150</xdr:rowOff>
        </xdr:from>
        <xdr:to>
          <xdr:col>19</xdr:col>
          <xdr:colOff>469132</xdr:colOff>
          <xdr:row>0</xdr:row>
          <xdr:rowOff>285750</xdr:rowOff>
        </xdr:to>
        <xdr:pic>
          <xdr:nvPicPr>
            <xdr:cNvPr id="10" name="Picture 9">
              <a:hlinkClick xmlns:r="http://schemas.openxmlformats.org/officeDocument/2006/relationships" r:id="rId4" tooltip="Dashboard"/>
              <a:extLst>
                <a:ext uri="{FF2B5EF4-FFF2-40B4-BE49-F238E27FC236}">
                  <a16:creationId xmlns:a16="http://schemas.microsoft.com/office/drawing/2014/main" id="{00000000-0008-0000-0600-00000A000000}"/>
                </a:ext>
              </a:extLst>
            </xdr:cNvPr>
            <xdr:cNvPicPr>
              <a:picLocks noChangeAspect="1" noChangeArrowheads="1"/>
              <a:extLst>
                <a:ext uri="{84589F7E-364E-4C9E-8A38-B11213B215E9}">
                  <a14:cameraTool cellRange="Settings!$M$3:$M$6" spid="_x0000_s236779"/>
                </a:ext>
              </a:extLst>
            </xdr:cNvPicPr>
          </xdr:nvPicPr>
          <xdr:blipFill>
            <a:blip xmlns:r="http://schemas.openxmlformats.org/officeDocument/2006/relationships" r:embed="rId5"/>
            <a:srcRect/>
            <a:stretch>
              <a:fillRect/>
            </a:stretch>
          </xdr:blipFill>
          <xdr:spPr bwMode="auto">
            <a:xfrm>
              <a:off x="11725275" y="57150"/>
              <a:ext cx="231007"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9</xdr:col>
      <xdr:colOff>714375</xdr:colOff>
      <xdr:row>1</xdr:row>
      <xdr:rowOff>28575</xdr:rowOff>
    </xdr:from>
    <xdr:to>
      <xdr:col>17</xdr:col>
      <xdr:colOff>209551</xdr:colOff>
      <xdr:row>16</xdr:row>
      <xdr:rowOff>66675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17</xdr:col>
      <xdr:colOff>390525</xdr:colOff>
      <xdr:row>4</xdr:row>
      <xdr:rowOff>28576</xdr:rowOff>
    </xdr:from>
    <xdr:to>
      <xdr:col>20</xdr:col>
      <xdr:colOff>142875</xdr:colOff>
      <xdr:row>8</xdr:row>
      <xdr:rowOff>1</xdr:rowOff>
    </xdr:to>
    <xdr:sp macro="" textlink="$AO$21">
      <xdr:nvSpPr>
        <xdr:cNvPr id="5" name="Rectangle 4">
          <a:extLst>
            <a:ext uri="{FF2B5EF4-FFF2-40B4-BE49-F238E27FC236}">
              <a16:creationId xmlns:a16="http://schemas.microsoft.com/office/drawing/2014/main" id="{00000000-0008-0000-0600-000005000000}"/>
            </a:ext>
          </a:extLst>
        </xdr:cNvPr>
        <xdr:cNvSpPr/>
      </xdr:nvSpPr>
      <xdr:spPr>
        <a:xfrm>
          <a:off x="10715625" y="809626"/>
          <a:ext cx="1495425" cy="723900"/>
        </a:xfrm>
        <a:prstGeom prst="rect">
          <a:avLst/>
        </a:prstGeom>
        <a:noFill/>
        <a:ln w="12700">
          <a:solidFill>
            <a:srgbClr val="2B313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A7A9F44-AF13-46A6-84EB-DCDA52F5DF33}" type="TxLink">
            <a:rPr lang="en-US" sz="1100" b="0" i="0" u="none" strike="noStrike">
              <a:solidFill>
                <a:srgbClr val="80CCDB"/>
              </a:solidFill>
              <a:latin typeface="Century Gothic" panose="020B0502020202020204" pitchFamily="34" charset="0"/>
              <a:cs typeface="Arial"/>
            </a:rPr>
            <a:pPr algn="ctr"/>
            <a:t>Php44,487 </a:t>
          </a:fld>
          <a:endParaRPr lang="en-US" sz="1800" b="0">
            <a:solidFill>
              <a:srgbClr val="80CCDB"/>
            </a:solidFill>
            <a:latin typeface="Century Gothic" panose="020B0502020202020204" pitchFamily="34" charset="0"/>
          </a:endParaRPr>
        </a:p>
      </xdr:txBody>
    </xdr:sp>
    <xdr:clientData/>
  </xdr:twoCellAnchor>
  <xdr:twoCellAnchor editAs="absolute">
    <xdr:from>
      <xdr:col>19</xdr:col>
      <xdr:colOff>106346</xdr:colOff>
      <xdr:row>8</xdr:row>
      <xdr:rowOff>92083</xdr:rowOff>
    </xdr:from>
    <xdr:to>
      <xdr:col>19</xdr:col>
      <xdr:colOff>428964</xdr:colOff>
      <xdr:row>10</xdr:row>
      <xdr:rowOff>62276</xdr:rowOff>
    </xdr:to>
    <xdr:sp macro="[0]!monthlyFwdPage" textlink="">
      <xdr:nvSpPr>
        <xdr:cNvPr id="4" name="Oval 3">
          <a:extLst>
            <a:ext uri="{FF2B5EF4-FFF2-40B4-BE49-F238E27FC236}">
              <a16:creationId xmlns:a16="http://schemas.microsoft.com/office/drawing/2014/main" id="{00000000-0008-0000-0600-000004000000}"/>
            </a:ext>
          </a:extLst>
        </xdr:cNvPr>
        <xdr:cNvSpPr/>
      </xdr:nvSpPr>
      <xdr:spPr>
        <a:xfrm rot="16200000">
          <a:off x="11598258" y="1620846"/>
          <a:ext cx="313093"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editAs="absolute">
    <xdr:from>
      <xdr:col>18</xdr:col>
      <xdr:colOff>125395</xdr:colOff>
      <xdr:row>8</xdr:row>
      <xdr:rowOff>85752</xdr:rowOff>
    </xdr:from>
    <xdr:to>
      <xdr:col>18</xdr:col>
      <xdr:colOff>448013</xdr:colOff>
      <xdr:row>10</xdr:row>
      <xdr:rowOff>68607</xdr:rowOff>
    </xdr:to>
    <xdr:sp macro="[0]!monthlyBackPage" textlink="">
      <xdr:nvSpPr>
        <xdr:cNvPr id="8" name="Oval 7">
          <a:extLst>
            <a:ext uri="{FF2B5EF4-FFF2-40B4-BE49-F238E27FC236}">
              <a16:creationId xmlns:a16="http://schemas.microsoft.com/office/drawing/2014/main" id="{00000000-0008-0000-0600-000008000000}"/>
            </a:ext>
          </a:extLst>
        </xdr:cNvPr>
        <xdr:cNvSpPr/>
      </xdr:nvSpPr>
      <xdr:spPr>
        <a:xfrm rot="16200000" flipV="1">
          <a:off x="11029951" y="1620846"/>
          <a:ext cx="325755" cy="32261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2"/>
              </a:solidFill>
            </a:rPr>
            <a:t>↓</a:t>
          </a:r>
        </a:p>
      </xdr:txBody>
    </xdr:sp>
    <xdr:clientData/>
  </xdr:twoCellAnchor>
  <xdr:twoCellAnchor>
    <xdr:from>
      <xdr:col>3</xdr:col>
      <xdr:colOff>495300</xdr:colOff>
      <xdr:row>0</xdr:row>
      <xdr:rowOff>28575</xdr:rowOff>
    </xdr:from>
    <xdr:to>
      <xdr:col>4</xdr:col>
      <xdr:colOff>952500</xdr:colOff>
      <xdr:row>1</xdr:row>
      <xdr:rowOff>9525</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676275" y="28575"/>
          <a:ext cx="1009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solidFill>
                <a:schemeClr val="bg2"/>
              </a:solidFill>
              <a:latin typeface="Bahnschrift SemiCondensed" panose="020B0502040204020203" pitchFamily="34" charset="0"/>
            </a:rPr>
            <a:t>Monthly</a:t>
          </a:r>
          <a:r>
            <a:rPr lang="en-US" sz="1000" baseline="0">
              <a:solidFill>
                <a:schemeClr val="bg2"/>
              </a:solidFill>
              <a:latin typeface="Bahnschrift SemiCondensed" panose="020B0502040204020203" pitchFamily="34" charset="0"/>
            </a:rPr>
            <a:t> Report</a:t>
          </a:r>
          <a:endParaRPr lang="en-US" sz="1000">
            <a:solidFill>
              <a:schemeClr val="bg2"/>
            </a:solidFill>
            <a:latin typeface="Bahnschrift SemiCondensed" panose="020B0502040204020203" pitchFamily="34" charset="0"/>
          </a:endParaRPr>
        </a:p>
      </xdr:txBody>
    </xdr:sp>
    <xdr:clientData/>
  </xdr:twoCellAnchor>
  <xdr:twoCellAnchor editAs="oneCell">
    <xdr:from>
      <xdr:col>3</xdr:col>
      <xdr:colOff>285750</xdr:colOff>
      <xdr:row>0</xdr:row>
      <xdr:rowOff>85725</xdr:rowOff>
    </xdr:from>
    <xdr:to>
      <xdr:col>3</xdr:col>
      <xdr:colOff>496062</xdr:colOff>
      <xdr:row>0</xdr:row>
      <xdr:rowOff>296037</xdr:rowOff>
    </xdr:to>
    <xdr:pic>
      <xdr:nvPicPr>
        <xdr:cNvPr id="13" name="Picture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7">
          <a:extLst>
            <a:ext uri="{BEBA8EAE-BF5A-486C-A8C5-ECC9F3942E4B}">
              <a14:imgProps xmlns:a14="http://schemas.microsoft.com/office/drawing/2010/main">
                <a14:imgLayer r:embed="rId8">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66725" y="85725"/>
          <a:ext cx="210312" cy="210312"/>
        </a:xfrm>
        <a:prstGeom prst="rect">
          <a:avLst/>
        </a:prstGeom>
      </xdr:spPr>
    </xdr:pic>
    <xdr:clientData/>
  </xdr:twoCellAnchor>
  <xdr:twoCellAnchor editAs="absolute">
    <xdr:from>
      <xdr:col>6</xdr:col>
      <xdr:colOff>276225</xdr:colOff>
      <xdr:row>33</xdr:row>
      <xdr:rowOff>209550</xdr:rowOff>
    </xdr:from>
    <xdr:to>
      <xdr:col>16</xdr:col>
      <xdr:colOff>543486</xdr:colOff>
      <xdr:row>42</xdr:row>
      <xdr:rowOff>213473</xdr:rowOff>
    </xdr:to>
    <xdr:sp macro="" textlink="">
      <xdr:nvSpPr>
        <xdr:cNvPr id="12" name="Rectangle 11">
          <a:extLst>
            <a:ext uri="{FF2B5EF4-FFF2-40B4-BE49-F238E27FC236}">
              <a16:creationId xmlns:a16="http://schemas.microsoft.com/office/drawing/2014/main" id="{27C17323-2A26-4AC8-BF37-359F94C4D3E0}"/>
            </a:ext>
          </a:extLst>
        </xdr:cNvPr>
        <xdr:cNvSpPr/>
      </xdr:nvSpPr>
      <xdr:spPr>
        <a:xfrm>
          <a:off x="2971800" y="5876925"/>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tx2"/>
              </a:solidFill>
              <a:effectLst/>
              <a:latin typeface="+mn-lt"/>
              <a:ea typeface="+mn-ea"/>
              <a:cs typeface="+mn-cs"/>
            </a:rPr>
            <a:t>Upgrade now! </a:t>
          </a:r>
          <a:r>
            <a:rPr lang="en-US" sz="1800" b="0" i="0">
              <a:solidFill>
                <a:schemeClr val="tx2"/>
              </a:solidFill>
              <a:effectLst/>
              <a:latin typeface="+mn-lt"/>
              <a:ea typeface="+mn-ea"/>
              <a:cs typeface="+mn-cs"/>
            </a:rPr>
            <a:t>Experience the full potential of our Stock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tx2"/>
              </a:solidFill>
              <a:effectLst/>
              <a:latin typeface="+mn-lt"/>
              <a:ea typeface="+mn-ea"/>
              <a:cs typeface="+mn-cs"/>
            </a:rPr>
            <a:t>Visit</a:t>
          </a:r>
          <a:r>
            <a:rPr lang="en-US" sz="1800" b="0" i="0">
              <a:solidFill>
                <a:schemeClr val="lt1"/>
              </a:solidFill>
              <a:effectLst/>
              <a:latin typeface="+mn-lt"/>
              <a:ea typeface="+mn-ea"/>
              <a:cs typeface="+mn-cs"/>
            </a:rPr>
            <a:t> </a:t>
          </a:r>
          <a:r>
            <a:rPr lang="en-US" sz="1800" b="0" i="0" u="sng">
              <a:solidFill>
                <a:schemeClr val="accent1"/>
              </a:solidFill>
              <a:effectLst/>
              <a:latin typeface="+mn-lt"/>
              <a:ea typeface="+mn-ea"/>
              <a:cs typeface="+mn-cs"/>
            </a:rPr>
            <a:t>https://www.rocketsheets.com/product/trading-journal/ </a:t>
          </a:r>
          <a:r>
            <a:rPr lang="en-US" sz="1800" b="0" i="0">
              <a:solidFill>
                <a:schemeClr val="tx2"/>
              </a:solidFill>
              <a:effectLst/>
              <a:latin typeface="+mn-lt"/>
              <a:ea typeface="+mn-ea"/>
              <a:cs typeface="+mn-cs"/>
            </a:rPr>
            <a:t>now to upgrade and maximize your potential. Use code STJ20 at checkout to enjoy a 20% discount.</a:t>
          </a:r>
          <a:endParaRPr lang="en-US" sz="3600">
            <a:solidFill>
              <a:schemeClr val="tx2"/>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453277</xdr:colOff>
      <xdr:row>0</xdr:row>
      <xdr:rowOff>72278</xdr:rowOff>
    </xdr:from>
    <xdr:to>
      <xdr:col>1</xdr:col>
      <xdr:colOff>683784</xdr:colOff>
      <xdr:row>1</xdr:row>
      <xdr:rowOff>110378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tretch>
          <a:fillRect/>
        </a:stretch>
      </xdr:blipFill>
      <xdr:spPr>
        <a:xfrm>
          <a:off x="453277" y="72278"/>
          <a:ext cx="230507" cy="228600"/>
        </a:xfrm>
        <a:prstGeom prst="rect">
          <a:avLst/>
        </a:prstGeom>
      </xdr:spPr>
    </xdr:pic>
    <xdr:clientData/>
  </xdr:twoCellAnchor>
  <xdr:twoCellAnchor editAs="absolute">
    <xdr:from>
      <xdr:col>1</xdr:col>
      <xdr:colOff>671793</xdr:colOff>
      <xdr:row>0</xdr:row>
      <xdr:rowOff>57711</xdr:rowOff>
    </xdr:from>
    <xdr:to>
      <xdr:col>2</xdr:col>
      <xdr:colOff>997884</xdr:colOff>
      <xdr:row>1</xdr:row>
      <xdr:rowOff>105336</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71793" y="57711"/>
          <a:ext cx="13262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Calendar</a:t>
          </a:r>
        </a:p>
      </xdr:txBody>
    </xdr:sp>
    <xdr:clientData/>
  </xdr:twoCellAnchor>
  <xdr:twoCellAnchor editAs="absolute">
    <xdr:from>
      <xdr:col>8</xdr:col>
      <xdr:colOff>1219200</xdr:colOff>
      <xdr:row>1</xdr:row>
      <xdr:rowOff>257175</xdr:rowOff>
    </xdr:from>
    <xdr:to>
      <xdr:col>8</xdr:col>
      <xdr:colOff>1539240</xdr:colOff>
      <xdr:row>2</xdr:row>
      <xdr:rowOff>215265</xdr:rowOff>
    </xdr:to>
    <xdr:sp macro="[0]!TReviewUP" textlink="">
      <xdr:nvSpPr>
        <xdr:cNvPr id="7" name="Oval 6">
          <a:extLst>
            <a:ext uri="{FF2B5EF4-FFF2-40B4-BE49-F238E27FC236}">
              <a16:creationId xmlns:a16="http://schemas.microsoft.com/office/drawing/2014/main" id="{00000000-0008-0000-0700-000007000000}"/>
            </a:ext>
          </a:extLst>
        </xdr:cNvPr>
        <xdr:cNvSpPr/>
      </xdr:nvSpPr>
      <xdr:spPr>
        <a:xfrm flipV="1">
          <a:off x="11544300" y="449580"/>
          <a:ext cx="323850" cy="32385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bg2"/>
              </a:solidFill>
            </a:rPr>
            <a:t>↓</a:t>
          </a:r>
        </a:p>
      </xdr:txBody>
    </xdr:sp>
    <xdr:clientData/>
  </xdr:twoCellAnchor>
  <xdr:twoCellAnchor editAs="absolute">
    <xdr:from>
      <xdr:col>3</xdr:col>
      <xdr:colOff>104775</xdr:colOff>
      <xdr:row>23</xdr:row>
      <xdr:rowOff>76200</xdr:rowOff>
    </xdr:from>
    <xdr:to>
      <xdr:col>7</xdr:col>
      <xdr:colOff>1210236</xdr:colOff>
      <xdr:row>35</xdr:row>
      <xdr:rowOff>32498</xdr:rowOff>
    </xdr:to>
    <xdr:sp macro="" textlink="">
      <xdr:nvSpPr>
        <xdr:cNvPr id="4" name="Rectangle 3">
          <a:extLst>
            <a:ext uri="{FF2B5EF4-FFF2-40B4-BE49-F238E27FC236}">
              <a16:creationId xmlns:a16="http://schemas.microsoft.com/office/drawing/2014/main" id="{28A76636-864C-41D5-B94D-B6F52D71830E}"/>
            </a:ext>
          </a:extLst>
        </xdr:cNvPr>
        <xdr:cNvSpPr/>
      </xdr:nvSpPr>
      <xdr:spPr>
        <a:xfrm>
          <a:off x="2657475" y="4610100"/>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tx2"/>
              </a:solidFill>
              <a:effectLst/>
              <a:latin typeface="+mn-lt"/>
              <a:ea typeface="+mn-ea"/>
              <a:cs typeface="+mn-cs"/>
            </a:rPr>
            <a:t>Upgrade now! </a:t>
          </a:r>
          <a:r>
            <a:rPr lang="en-US" sz="1800" b="0" i="0">
              <a:solidFill>
                <a:schemeClr val="tx2"/>
              </a:solidFill>
              <a:effectLst/>
              <a:latin typeface="+mn-lt"/>
              <a:ea typeface="+mn-ea"/>
              <a:cs typeface="+mn-cs"/>
            </a:rPr>
            <a:t>Experience the full potential of our Stock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tx2"/>
              </a:solidFill>
              <a:effectLst/>
              <a:latin typeface="+mn-lt"/>
              <a:ea typeface="+mn-ea"/>
              <a:cs typeface="+mn-cs"/>
            </a:rPr>
            <a:t>Visit</a:t>
          </a:r>
          <a:r>
            <a:rPr lang="en-US" sz="1800" b="0" i="0">
              <a:solidFill>
                <a:schemeClr val="lt1"/>
              </a:solidFill>
              <a:effectLst/>
              <a:latin typeface="+mn-lt"/>
              <a:ea typeface="+mn-ea"/>
              <a:cs typeface="+mn-cs"/>
            </a:rPr>
            <a:t> </a:t>
          </a:r>
          <a:r>
            <a:rPr lang="en-US" sz="1800" b="0" i="0" u="sng">
              <a:solidFill>
                <a:schemeClr val="accent1"/>
              </a:solidFill>
              <a:effectLst/>
              <a:latin typeface="+mn-lt"/>
              <a:ea typeface="+mn-ea"/>
              <a:cs typeface="+mn-cs"/>
            </a:rPr>
            <a:t>https://www.rocketsheets.com/product/trading-journal/ </a:t>
          </a:r>
          <a:r>
            <a:rPr lang="en-US" sz="1800" b="0" i="0">
              <a:solidFill>
                <a:schemeClr val="tx2"/>
              </a:solidFill>
              <a:effectLst/>
              <a:latin typeface="+mn-lt"/>
              <a:ea typeface="+mn-ea"/>
              <a:cs typeface="+mn-cs"/>
            </a:rPr>
            <a:t>now to upgrade and maximize your potential. Use code STJ20 at checkout to enjoy a 20% discount.</a:t>
          </a:r>
          <a:endParaRPr lang="en-US" sz="3600">
            <a:solidFill>
              <a:schemeClr val="tx2"/>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47625</xdr:rowOff>
    </xdr:from>
    <xdr:to>
      <xdr:col>26</xdr:col>
      <xdr:colOff>390525</xdr:colOff>
      <xdr:row>12</xdr:row>
      <xdr:rowOff>0</xdr:rowOff>
    </xdr:to>
    <xdr:sp macro="" textlink="">
      <xdr:nvSpPr>
        <xdr:cNvPr id="3" name="Freeform: Shape 2">
          <a:extLst>
            <a:ext uri="{FF2B5EF4-FFF2-40B4-BE49-F238E27FC236}">
              <a16:creationId xmlns:a16="http://schemas.microsoft.com/office/drawing/2014/main" id="{00000000-0008-0000-0800-000003000000}"/>
            </a:ext>
          </a:extLst>
        </xdr:cNvPr>
        <xdr:cNvSpPr/>
      </xdr:nvSpPr>
      <xdr:spPr>
        <a:xfrm>
          <a:off x="0" y="47625"/>
          <a:ext cx="13030200" cy="1876425"/>
        </a:xfrm>
        <a:custGeom>
          <a:avLst/>
          <a:gdLst>
            <a:gd name="connsiteX0" fmla="*/ 8032217 w 12594589"/>
            <a:gd name="connsiteY0" fmla="*/ 287595 h 1763910"/>
            <a:gd name="connsiteX1" fmla="*/ 7916163 w 12594589"/>
            <a:gd name="connsiteY1" fmla="*/ 403649 h 1763910"/>
            <a:gd name="connsiteX2" fmla="*/ 7916163 w 12594589"/>
            <a:gd name="connsiteY2" fmla="*/ 1586321 h 1763910"/>
            <a:gd name="connsiteX3" fmla="*/ 8032217 w 12594589"/>
            <a:gd name="connsiteY3" fmla="*/ 1702375 h 1763910"/>
            <a:gd name="connsiteX4" fmla="*/ 12075945 w 12594589"/>
            <a:gd name="connsiteY4" fmla="*/ 1702375 h 1763910"/>
            <a:gd name="connsiteX5" fmla="*/ 12191999 w 12594589"/>
            <a:gd name="connsiteY5" fmla="*/ 1586321 h 1763910"/>
            <a:gd name="connsiteX6" fmla="*/ 12191999 w 12594589"/>
            <a:gd name="connsiteY6" fmla="*/ 403649 h 1763910"/>
            <a:gd name="connsiteX7" fmla="*/ 12075945 w 12594589"/>
            <a:gd name="connsiteY7" fmla="*/ 287595 h 1763910"/>
            <a:gd name="connsiteX8" fmla="*/ 6779125 w 12594589"/>
            <a:gd name="connsiteY8" fmla="*/ 287595 h 1763910"/>
            <a:gd name="connsiteX9" fmla="*/ 6682739 w 12594589"/>
            <a:gd name="connsiteY9" fmla="*/ 383981 h 1763910"/>
            <a:gd name="connsiteX10" fmla="*/ 6682739 w 12594589"/>
            <a:gd name="connsiteY10" fmla="*/ 1605989 h 1763910"/>
            <a:gd name="connsiteX11" fmla="*/ 6779125 w 12594589"/>
            <a:gd name="connsiteY11" fmla="*/ 1702375 h 1763910"/>
            <a:gd name="connsiteX12" fmla="*/ 7761357 w 12594589"/>
            <a:gd name="connsiteY12" fmla="*/ 1702375 h 1763910"/>
            <a:gd name="connsiteX13" fmla="*/ 7857743 w 12594589"/>
            <a:gd name="connsiteY13" fmla="*/ 1605989 h 1763910"/>
            <a:gd name="connsiteX14" fmla="*/ 7857743 w 12594589"/>
            <a:gd name="connsiteY14" fmla="*/ 383981 h 1763910"/>
            <a:gd name="connsiteX15" fmla="*/ 7761357 w 12594589"/>
            <a:gd name="connsiteY15" fmla="*/ 287595 h 1763910"/>
            <a:gd name="connsiteX16" fmla="*/ 3176754 w 12594589"/>
            <a:gd name="connsiteY16" fmla="*/ 287595 h 1763910"/>
            <a:gd name="connsiteX17" fmla="*/ 3060700 w 12594589"/>
            <a:gd name="connsiteY17" fmla="*/ 403649 h 1763910"/>
            <a:gd name="connsiteX18" fmla="*/ 3060700 w 12594589"/>
            <a:gd name="connsiteY18" fmla="*/ 1586321 h 1763910"/>
            <a:gd name="connsiteX19" fmla="*/ 3176754 w 12594589"/>
            <a:gd name="connsiteY19" fmla="*/ 1702375 h 1763910"/>
            <a:gd name="connsiteX20" fmla="*/ 6508265 w 12594589"/>
            <a:gd name="connsiteY20" fmla="*/ 1702375 h 1763910"/>
            <a:gd name="connsiteX21" fmla="*/ 6624319 w 12594589"/>
            <a:gd name="connsiteY21" fmla="*/ 1586321 h 1763910"/>
            <a:gd name="connsiteX22" fmla="*/ 6624319 w 12594589"/>
            <a:gd name="connsiteY22" fmla="*/ 403649 h 1763910"/>
            <a:gd name="connsiteX23" fmla="*/ 6508265 w 12594589"/>
            <a:gd name="connsiteY23" fmla="*/ 287595 h 1763910"/>
            <a:gd name="connsiteX24" fmla="*/ 344654 w 12594589"/>
            <a:gd name="connsiteY24" fmla="*/ 287595 h 1763910"/>
            <a:gd name="connsiteX25" fmla="*/ 228600 w 12594589"/>
            <a:gd name="connsiteY25" fmla="*/ 403649 h 1763910"/>
            <a:gd name="connsiteX26" fmla="*/ 228600 w 12594589"/>
            <a:gd name="connsiteY26" fmla="*/ 1586321 h 1763910"/>
            <a:gd name="connsiteX27" fmla="*/ 344654 w 12594589"/>
            <a:gd name="connsiteY27" fmla="*/ 1702375 h 1763910"/>
            <a:gd name="connsiteX28" fmla="*/ 2886226 w 12594589"/>
            <a:gd name="connsiteY28" fmla="*/ 1702375 h 1763910"/>
            <a:gd name="connsiteX29" fmla="*/ 3002280 w 12594589"/>
            <a:gd name="connsiteY29" fmla="*/ 1586321 h 1763910"/>
            <a:gd name="connsiteX30" fmla="*/ 3002280 w 12594589"/>
            <a:gd name="connsiteY30" fmla="*/ 403649 h 1763910"/>
            <a:gd name="connsiteX31" fmla="*/ 2886226 w 12594589"/>
            <a:gd name="connsiteY31" fmla="*/ 287595 h 1763910"/>
            <a:gd name="connsiteX32" fmla="*/ 0 w 12594589"/>
            <a:gd name="connsiteY32" fmla="*/ 0 h 1763910"/>
            <a:gd name="connsiteX33" fmla="*/ 12594589 w 12594589"/>
            <a:gd name="connsiteY33" fmla="*/ 0 h 1763910"/>
            <a:gd name="connsiteX34" fmla="*/ 12594589 w 12594589"/>
            <a:gd name="connsiteY34" fmla="*/ 1763910 h 1763910"/>
            <a:gd name="connsiteX35" fmla="*/ 0 w 12594589"/>
            <a:gd name="connsiteY35" fmla="*/ 1763910 h 17639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12594589" h="1763910">
              <a:moveTo>
                <a:pt x="8032217" y="287595"/>
              </a:moveTo>
              <a:cubicBezTo>
                <a:pt x="7968122" y="287595"/>
                <a:pt x="7916163" y="339554"/>
                <a:pt x="7916163" y="403649"/>
              </a:cubicBezTo>
              <a:lnTo>
                <a:pt x="7916163" y="1586321"/>
              </a:lnTo>
              <a:cubicBezTo>
                <a:pt x="7916163" y="1650416"/>
                <a:pt x="7968122" y="1702375"/>
                <a:pt x="8032217" y="1702375"/>
              </a:cubicBezTo>
              <a:lnTo>
                <a:pt x="12075945" y="1702375"/>
              </a:lnTo>
              <a:cubicBezTo>
                <a:pt x="12140040" y="1702375"/>
                <a:pt x="12191999" y="1650416"/>
                <a:pt x="12191999" y="1586321"/>
              </a:cubicBezTo>
              <a:lnTo>
                <a:pt x="12191999" y="403649"/>
              </a:lnTo>
              <a:cubicBezTo>
                <a:pt x="12191999" y="339554"/>
                <a:pt x="12140040" y="287595"/>
                <a:pt x="12075945" y="287595"/>
              </a:cubicBezTo>
              <a:close/>
              <a:moveTo>
                <a:pt x="6779125" y="287595"/>
              </a:moveTo>
              <a:cubicBezTo>
                <a:pt x="6725892" y="287595"/>
                <a:pt x="6682739" y="330748"/>
                <a:pt x="6682739" y="383981"/>
              </a:cubicBezTo>
              <a:lnTo>
                <a:pt x="6682739" y="1605989"/>
              </a:lnTo>
              <a:cubicBezTo>
                <a:pt x="6682739" y="1659222"/>
                <a:pt x="6725892" y="1702375"/>
                <a:pt x="6779125" y="1702375"/>
              </a:cubicBezTo>
              <a:lnTo>
                <a:pt x="7761357" y="1702375"/>
              </a:lnTo>
              <a:cubicBezTo>
                <a:pt x="7814590" y="1702375"/>
                <a:pt x="7857743" y="1659222"/>
                <a:pt x="7857743" y="1605989"/>
              </a:cubicBezTo>
              <a:lnTo>
                <a:pt x="7857743" y="383981"/>
              </a:lnTo>
              <a:cubicBezTo>
                <a:pt x="7857743" y="330748"/>
                <a:pt x="7814590" y="287595"/>
                <a:pt x="7761357" y="287595"/>
              </a:cubicBezTo>
              <a:close/>
              <a:moveTo>
                <a:pt x="3176754" y="287595"/>
              </a:moveTo>
              <a:cubicBezTo>
                <a:pt x="3112659" y="287595"/>
                <a:pt x="3060700" y="339554"/>
                <a:pt x="3060700" y="403649"/>
              </a:cubicBezTo>
              <a:lnTo>
                <a:pt x="3060700" y="1586321"/>
              </a:lnTo>
              <a:cubicBezTo>
                <a:pt x="3060700" y="1650416"/>
                <a:pt x="3112659" y="1702375"/>
                <a:pt x="3176754" y="1702375"/>
              </a:cubicBezTo>
              <a:lnTo>
                <a:pt x="6508265" y="1702375"/>
              </a:lnTo>
              <a:cubicBezTo>
                <a:pt x="6572360" y="1702375"/>
                <a:pt x="6624319" y="1650416"/>
                <a:pt x="6624319" y="1586321"/>
              </a:cubicBezTo>
              <a:lnTo>
                <a:pt x="6624319" y="403649"/>
              </a:lnTo>
              <a:cubicBezTo>
                <a:pt x="6624319" y="339554"/>
                <a:pt x="6572360" y="287595"/>
                <a:pt x="6508265" y="287595"/>
              </a:cubicBezTo>
              <a:close/>
              <a:moveTo>
                <a:pt x="344654" y="287595"/>
              </a:moveTo>
              <a:cubicBezTo>
                <a:pt x="280559" y="287595"/>
                <a:pt x="228600" y="339554"/>
                <a:pt x="228600" y="403649"/>
              </a:cubicBezTo>
              <a:lnTo>
                <a:pt x="228600" y="1586321"/>
              </a:lnTo>
              <a:cubicBezTo>
                <a:pt x="228600" y="1650416"/>
                <a:pt x="280559" y="1702375"/>
                <a:pt x="344654" y="1702375"/>
              </a:cubicBezTo>
              <a:lnTo>
                <a:pt x="2886226" y="1702375"/>
              </a:lnTo>
              <a:cubicBezTo>
                <a:pt x="2950321" y="1702375"/>
                <a:pt x="3002280" y="1650416"/>
                <a:pt x="3002280" y="1586321"/>
              </a:cubicBezTo>
              <a:lnTo>
                <a:pt x="3002280" y="403649"/>
              </a:lnTo>
              <a:cubicBezTo>
                <a:pt x="3002280" y="339554"/>
                <a:pt x="2950321" y="287595"/>
                <a:pt x="2886226" y="287595"/>
              </a:cubicBezTo>
              <a:close/>
              <a:moveTo>
                <a:pt x="0" y="0"/>
              </a:moveTo>
              <a:lnTo>
                <a:pt x="12594589" y="0"/>
              </a:lnTo>
              <a:lnTo>
                <a:pt x="12594589" y="1763910"/>
              </a:lnTo>
              <a:lnTo>
                <a:pt x="0" y="1763910"/>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25</xdr:col>
      <xdr:colOff>561038</xdr:colOff>
      <xdr:row>0</xdr:row>
      <xdr:rowOff>83051</xdr:rowOff>
    </xdr:from>
    <xdr:to>
      <xdr:col>26</xdr:col>
      <xdr:colOff>5933</xdr:colOff>
      <xdr:row>0</xdr:row>
      <xdr:rowOff>229368</xdr:rowOff>
    </xdr:to>
    <xdr:pic macro="[0]!Maximize">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12505388" y="83051"/>
          <a:ext cx="140220" cy="146317"/>
        </a:xfrm>
        <a:prstGeom prst="rect">
          <a:avLst/>
        </a:prstGeom>
      </xdr:spPr>
    </xdr:pic>
    <xdr:clientData/>
  </xdr:twoCellAnchor>
  <xdr:twoCellAnchor editAs="absolute">
    <xdr:from>
      <xdr:col>25</xdr:col>
      <xdr:colOff>215047</xdr:colOff>
      <xdr:row>0</xdr:row>
      <xdr:rowOff>89534</xdr:rowOff>
    </xdr:from>
    <xdr:to>
      <xdr:col>25</xdr:col>
      <xdr:colOff>357922</xdr:colOff>
      <xdr:row>0</xdr:row>
      <xdr:rowOff>222885</xdr:rowOff>
    </xdr:to>
    <xdr:pic macro="[0]!Minimize">
      <xdr:nvPicPr>
        <xdr:cNvPr id="7" name="Picture 6">
          <a:extLst>
            <a:ext uri="{FF2B5EF4-FFF2-40B4-BE49-F238E27FC236}">
              <a16:creationId xmlns:a16="http://schemas.microsoft.com/office/drawing/2014/main" id="{00000000-0008-0000-0800-000007000000}"/>
            </a:ext>
          </a:extLst>
        </xdr:cNvPr>
        <xdr:cNvPicPr>
          <a:picLocks/>
        </xdr:cNvPicPr>
      </xdr:nvPicPr>
      <xdr:blipFill>
        <a:blip xmlns:r="http://schemas.openxmlformats.org/officeDocument/2006/relationships" r:embed="rId2"/>
        <a:stretch>
          <a:fillRect/>
        </a:stretch>
      </xdr:blipFill>
      <xdr:spPr>
        <a:xfrm>
          <a:off x="12159397" y="89534"/>
          <a:ext cx="142875" cy="13335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24</xdr:col>
          <xdr:colOff>628650</xdr:colOff>
          <xdr:row>0</xdr:row>
          <xdr:rowOff>38100</xdr:rowOff>
        </xdr:from>
        <xdr:to>
          <xdr:col>25</xdr:col>
          <xdr:colOff>11932</xdr:colOff>
          <xdr:row>0</xdr:row>
          <xdr:rowOff>266700</xdr:rowOff>
        </xdr:to>
        <xdr:pic>
          <xdr:nvPicPr>
            <xdr:cNvPr id="10" name="Picture 9">
              <a:hlinkClick xmlns:r="http://schemas.openxmlformats.org/officeDocument/2006/relationships" r:id="rId3" tooltip="Dashboard"/>
              <a:extLst>
                <a:ext uri="{FF2B5EF4-FFF2-40B4-BE49-F238E27FC236}">
                  <a16:creationId xmlns:a16="http://schemas.microsoft.com/office/drawing/2014/main" id="{00000000-0008-0000-0800-00000A000000}"/>
                </a:ext>
              </a:extLst>
            </xdr:cNvPr>
            <xdr:cNvPicPr>
              <a:picLocks noChangeAspect="1" noChangeArrowheads="1"/>
              <a:extLst>
                <a:ext uri="{84589F7E-364E-4C9E-8A38-B11213B215E9}">
                  <a14:cameraTool cellRange="Settings!$M$3:$M$6" spid="_x0000_s245933"/>
                </a:ext>
              </a:extLst>
            </xdr:cNvPicPr>
          </xdr:nvPicPr>
          <xdr:blipFill>
            <a:blip xmlns:r="http://schemas.openxmlformats.org/officeDocument/2006/relationships" r:embed="rId4"/>
            <a:srcRect/>
            <a:stretch>
              <a:fillRect/>
            </a:stretch>
          </xdr:blipFill>
          <xdr:spPr bwMode="auto">
            <a:xfrm>
              <a:off x="11725275" y="38100"/>
              <a:ext cx="231007"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13</xdr:col>
      <xdr:colOff>174625</xdr:colOff>
      <xdr:row>3</xdr:row>
      <xdr:rowOff>9526</xdr:rowOff>
    </xdr:from>
    <xdr:to>
      <xdr:col>15</xdr:col>
      <xdr:colOff>3175</xdr:colOff>
      <xdr:row>11</xdr:row>
      <xdr:rowOff>19050</xdr:rowOff>
    </xdr:to>
    <xdr:sp macro="" textlink="">
      <xdr:nvSpPr>
        <xdr:cNvPr id="2" name="Rectangle 1">
          <a:extLst>
            <a:ext uri="{FF2B5EF4-FFF2-40B4-BE49-F238E27FC236}">
              <a16:creationId xmlns:a16="http://schemas.microsoft.com/office/drawing/2014/main" id="{00000000-0008-0000-0800-000002000000}"/>
            </a:ext>
          </a:extLst>
        </xdr:cNvPr>
        <xdr:cNvSpPr>
          <a:spLocks noChangeAspect="1"/>
        </xdr:cNvSpPr>
      </xdr:nvSpPr>
      <xdr:spPr>
        <a:xfrm>
          <a:off x="6946900" y="381001"/>
          <a:ext cx="1238250" cy="1466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chemeClr val="tx2"/>
              </a:solidFill>
              <a:latin typeface="Arial" panose="020B0604020202020204" pitchFamily="34" charset="0"/>
              <a:cs typeface="Arial" panose="020B0604020202020204" pitchFamily="34" charset="0"/>
            </a:rPr>
            <a:t>OPEN POSITION DATA</a:t>
          </a:r>
        </a:p>
        <a:p>
          <a:pPr algn="l"/>
          <a:endParaRPr lang="en-US" sz="800">
            <a:solidFill>
              <a:srgbClr val="67737F"/>
            </a:solidFill>
            <a:latin typeface="Arial" panose="020B0604020202020204" pitchFamily="34" charset="0"/>
            <a:cs typeface="Arial" panose="020B0604020202020204" pitchFamily="34" charset="0"/>
          </a:endParaRPr>
        </a:p>
        <a:p>
          <a:pPr algn="l"/>
          <a:endParaRPr lang="en-US" sz="800">
            <a:solidFill>
              <a:srgbClr val="67737F"/>
            </a:solidFill>
            <a:latin typeface="Arial" panose="020B0604020202020204" pitchFamily="34" charset="0"/>
            <a:cs typeface="Arial" panose="020B0604020202020204" pitchFamily="34" charset="0"/>
          </a:endParaRPr>
        </a:p>
        <a:p>
          <a:pPr algn="l"/>
          <a:endParaRPr lang="en-US" sz="800">
            <a:solidFill>
              <a:srgbClr val="67737F"/>
            </a:solidFill>
            <a:latin typeface="Arial" panose="020B0604020202020204" pitchFamily="34" charset="0"/>
            <a:cs typeface="Arial" panose="020B0604020202020204" pitchFamily="34" charset="0"/>
          </a:endParaRPr>
        </a:p>
        <a:p>
          <a:pPr algn="l"/>
          <a:endParaRPr lang="en-US" sz="800">
            <a:solidFill>
              <a:srgbClr val="67737F"/>
            </a:solidFill>
            <a:latin typeface="Arial" panose="020B0604020202020204" pitchFamily="34" charset="0"/>
            <a:cs typeface="Arial" panose="020B0604020202020204" pitchFamily="34" charset="0"/>
          </a:endParaRPr>
        </a:p>
        <a:p>
          <a:pPr algn="l"/>
          <a:endParaRPr lang="en-US" sz="800">
            <a:solidFill>
              <a:srgbClr val="67737F"/>
            </a:solidFill>
            <a:latin typeface="Arial" panose="020B0604020202020204" pitchFamily="34" charset="0"/>
            <a:cs typeface="Arial" panose="020B0604020202020204" pitchFamily="34" charset="0"/>
          </a:endParaRPr>
        </a:p>
        <a:p>
          <a:pPr algn="l"/>
          <a:endParaRPr lang="en-US" sz="800">
            <a:solidFill>
              <a:srgbClr val="67737F"/>
            </a:solidFill>
            <a:latin typeface="Arial" panose="020B0604020202020204" pitchFamily="34" charset="0"/>
            <a:cs typeface="Arial" panose="020B0604020202020204" pitchFamily="34" charset="0"/>
          </a:endParaRPr>
        </a:p>
        <a:p>
          <a:pPr algn="l"/>
          <a:endParaRPr lang="en-US" sz="200">
            <a:solidFill>
              <a:srgbClr val="67737F"/>
            </a:solidFill>
            <a:latin typeface="Arial" panose="020B0604020202020204" pitchFamily="34" charset="0"/>
            <a:cs typeface="Arial" panose="020B0604020202020204" pitchFamily="34" charset="0"/>
          </a:endParaRPr>
        </a:p>
        <a:p>
          <a:pPr algn="l"/>
          <a:r>
            <a:rPr lang="en-US" sz="800">
              <a:solidFill>
                <a:schemeClr val="bg2"/>
              </a:solidFill>
              <a:latin typeface="Arial" panose="020B0604020202020204" pitchFamily="34" charset="0"/>
              <a:cs typeface="Arial" panose="020B0604020202020204" pitchFamily="34" charset="0"/>
            </a:rPr>
            <a:t>Click refresh to update the portfolio</a:t>
          </a:r>
          <a:r>
            <a:rPr lang="en-US" sz="800" baseline="0">
              <a:solidFill>
                <a:schemeClr val="bg2"/>
              </a:solidFill>
              <a:latin typeface="Arial" panose="020B0604020202020204" pitchFamily="34" charset="0"/>
              <a:cs typeface="Arial" panose="020B0604020202020204" pitchFamily="34" charset="0"/>
            </a:rPr>
            <a:t> data</a:t>
          </a:r>
          <a:endParaRPr lang="en-US" sz="800">
            <a:solidFill>
              <a:schemeClr val="bg2"/>
            </a:solidFill>
            <a:latin typeface="Arial" panose="020B0604020202020204" pitchFamily="34" charset="0"/>
            <a:cs typeface="Arial" panose="020B0604020202020204" pitchFamily="34" charset="0"/>
          </a:endParaRPr>
        </a:p>
      </xdr:txBody>
    </xdr:sp>
    <xdr:clientData/>
  </xdr:twoCellAnchor>
  <xdr:twoCellAnchor>
    <xdr:from>
      <xdr:col>13</xdr:col>
      <xdr:colOff>285750</xdr:colOff>
      <xdr:row>5</xdr:row>
      <xdr:rowOff>82868</xdr:rowOff>
    </xdr:from>
    <xdr:to>
      <xdr:col>14</xdr:col>
      <xdr:colOff>495300</xdr:colOff>
      <xdr:row>6</xdr:row>
      <xdr:rowOff>80963</xdr:rowOff>
    </xdr:to>
    <xdr:grpSp>
      <xdr:nvGrpSpPr>
        <xdr:cNvPr id="12" name="Group 11">
          <a:extLst>
            <a:ext uri="{FF2B5EF4-FFF2-40B4-BE49-F238E27FC236}">
              <a16:creationId xmlns:a16="http://schemas.microsoft.com/office/drawing/2014/main" id="{00000000-0008-0000-0800-00000C000000}"/>
            </a:ext>
          </a:extLst>
        </xdr:cNvPr>
        <xdr:cNvGrpSpPr/>
      </xdr:nvGrpSpPr>
      <xdr:grpSpPr>
        <a:xfrm>
          <a:off x="7058025" y="911543"/>
          <a:ext cx="914400" cy="226695"/>
          <a:chOff x="6886575" y="2626043"/>
          <a:chExt cx="914400" cy="226695"/>
        </a:xfrm>
      </xdr:grpSpPr>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7534275" y="2647950"/>
            <a:ext cx="182880" cy="182880"/>
          </a:xfrm>
          <a:prstGeom prst="rect">
            <a:avLst/>
          </a:prstGeom>
        </xdr:spPr>
      </xdr:pic>
      <xdr:sp macro="[0]!RefreshTP" textlink="">
        <xdr:nvSpPr>
          <xdr:cNvPr id="9" name="SHOWENTRY">
            <a:extLst>
              <a:ext uri="{FF2B5EF4-FFF2-40B4-BE49-F238E27FC236}">
                <a16:creationId xmlns:a16="http://schemas.microsoft.com/office/drawing/2014/main" id="{00000000-0008-0000-0800-000009000000}"/>
              </a:ext>
            </a:extLst>
          </xdr:cNvPr>
          <xdr:cNvSpPr/>
        </xdr:nvSpPr>
        <xdr:spPr>
          <a:xfrm>
            <a:off x="6886575" y="2626043"/>
            <a:ext cx="914400" cy="226695"/>
          </a:xfrm>
          <a:prstGeom prst="roundRect">
            <a:avLst>
              <a:gd name="adj" fmla="val 50000"/>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REFRESH</a:t>
            </a:r>
          </a:p>
        </xdr:txBody>
      </xdr:sp>
    </xdr:grpSp>
    <xdr:clientData/>
  </xdr:twoCellAnchor>
  <xdr:twoCellAnchor editAs="oneCell">
    <xdr:from>
      <xdr:col>3</xdr:col>
      <xdr:colOff>238125</xdr:colOff>
      <xdr:row>0</xdr:row>
      <xdr:rowOff>76200</xdr:rowOff>
    </xdr:from>
    <xdr:to>
      <xdr:col>4</xdr:col>
      <xdr:colOff>77343</xdr:colOff>
      <xdr:row>0</xdr:row>
      <xdr:rowOff>277368</xdr:rowOff>
    </xdr:to>
    <xdr:pic>
      <xdr:nvPicPr>
        <xdr:cNvPr id="13" name="Picture 12">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66725" y="76200"/>
          <a:ext cx="201168" cy="201168"/>
        </a:xfrm>
        <a:prstGeom prst="rect">
          <a:avLst/>
        </a:prstGeom>
      </xdr:spPr>
    </xdr:pic>
    <xdr:clientData/>
  </xdr:twoCellAnchor>
  <xdr:twoCellAnchor editAs="absolute">
    <xdr:from>
      <xdr:col>4</xdr:col>
      <xdr:colOff>104775</xdr:colOff>
      <xdr:row>0</xdr:row>
      <xdr:rowOff>57150</xdr:rowOff>
    </xdr:from>
    <xdr:to>
      <xdr:col>6</xdr:col>
      <xdr:colOff>373716</xdr:colOff>
      <xdr:row>0</xdr:row>
      <xdr:rowOff>295275</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695325" y="57150"/>
          <a:ext cx="13262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Portfolio</a:t>
          </a:r>
        </a:p>
      </xdr:txBody>
    </xdr:sp>
    <xdr:clientData/>
  </xdr:twoCellAnchor>
  <xdr:twoCellAnchor editAs="absolute">
    <xdr:from>
      <xdr:col>7</xdr:col>
      <xdr:colOff>581025</xdr:colOff>
      <xdr:row>17</xdr:row>
      <xdr:rowOff>85725</xdr:rowOff>
    </xdr:from>
    <xdr:to>
      <xdr:col>21</xdr:col>
      <xdr:colOff>657786</xdr:colOff>
      <xdr:row>26</xdr:row>
      <xdr:rowOff>89648</xdr:rowOff>
    </xdr:to>
    <xdr:sp macro="" textlink="">
      <xdr:nvSpPr>
        <xdr:cNvPr id="5" name="Rectangle 4">
          <a:extLst>
            <a:ext uri="{FF2B5EF4-FFF2-40B4-BE49-F238E27FC236}">
              <a16:creationId xmlns:a16="http://schemas.microsoft.com/office/drawing/2014/main" id="{60E44D9D-7C86-4549-971A-A8DE7F1EFAD7}"/>
            </a:ext>
          </a:extLst>
        </xdr:cNvPr>
        <xdr:cNvSpPr/>
      </xdr:nvSpPr>
      <xdr:spPr>
        <a:xfrm>
          <a:off x="2933700" y="3276600"/>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tx2"/>
              </a:solidFill>
              <a:effectLst/>
              <a:latin typeface="+mn-lt"/>
              <a:ea typeface="+mn-ea"/>
              <a:cs typeface="+mn-cs"/>
            </a:rPr>
            <a:t>Upgrade now! </a:t>
          </a:r>
          <a:r>
            <a:rPr lang="en-US" sz="1800" b="0" i="0">
              <a:solidFill>
                <a:schemeClr val="tx2"/>
              </a:solidFill>
              <a:effectLst/>
              <a:latin typeface="+mn-lt"/>
              <a:ea typeface="+mn-ea"/>
              <a:cs typeface="+mn-cs"/>
            </a:rPr>
            <a:t>Experience the full potential of our Stock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tx2"/>
              </a:solidFill>
              <a:effectLst/>
              <a:latin typeface="+mn-lt"/>
              <a:ea typeface="+mn-ea"/>
              <a:cs typeface="+mn-cs"/>
            </a:rPr>
            <a:t>Visit</a:t>
          </a:r>
          <a:r>
            <a:rPr lang="en-US" sz="1800" b="0" i="0">
              <a:solidFill>
                <a:schemeClr val="lt1"/>
              </a:solidFill>
              <a:effectLst/>
              <a:latin typeface="+mn-lt"/>
              <a:ea typeface="+mn-ea"/>
              <a:cs typeface="+mn-cs"/>
            </a:rPr>
            <a:t> </a:t>
          </a:r>
          <a:r>
            <a:rPr lang="en-US" sz="1800" b="0" i="0" u="sng">
              <a:solidFill>
                <a:schemeClr val="accent1"/>
              </a:solidFill>
              <a:effectLst/>
              <a:latin typeface="+mn-lt"/>
              <a:ea typeface="+mn-ea"/>
              <a:cs typeface="+mn-cs"/>
            </a:rPr>
            <a:t>https://www.rocketsheets.com/product/trading-journal/ </a:t>
          </a:r>
          <a:r>
            <a:rPr lang="en-US" sz="1800" b="0" i="0">
              <a:solidFill>
                <a:schemeClr val="tx2"/>
              </a:solidFill>
              <a:effectLst/>
              <a:latin typeface="+mn-lt"/>
              <a:ea typeface="+mn-ea"/>
              <a:cs typeface="+mn-cs"/>
            </a:rPr>
            <a:t>now to upgrade and maximize your potential. Use code STJ20 at checkout to enjoy a 20% discount.</a:t>
          </a:r>
          <a:endParaRPr lang="en-US" sz="3600">
            <a:solidFill>
              <a:schemeClr val="tx2"/>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023.879762037039" createdVersion="8" refreshedVersion="8" minRefreshableVersion="3" recordCount="3" xr:uid="{7092E10E-9EED-4899-B949-FA7AF14CF936}">
  <cacheSource type="worksheet">
    <worksheetSource name="Table2"/>
  </cacheSource>
  <cacheFields count="1">
    <cacheField name="filter" numFmtId="0">
      <sharedItems count="3">
        <s v="Most Trades"/>
        <s v="Top Symbol"/>
        <s v="Bottom Symbol"/>
      </sharedItems>
    </cacheField>
  </cacheFields>
  <extLst>
    <ext xmlns:x14="http://schemas.microsoft.com/office/spreadsheetml/2009/9/main" uri="{725AE2AE-9491-48be-B2B4-4EB974FC3084}">
      <x14:pivotCacheDefinition pivotCacheId="120313728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r>
  <r>
    <x v="1"/>
  </r>
  <r>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CBCEF3C-9CF6-4205-99CA-5C57E9DA36D1}"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T43" firstHeaderRow="0" firstDataRow="0" firstDataCol="0" rowPageCount="1" colPageCount="1"/>
  <pivotFields count="1">
    <pivotField axis="axisPage" showAll="0">
      <items count="4">
        <item x="2"/>
        <item x="0"/>
        <item x="1"/>
        <item t="default"/>
      </items>
    </pivotField>
  </pivotFields>
  <pageFields count="1">
    <pageField fld="0"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lter" xr10:uid="{B641F50F-85D4-4FA4-AA87-08031F126B25}" sourceName="filter">
  <pivotTables>
    <pivotTable tabId="18" name="PivotTable1"/>
  </pivotTables>
  <data>
    <tabular pivotCacheId="1203137289" sortOrder="descending">
      <items count="3">
        <i x="1"/>
        <i x="0"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xr10:uid="{C5248C3B-AF26-47E3-A8F5-D59FE1BE775A}" cache="Slicer_filter" caption="filter" columnCount="3" showCaption="0" style="SlicerStyleLight1 2 2"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DAC959-5976-4355-9117-F644F48CE740}" name="Table2" displayName="Table2" ref="R46:R49" totalsRowShown="0">
  <autoFilter ref="R46:R49" xr:uid="{3BDAC959-5976-4355-9117-F644F48CE740}"/>
  <sortState xmlns:xlrd2="http://schemas.microsoft.com/office/spreadsheetml/2017/richdata2" ref="R47:R49">
    <sortCondition descending="1" ref="R46:R49"/>
  </sortState>
  <tableColumns count="1">
    <tableColumn id="1" xr3:uid="{09F3A574-E5D5-44DE-B202-61CA509E96F4}" name="filter"/>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C16:Y66" totalsRowShown="0">
  <autoFilter ref="C16:Y66" xr:uid="{00000000-0009-0000-0100-000003000000}"/>
  <sortState xmlns:xlrd2="http://schemas.microsoft.com/office/spreadsheetml/2017/richdata2" ref="C17:Y66">
    <sortCondition ref="C16:C66"/>
  </sortState>
  <tableColumns count="23">
    <tableColumn id="1" xr3:uid="{00000000-0010-0000-0000-000001000000}" name="No." dataDxfId="14">
      <calculatedColumnFormula>IF('Trade Log'!C15=0,"",'Trade Log'!C15)</calculatedColumnFormula>
    </tableColumn>
    <tableColumn id="2" xr3:uid="{00000000-0010-0000-0000-000002000000}" name="Date" dataDxfId="13" dataCellStyle="Normal 2 2">
      <calculatedColumnFormula>IF(('Trade Log'!D15)=0,"",('Trade Log'!D15))</calculatedColumnFormula>
    </tableColumn>
    <tableColumn id="3" xr3:uid="{00000000-0010-0000-0000-000003000000}" name=" Stock Code" dataDxfId="12" dataCellStyle="Normal 2 2">
      <calculatedColumnFormula>'Trade Log'!E15</calculatedColumnFormula>
    </tableColumn>
    <tableColumn id="4" xr3:uid="{00000000-0010-0000-0000-000004000000}" name="Action" dataDxfId="11" dataCellStyle="Normal 2 2">
      <calculatedColumnFormula>'Trade Log'!F15</calculatedColumnFormula>
    </tableColumn>
    <tableColumn id="5" xr3:uid="{00000000-0010-0000-0000-000005000000}" name="Price" dataDxfId="10" dataCellStyle="Comma 2">
      <calculatedColumnFormula>'Trade Log'!G15</calculatedColumnFormula>
    </tableColumn>
    <tableColumn id="6" xr3:uid="{00000000-0010-0000-0000-000006000000}" name="  Total Shares" dataDxfId="9" dataCellStyle="Comma">
      <calculatedColumnFormula>'Trade Log'!H15</calculatedColumnFormula>
    </tableColumn>
    <tableColumn id="7" xr3:uid="{00000000-0010-0000-0000-000007000000}" name="NET AMOUNT" dataDxfId="8">
      <calculatedColumnFormula>'Trade Log'!U15</calculatedColumnFormula>
    </tableColumn>
    <tableColumn id="8" xr3:uid="{00000000-0010-0000-0000-000008000000}" name="Ave.Price" dataDxfId="7">
      <calculatedColumnFormula>'Trade Log'!V15</calculatedColumnFormula>
    </tableColumn>
    <tableColumn id="9" xr3:uid="{00000000-0010-0000-0000-000009000000}" name="Amount" dataDxfId="6">
      <calculatedColumnFormula>'Trade Log'!Z15</calculatedColumnFormula>
    </tableColumn>
    <tableColumn id="10" xr3:uid="{00000000-0010-0000-0000-00000A000000}" name="%" dataDxfId="5" dataCellStyle="Percent 2">
      <calculatedColumnFormula>'Trade Log'!AA15</calculatedColumnFormula>
    </tableColumn>
    <tableColumn id="11" xr3:uid="{00000000-0010-0000-0000-00000B000000}" name="R-Multiple" dataDxfId="4" dataCellStyle="Percent 2">
      <calculatedColumnFormula>'Trade Log'!AC15</calculatedColumnFormula>
    </tableColumn>
    <tableColumn id="12" xr3:uid="{00000000-0010-0000-0000-00000C000000}" name=" SETUP" dataDxfId="3" dataCellStyle="Comma">
      <calculatedColumnFormula>'Trade Log'!AE15</calculatedColumnFormula>
    </tableColumn>
    <tableColumn id="13" xr3:uid="{00000000-0010-0000-0000-00000D000000}" name="REASON FOR BUYING / SELLING" dataDxfId="2" dataCellStyle="Comma 2">
      <calculatedColumnFormula>'Trade Log'!AF15</calculatedColumnFormula>
    </tableColumn>
    <tableColumn id="22" xr3:uid="{00000000-0010-0000-0000-000016000000}" name="month" dataDxfId="1">
      <calculatedColumnFormula>IFERROR(MONTH(D17),"")</calculatedColumnFormula>
    </tableColumn>
    <tableColumn id="23" xr3:uid="{00000000-0010-0000-0000-000017000000}" name="year" dataDxfId="0">
      <calculatedColumnFormula>IFERROR(YEAR(D17),"")</calculatedColumnFormula>
    </tableColumn>
    <tableColumn id="14" xr3:uid="{00000000-0010-0000-0000-00000E000000}" name="Column1" dataDxfId="198" dataCellStyle="Percent 2 2"/>
    <tableColumn id="15" xr3:uid="{00000000-0010-0000-0000-00000F000000}" name="Column2" dataDxfId="197" dataCellStyle="Percent 2 2"/>
    <tableColumn id="16" xr3:uid="{00000000-0010-0000-0000-000010000000}" name="Column3" dataDxfId="196" dataCellStyle="Percent 2 2"/>
    <tableColumn id="17" xr3:uid="{00000000-0010-0000-0000-000011000000}" name="Column4" dataDxfId="195" dataCellStyle="Percent 2 2"/>
    <tableColumn id="18" xr3:uid="{00000000-0010-0000-0000-000012000000}" name="Column5" dataDxfId="194" dataCellStyle="Percent 2 2"/>
    <tableColumn id="19" xr3:uid="{00000000-0010-0000-0000-000013000000}" name="Column6" dataDxfId="193" dataCellStyle="Percent 2 2"/>
    <tableColumn id="20" xr3:uid="{00000000-0010-0000-0000-000014000000}" name="Column7" dataDxfId="192"/>
    <tableColumn id="21" xr3:uid="{00000000-0010-0000-0000-000015000000}" name="Column8"/>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STJ Theme">
      <a:dk1>
        <a:srgbClr val="222A35"/>
      </a:dk1>
      <a:lt1>
        <a:srgbClr val="222A35"/>
      </a:lt1>
      <a:dk2>
        <a:srgbClr val="FFFFFF"/>
      </a:dk2>
      <a:lt2>
        <a:srgbClr val="B3BAC1"/>
      </a:lt2>
      <a:accent1>
        <a:srgbClr val="02C076"/>
      </a:accent1>
      <a:accent2>
        <a:srgbClr val="F84960"/>
      </a:accent2>
      <a:accent3>
        <a:srgbClr val="2B3139"/>
      </a:accent3>
      <a:accent4>
        <a:srgbClr val="181A20"/>
      </a:accent4>
      <a:accent5>
        <a:srgbClr val="1B1D23"/>
      </a:accent5>
      <a:accent6>
        <a:srgbClr val="0F1013"/>
      </a:accent6>
      <a:hlink>
        <a:srgbClr val="84071A"/>
      </a:hlink>
      <a:folHlink>
        <a:srgbClr val="84071A"/>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microsoft.com/office/2007/relationships/slicer" Target="../slicers/slicer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me">
    <tabColor rgb="FFFFFAEB"/>
  </sheetPr>
  <dimension ref="A1:AP71"/>
  <sheetViews>
    <sheetView showGridLines="0" showRowColHeaders="0" zoomScaleNormal="100" workbookViewId="0">
      <selection activeCell="R3" sqref="R3"/>
    </sheetView>
  </sheetViews>
  <sheetFormatPr defaultColWidth="0" defaultRowHeight="15"/>
  <cols>
    <col min="1" max="1" width="9.140625" customWidth="1"/>
    <col min="2" max="2" width="14.85546875" customWidth="1"/>
    <col min="3" max="18" width="9.140625" customWidth="1"/>
    <col min="19" max="19" width="1.28515625" customWidth="1"/>
    <col min="20" max="20" width="9.140625" customWidth="1"/>
    <col min="21" max="21" width="8.85546875" customWidth="1"/>
    <col min="22" max="22" width="100.7109375" customWidth="1"/>
    <col min="23" max="23" width="18.7109375" hidden="1" customWidth="1"/>
    <col min="24" max="25" width="9.140625" hidden="1" customWidth="1"/>
    <col min="26" max="26" width="17.42578125" hidden="1" customWidth="1"/>
    <col min="27" max="40" width="9.140625" hidden="1" customWidth="1"/>
    <col min="41" max="41" width="17.140625" hidden="1" customWidth="1"/>
    <col min="42" max="16384" width="9.140625" hidden="1"/>
  </cols>
  <sheetData>
    <row r="1" spans="3:42" ht="31.5" customHeight="1">
      <c r="C1" s="1"/>
      <c r="D1" s="1"/>
      <c r="E1" s="1"/>
      <c r="F1" s="1"/>
      <c r="G1" s="1"/>
      <c r="H1" s="1"/>
      <c r="I1" s="1"/>
      <c r="J1" s="1"/>
      <c r="K1" s="1"/>
      <c r="L1" s="1"/>
      <c r="M1" s="1"/>
      <c r="N1" s="1"/>
      <c r="O1" s="1"/>
      <c r="P1" s="1"/>
      <c r="Q1" s="1"/>
      <c r="R1" s="290">
        <v>1</v>
      </c>
      <c r="S1" s="1"/>
      <c r="T1" s="1"/>
      <c r="U1" s="1"/>
      <c r="V1" s="1"/>
      <c r="W1" t="s">
        <v>222</v>
      </c>
      <c r="Z1" t="str">
        <f>CLEAN(Y1)</f>
        <v/>
      </c>
      <c r="AP1" t="s">
        <v>573</v>
      </c>
    </row>
    <row r="2" spans="3:42" ht="36" customHeight="1">
      <c r="C2" s="191"/>
      <c r="D2" s="191"/>
      <c r="E2" s="191"/>
      <c r="F2" s="191"/>
      <c r="G2" s="191"/>
      <c r="H2" s="1"/>
      <c r="I2" s="191"/>
      <c r="K2" s="192" t="s">
        <v>120</v>
      </c>
      <c r="L2" s="193"/>
      <c r="M2" s="193"/>
      <c r="N2" s="193"/>
      <c r="O2" s="193"/>
      <c r="P2" s="193"/>
      <c r="Q2" s="193"/>
      <c r="R2" s="191"/>
      <c r="S2" s="1"/>
      <c r="T2" s="191"/>
      <c r="U2" s="191"/>
      <c r="V2" s="1"/>
      <c r="W2" t="s">
        <v>281</v>
      </c>
      <c r="X2" t="s">
        <v>224</v>
      </c>
      <c r="Y2" t="s">
        <v>574</v>
      </c>
      <c r="Z2" s="10">
        <f>IFERROR(IF(Z1="",W3-2,IF(AE6="QR",AO7,W3-2)),W3-2)</f>
        <v>44986</v>
      </c>
    </row>
    <row r="3" spans="3:42" ht="24" customHeight="1">
      <c r="C3" s="191"/>
      <c r="D3" s="191"/>
      <c r="E3" s="191"/>
      <c r="F3" s="191"/>
      <c r="G3" s="191"/>
      <c r="H3" s="191"/>
      <c r="I3" s="194"/>
      <c r="J3" s="195"/>
      <c r="K3" s="196" t="s">
        <v>68</v>
      </c>
      <c r="L3" s="195"/>
      <c r="M3" s="195"/>
      <c r="N3" s="193"/>
      <c r="O3" s="193"/>
      <c r="P3" s="193"/>
      <c r="Q3" s="193"/>
      <c r="R3" s="191"/>
      <c r="S3" s="197" t="s">
        <v>718</v>
      </c>
      <c r="T3" s="191"/>
      <c r="U3" s="191"/>
      <c r="V3" s="1"/>
      <c r="W3" s="10">
        <v>44988</v>
      </c>
      <c r="Z3" t="str">
        <f>IF(AA3="","Rocketsheets",AA3)</f>
        <v>Rocketsheets</v>
      </c>
      <c r="AA3" t="str">
        <f>PROPER(TRIM(CONCATENATE(AJ15,AJ16,AJ17,AJ18,AJ19,AJ20,AJ21,AJ22,AJ23,AJ24,AJ25,AJ26,AJ27,AJ28,AJ29,AJ30,AJ31,AJ32,AJ33,AJ34,AJ35,AJ36,AJ37,AJ38,AJ39,AJ40,AJ41,AJ42,AJ43,AJ44,AJ45,AJ46,AJ47,AJ48,AJ49,AJ50,AJ51,AJ52,AJ53,AJ54)))</f>
        <v/>
      </c>
      <c r="AD3" t="s">
        <v>609</v>
      </c>
      <c r="AE3" t="str">
        <f>AB7</f>
        <v/>
      </c>
      <c r="AF3">
        <f>LEN(AE3)</f>
        <v>0</v>
      </c>
      <c r="AO3">
        <v>0</v>
      </c>
    </row>
    <row r="4" spans="3:42" ht="16.5" customHeight="1">
      <c r="C4" s="198"/>
      <c r="D4" s="198"/>
      <c r="E4" s="198"/>
      <c r="F4" s="198"/>
      <c r="G4" s="198"/>
      <c r="H4" s="1"/>
      <c r="I4" s="198"/>
      <c r="K4" s="198"/>
      <c r="L4" s="198"/>
      <c r="M4" s="198"/>
      <c r="N4" s="198"/>
      <c r="O4" s="198"/>
      <c r="P4" s="198"/>
      <c r="Q4" s="198"/>
      <c r="R4" s="198"/>
      <c r="S4" s="199" t="str">
        <f>"Registered to "&amp;'Trade Log'!$F$3</f>
        <v>Registered to Rocketsheets</v>
      </c>
      <c r="T4" s="198"/>
      <c r="U4" s="198"/>
      <c r="V4" s="1"/>
      <c r="W4" s="10">
        <v>44986</v>
      </c>
      <c r="AO4">
        <f ca="1">VALUE($AN$15&amp;$AN$16&amp;"/"&amp;$AN$17&amp;$AN$18&amp;"/"&amp;$AN$19&amp;$AN$20)</f>
        <v>45241</v>
      </c>
      <c r="AP4" t="s">
        <v>449</v>
      </c>
    </row>
    <row r="5" spans="3:42" ht="22.5">
      <c r="C5" s="200"/>
      <c r="D5" s="200"/>
      <c r="E5" s="200"/>
      <c r="F5" s="200"/>
      <c r="G5" s="200"/>
      <c r="H5" s="200"/>
      <c r="I5" s="200"/>
      <c r="J5" s="200"/>
      <c r="K5" s="200"/>
      <c r="L5" s="200"/>
      <c r="M5" s="200"/>
      <c r="N5" s="200"/>
      <c r="O5" s="200"/>
      <c r="P5" s="200"/>
      <c r="Q5" s="200"/>
      <c r="R5" s="200"/>
      <c r="S5" s="200"/>
      <c r="T5" s="200"/>
      <c r="U5" s="200"/>
      <c r="V5" s="1"/>
      <c r="AD5" t="s">
        <v>354</v>
      </c>
      <c r="AE5">
        <f>Form!G7</f>
        <v>0</v>
      </c>
      <c r="AO5">
        <f ca="1">VALUE($AN$17&amp;$AN$18&amp;"/"&amp;$AN$15&amp;$AN$16&amp;"/"&amp;$AN$19&amp;$AN$20)</f>
        <v>45241</v>
      </c>
      <c r="AP5" t="s">
        <v>450</v>
      </c>
    </row>
    <row r="6" spans="3:42" ht="19.5" customHeight="1">
      <c r="C6" s="1"/>
      <c r="D6" s="201"/>
      <c r="E6" s="201"/>
      <c r="F6" s="201"/>
      <c r="G6" s="201"/>
      <c r="H6" s="201"/>
      <c r="I6" s="201"/>
      <c r="J6" s="201"/>
      <c r="K6" s="201"/>
      <c r="L6" s="201"/>
      <c r="M6" s="201"/>
      <c r="N6" s="201"/>
      <c r="O6" s="201"/>
      <c r="P6" s="201"/>
      <c r="Q6" s="201"/>
      <c r="R6" s="201"/>
      <c r="S6" s="201"/>
      <c r="T6" s="1"/>
      <c r="U6" s="202"/>
      <c r="V6" s="1"/>
      <c r="W6">
        <v>1</v>
      </c>
      <c r="Y6" t="s">
        <v>611</v>
      </c>
      <c r="Z6" s="10"/>
      <c r="AD6" t="s">
        <v>610</v>
      </c>
      <c r="AE6" t="str">
        <f>AG9&amp;AH9</f>
        <v>00</v>
      </c>
      <c r="AO6" t="e">
        <f ca="1">VALUE(AN19&amp;AN20&amp;"/"&amp;AN15&amp;AN16&amp;"/"&amp;AN17&amp;AN18)</f>
        <v>#VALUE!</v>
      </c>
      <c r="AP6" t="s">
        <v>451</v>
      </c>
    </row>
    <row r="7" spans="3:42" ht="3.75" customHeight="1">
      <c r="C7" s="1"/>
      <c r="D7" s="1"/>
      <c r="E7" s="1"/>
      <c r="F7" s="1"/>
      <c r="G7" s="1"/>
      <c r="H7" s="1"/>
      <c r="I7" s="1"/>
      <c r="J7" s="1"/>
      <c r="K7" s="1"/>
      <c r="L7" s="1"/>
      <c r="M7" s="1"/>
      <c r="N7" s="1"/>
      <c r="O7" s="1"/>
      <c r="P7" s="1"/>
      <c r="Q7" s="1"/>
      <c r="R7" s="1"/>
      <c r="S7" s="1"/>
      <c r="T7" s="1"/>
      <c r="U7" s="1"/>
      <c r="V7" s="1"/>
      <c r="W7">
        <v>2</v>
      </c>
      <c r="Y7" t="s">
        <v>607</v>
      </c>
      <c r="Z7" s="34" t="str">
        <f>IF(Form!G5=0,"",Form!G5)</f>
        <v/>
      </c>
      <c r="AA7">
        <f>LEN(Z7)</f>
        <v>0</v>
      </c>
      <c r="AB7" s="167" t="str">
        <f>TRIM(Z16&amp;Z17&amp;Z18&amp;Z19&amp;Z20&amp;Z21&amp;Z22&amp;Z23&amp;Z24&amp;Z25&amp;Z26&amp;Z27&amp;Z28&amp;Z29&amp;Z30&amp;Z31&amp;Z32&amp;Z33&amp;Z34&amp;Z35&amp;Z36&amp;Z37&amp;Z38&amp;Z39&amp;Z40&amp;Z41&amp;Z42&amp;Z43&amp;Z44&amp;Z45&amp;Z46&amp;Z47&amp;Z48&amp;Z49&amp;Z50&amp;Z51&amp;Z52&amp;Z53&amp;Z54&amp;Z55)</f>
        <v/>
      </c>
      <c r="AO7">
        <f ca="1">IF(AO3=0,AO4,IF(AO3=1,AO5,AO6))</f>
        <v>45241</v>
      </c>
    </row>
    <row r="8" spans="3:42" ht="3.75" customHeight="1">
      <c r="C8" s="1"/>
      <c r="D8" s="1"/>
      <c r="E8" s="1"/>
      <c r="F8" s="1"/>
      <c r="G8" s="1"/>
      <c r="H8" s="1"/>
      <c r="I8" s="1"/>
      <c r="J8" s="1"/>
      <c r="K8" s="1"/>
      <c r="L8" s="1"/>
      <c r="M8" s="1"/>
      <c r="N8" s="1"/>
      <c r="O8" s="1"/>
      <c r="P8" s="1"/>
      <c r="Q8" s="1"/>
      <c r="R8" s="1"/>
      <c r="S8" s="1"/>
      <c r="T8" s="1"/>
      <c r="U8" s="1"/>
      <c r="V8" s="1"/>
      <c r="W8" t="s">
        <v>223</v>
      </c>
    </row>
    <row r="9" spans="3:42" ht="3.75" customHeight="1">
      <c r="C9" s="1"/>
      <c r="D9" s="1"/>
      <c r="E9" s="1"/>
      <c r="F9" s="1"/>
      <c r="G9" s="1"/>
      <c r="H9" s="1"/>
      <c r="I9" s="1"/>
      <c r="J9" s="1"/>
      <c r="K9" s="1"/>
      <c r="L9" s="1"/>
      <c r="M9" s="1"/>
      <c r="N9" s="1"/>
      <c r="O9" s="1"/>
      <c r="P9" s="1"/>
      <c r="Q9" s="1"/>
      <c r="R9" s="1"/>
      <c r="S9" s="1"/>
      <c r="T9" s="1"/>
      <c r="U9" s="1"/>
      <c r="V9" s="1"/>
      <c r="Y9" t="str">
        <f>AB7&amp;AE5</f>
        <v>0</v>
      </c>
      <c r="AA9" s="162"/>
      <c r="AB9" s="163" t="str">
        <f>RIGHT(LEFT(AE5,2),1)</f>
        <v>0</v>
      </c>
      <c r="AC9" s="163" t="str">
        <f>RIGHT(LEFT(AE5,5),1)</f>
        <v>0</v>
      </c>
      <c r="AD9" s="164" t="str">
        <f>INDEX($AF$15:$AF$54,MATCH($AB$9,$AC$15:$AC$54,0))</f>
        <v>1</v>
      </c>
      <c r="AE9" s="164" t="str">
        <f>INDEX($AF$15:$AF$54,MATCH($AC$9,$AC$15:$AC$54,0))</f>
        <v>1</v>
      </c>
      <c r="AG9" s="165" t="str">
        <f>LEFT(AE5,1)</f>
        <v>0</v>
      </c>
      <c r="AH9" s="165" t="str">
        <f>RIGHT(AE5,1)</f>
        <v>0</v>
      </c>
    </row>
    <row r="10" spans="3:42" ht="3.75" customHeight="1">
      <c r="C10" s="1"/>
      <c r="D10" s="1"/>
      <c r="E10" s="1"/>
      <c r="F10" s="1"/>
      <c r="G10" s="1"/>
      <c r="H10" s="1"/>
      <c r="I10" s="1"/>
      <c r="J10" s="1"/>
      <c r="K10" s="1"/>
      <c r="L10" s="1"/>
      <c r="M10" s="1"/>
      <c r="N10" s="1"/>
      <c r="O10" s="1"/>
      <c r="P10" s="1"/>
      <c r="Q10" s="1"/>
      <c r="R10" s="1"/>
      <c r="S10" s="1"/>
      <c r="T10" s="1"/>
      <c r="U10" s="1"/>
      <c r="V10" s="1"/>
      <c r="W10" t="str">
        <f>IF(W6="","Please Enable Macro",IF(X10=1,"Please Enable Macro",IF(W6=1,IF(AND(W6=1,OR(W7="",W7=1)),"Registration Error!","Welcome!"),"Welcome!")))</f>
        <v>Welcome!</v>
      </c>
      <c r="X10">
        <v>0</v>
      </c>
      <c r="AA10" s="163">
        <f ca="1">YEAR(TODAY())</f>
        <v>2023</v>
      </c>
      <c r="AB10" s="163" t="str">
        <f>RIGHT(LEFT(AE5,4),1)</f>
        <v>0</v>
      </c>
      <c r="AC10" s="163" t="str">
        <f>RIGHT(LEFT(AE5,3),1)</f>
        <v>0</v>
      </c>
      <c r="AD10" s="164" t="str">
        <f>INDEX($AF$15:$AF$54,MATCH($AB$10,$AC$15:$AC$54,0))</f>
        <v>1</v>
      </c>
      <c r="AE10" s="164" t="str">
        <f>INDEX($AF$15:$AF$54,MATCH($AC$10,$AC$15:$AC$54,0))</f>
        <v>1</v>
      </c>
      <c r="AG10" s="166" t="str">
        <f>INDEX($AF$15:$AF$54,MATCH($AG$9,$AC$15:$AC$54,0))</f>
        <v>1</v>
      </c>
      <c r="AH10" s="166" t="str">
        <f>INDEX($AF$15:$AF$54,MATCH($AH$9,$AC$15:$AC$54,0))</f>
        <v>1</v>
      </c>
    </row>
    <row r="11" spans="3:42" ht="3.75" customHeight="1">
      <c r="C11" s="1"/>
      <c r="D11" s="1"/>
      <c r="E11" s="1"/>
      <c r="F11" s="1"/>
      <c r="G11" s="1"/>
      <c r="H11" s="1"/>
      <c r="I11" s="1"/>
      <c r="J11" s="1"/>
      <c r="K11" s="1"/>
      <c r="L11" s="1"/>
      <c r="M11" s="1"/>
      <c r="N11" s="1"/>
      <c r="O11" s="1"/>
      <c r="P11" s="1"/>
      <c r="Q11" s="1"/>
      <c r="R11" s="1"/>
      <c r="S11" s="1"/>
      <c r="T11" s="1"/>
      <c r="U11" s="1"/>
      <c r="V11" s="1"/>
      <c r="W11" t="str">
        <f>IF(W10="registration error!","Registered to "&amp;'Trade Log'!$F$3&amp;". Please contact AAES if you received this error.",IF(W10="Please Enable Macro","All sheet calculations are based on macro, scroll down for tutorial.","Successfully "&amp;S4&amp;"."))</f>
        <v>Successfully Registered to Rocketsheets.</v>
      </c>
      <c r="AA11" s="163" t="str">
        <f ca="1">RIGHT(AA10,2)</f>
        <v>23</v>
      </c>
      <c r="AB11" s="163" t="str">
        <f ca="1">LEFT(AA11,1)</f>
        <v>2</v>
      </c>
      <c r="AC11" s="163" t="str">
        <f ca="1">RIGHT(AA11,1)</f>
        <v>3</v>
      </c>
      <c r="AD11" s="164" t="str">
        <f ca="1">AB11</f>
        <v>2</v>
      </c>
      <c r="AE11" s="164" t="str">
        <f ca="1">AC11</f>
        <v>3</v>
      </c>
    </row>
    <row r="12" spans="3:42" ht="57" customHeight="1">
      <c r="C12" s="1022" t="str">
        <f>W10</f>
        <v>Welcome!</v>
      </c>
      <c r="D12" s="1022"/>
      <c r="E12" s="1022"/>
      <c r="F12" s="1022"/>
      <c r="G12" s="1022"/>
      <c r="H12" s="1022"/>
      <c r="I12" s="1022"/>
      <c r="J12" s="1022"/>
      <c r="K12" s="1022"/>
      <c r="L12" s="1022"/>
      <c r="M12" s="1022"/>
      <c r="N12" s="1022"/>
      <c r="O12" s="1022"/>
      <c r="P12" s="1022"/>
      <c r="Q12" s="1022"/>
      <c r="R12" s="1022"/>
      <c r="S12" s="31"/>
      <c r="T12" s="31"/>
      <c r="U12" s="31"/>
      <c r="V12" s="1"/>
    </row>
    <row r="13" spans="3:42" ht="21.95" customHeight="1">
      <c r="C13" s="7"/>
      <c r="D13" s="1023" t="str">
        <f>W11</f>
        <v>Successfully Registered to Rocketsheets.</v>
      </c>
      <c r="E13" s="1023"/>
      <c r="F13" s="1023"/>
      <c r="G13" s="1023"/>
      <c r="H13" s="1023"/>
      <c r="I13" s="1023"/>
      <c r="J13" s="1023"/>
      <c r="K13" s="1023"/>
      <c r="L13" s="1023"/>
      <c r="M13" s="1023"/>
      <c r="N13" s="1023"/>
      <c r="O13" s="1023"/>
      <c r="P13" s="1023"/>
      <c r="Q13" s="1023"/>
      <c r="R13" s="7"/>
      <c r="S13" s="7"/>
      <c r="T13" s="7"/>
      <c r="U13" s="7"/>
      <c r="V13" s="1"/>
    </row>
    <row r="14" spans="3:42" ht="16.5">
      <c r="C14" s="1"/>
      <c r="D14" s="1"/>
      <c r="E14" s="1"/>
      <c r="F14" s="1"/>
      <c r="G14" s="1"/>
      <c r="H14" s="1"/>
      <c r="I14" s="1"/>
      <c r="J14" s="1"/>
      <c r="K14" s="1"/>
      <c r="L14" s="1"/>
      <c r="M14" s="1"/>
      <c r="N14" s="1"/>
      <c r="O14" s="1"/>
      <c r="P14" s="1"/>
      <c r="Q14" s="1"/>
      <c r="R14" s="1"/>
      <c r="S14" s="1"/>
      <c r="T14" s="1"/>
      <c r="U14" s="1"/>
      <c r="V14" s="1"/>
      <c r="AC14" t="s">
        <v>612</v>
      </c>
      <c r="AM14" t="s">
        <v>354</v>
      </c>
      <c r="AN14" t="s">
        <v>354</v>
      </c>
    </row>
    <row r="15" spans="3:42" ht="16.5">
      <c r="C15" s="1"/>
      <c r="D15" s="2" t="s">
        <v>109</v>
      </c>
      <c r="E15" s="1"/>
      <c r="F15" s="1"/>
      <c r="G15" s="1"/>
      <c r="H15" s="1"/>
      <c r="I15" s="1"/>
      <c r="J15" s="1"/>
      <c r="K15" s="1"/>
      <c r="L15" s="1"/>
      <c r="M15" s="1"/>
      <c r="N15" s="950" t="s">
        <v>719</v>
      </c>
      <c r="O15" s="1"/>
      <c r="P15" s="1"/>
      <c r="Q15" s="1"/>
      <c r="R15" s="1"/>
      <c r="S15" s="1"/>
      <c r="T15" s="1"/>
      <c r="U15" s="1"/>
      <c r="V15" s="1"/>
      <c r="Y15" t="s">
        <v>607</v>
      </c>
      <c r="Z15" t="s">
        <v>608</v>
      </c>
      <c r="AC15" t="s">
        <v>343</v>
      </c>
      <c r="AD15" t="s">
        <v>175</v>
      </c>
      <c r="AF15" t="s">
        <v>321</v>
      </c>
      <c r="AG15" t="str">
        <f>AD15</f>
        <v>AR</v>
      </c>
      <c r="AH15">
        <v>2</v>
      </c>
      <c r="AI15" t="str">
        <f>IF(AH15&gt;$AF$3,"",RIGHT(LEFT($AE$3,AH15),2))</f>
        <v/>
      </c>
      <c r="AJ15" t="str">
        <f>IFERROR(INDEX($AF$15:$AF$56,MATCH(AI15,$AG$15:$AG$56,0)),"")</f>
        <v/>
      </c>
      <c r="AM15" t="str">
        <f>RIGHT(LEFT($AE$5,AH17),2)</f>
        <v>0</v>
      </c>
      <c r="AN15" t="str">
        <f>AD9</f>
        <v>1</v>
      </c>
      <c r="AO15" t="s">
        <v>452</v>
      </c>
    </row>
    <row r="16" spans="3:42" ht="16.5">
      <c r="C16" s="1"/>
      <c r="D16" s="1"/>
      <c r="E16" s="1"/>
      <c r="F16" s="1"/>
      <c r="G16" s="1"/>
      <c r="H16" s="1"/>
      <c r="I16" s="1"/>
      <c r="J16" s="1"/>
      <c r="K16" s="1"/>
      <c r="L16" s="1"/>
      <c r="M16" s="1"/>
      <c r="N16" s="950" t="s">
        <v>720</v>
      </c>
      <c r="O16" s="1"/>
      <c r="P16" s="1"/>
      <c r="Q16" s="1"/>
      <c r="R16" s="1"/>
      <c r="S16" s="1"/>
      <c r="T16" s="1"/>
      <c r="U16" s="1"/>
      <c r="V16" s="1"/>
      <c r="X16">
        <v>1</v>
      </c>
      <c r="Y16" t="str">
        <f>IF(X16&gt;$AA$7,"",RIGHT(LEFT($Z$7,X16),1))</f>
        <v/>
      </c>
      <c r="Z16" t="str">
        <f t="shared" ref="Z16:Z55" si="0">IFERROR(INDEX($AG$15:$AG$56,MATCH(Y16,$AF$15:$AF$56,)),"")</f>
        <v/>
      </c>
      <c r="AC16" t="s">
        <v>325</v>
      </c>
      <c r="AD16" t="s">
        <v>282</v>
      </c>
      <c r="AF16" t="s">
        <v>322</v>
      </c>
      <c r="AG16" t="str">
        <f t="shared" ref="AG16:AG56" si="1">AD16</f>
        <v>R4</v>
      </c>
      <c r="AH16">
        <v>4</v>
      </c>
      <c r="AI16" t="str">
        <f t="shared" ref="AI16:AI54" si="2">IF(AH16&gt;$AF$3,"",RIGHT(LEFT($AE$3,AH16),2))</f>
        <v/>
      </c>
      <c r="AJ16" t="str">
        <f t="shared" ref="AJ16:AJ55" si="3">IFERROR(INDEX($AF$15:$AF$56,MATCH(AI16,$AG$15:$AG$56,0)),"")</f>
        <v/>
      </c>
      <c r="AM16" t="str">
        <f>RIGHT(LEFT($AE$5,AH18),2)</f>
        <v>0</v>
      </c>
      <c r="AN16" t="str">
        <f>AE9</f>
        <v>1</v>
      </c>
      <c r="AO16" t="s">
        <v>452</v>
      </c>
    </row>
    <row r="17" spans="3:41" ht="18.75">
      <c r="C17" s="1"/>
      <c r="D17" s="953" t="s">
        <v>69</v>
      </c>
      <c r="E17" s="1"/>
      <c r="F17" s="1"/>
      <c r="G17" s="1"/>
      <c r="H17" s="21"/>
      <c r="I17" s="1"/>
      <c r="J17" s="1"/>
      <c r="K17" s="1"/>
      <c r="L17" s="1"/>
      <c r="M17" s="5"/>
      <c r="N17" s="950" t="s">
        <v>721</v>
      </c>
      <c r="O17" s="5"/>
      <c r="P17" s="5"/>
      <c r="Q17" s="5"/>
      <c r="R17" s="5"/>
      <c r="S17" s="5"/>
      <c r="T17" s="3"/>
      <c r="U17" s="1"/>
      <c r="V17" s="1"/>
      <c r="X17">
        <v>2</v>
      </c>
      <c r="Y17" t="str">
        <f t="shared" ref="Y17:Y55" si="4">IF(X17&gt;$AA$7,"",RIGHT(LEFT($Z$7,X17),1))</f>
        <v/>
      </c>
      <c r="Z17" t="str">
        <f t="shared" si="0"/>
        <v/>
      </c>
      <c r="AC17" t="s">
        <v>345</v>
      </c>
      <c r="AD17" t="s">
        <v>283</v>
      </c>
      <c r="AF17" t="s">
        <v>166</v>
      </c>
      <c r="AG17" t="str">
        <f t="shared" si="1"/>
        <v>HM</v>
      </c>
      <c r="AH17">
        <v>6</v>
      </c>
      <c r="AI17" t="str">
        <f t="shared" si="2"/>
        <v/>
      </c>
      <c r="AJ17" t="str">
        <f t="shared" si="3"/>
        <v/>
      </c>
      <c r="AM17" t="str">
        <f>RIGHT(LEFT($AE$5,AH19),2)</f>
        <v>0</v>
      </c>
      <c r="AN17" t="str">
        <f>AD10</f>
        <v>1</v>
      </c>
      <c r="AO17" t="s">
        <v>453</v>
      </c>
    </row>
    <row r="18" spans="3:41" ht="16.5">
      <c r="C18" s="1"/>
      <c r="D18" s="1"/>
      <c r="E18" s="1"/>
      <c r="F18" s="1"/>
      <c r="G18" s="1"/>
      <c r="H18" s="1"/>
      <c r="I18" s="1"/>
      <c r="J18" s="1"/>
      <c r="K18" s="1"/>
      <c r="L18" s="4"/>
      <c r="M18" s="1"/>
      <c r="N18" s="950" t="s">
        <v>722</v>
      </c>
      <c r="O18" s="1"/>
      <c r="P18" s="1"/>
      <c r="Q18" s="1"/>
      <c r="R18" s="1"/>
      <c r="S18" s="1"/>
      <c r="T18" s="5"/>
      <c r="U18" s="1"/>
      <c r="V18" s="1"/>
      <c r="X18">
        <v>3</v>
      </c>
      <c r="Y18" t="str">
        <f t="shared" si="4"/>
        <v/>
      </c>
      <c r="Z18" t="str">
        <f t="shared" si="0"/>
        <v/>
      </c>
      <c r="AC18" t="s">
        <v>326</v>
      </c>
      <c r="AD18" t="s">
        <v>284</v>
      </c>
      <c r="AF18" t="s">
        <v>323</v>
      </c>
      <c r="AG18" t="str">
        <f t="shared" si="1"/>
        <v>4A</v>
      </c>
      <c r="AH18">
        <v>8</v>
      </c>
      <c r="AI18" t="str">
        <f t="shared" si="2"/>
        <v/>
      </c>
      <c r="AJ18" t="str">
        <f t="shared" si="3"/>
        <v/>
      </c>
      <c r="AM18" t="str">
        <f>RIGHT(LEFT($AE$5,AH20),2)</f>
        <v>0</v>
      </c>
      <c r="AN18" t="str">
        <f>AE10</f>
        <v>1</v>
      </c>
      <c r="AO18" t="s">
        <v>453</v>
      </c>
    </row>
    <row r="19" spans="3:41" ht="16.5">
      <c r="C19" s="1"/>
      <c r="D19" s="954" t="s">
        <v>723</v>
      </c>
      <c r="E19" s="1"/>
      <c r="F19" s="1"/>
      <c r="G19" s="1"/>
      <c r="H19" s="1"/>
      <c r="I19" s="1"/>
      <c r="J19" s="1"/>
      <c r="K19" s="1"/>
      <c r="L19" s="4"/>
      <c r="M19" s="1"/>
      <c r="N19" s="1"/>
      <c r="O19" s="1"/>
      <c r="P19" s="1"/>
      <c r="Q19" s="1"/>
      <c r="R19" s="1"/>
      <c r="S19" s="1"/>
      <c r="T19" s="5"/>
      <c r="U19" s="1"/>
      <c r="V19" s="1"/>
      <c r="X19">
        <v>4</v>
      </c>
      <c r="Y19" t="str">
        <f t="shared" si="4"/>
        <v/>
      </c>
      <c r="Z19" t="str">
        <f t="shared" si="0"/>
        <v/>
      </c>
      <c r="AC19" t="s">
        <v>347</v>
      </c>
      <c r="AD19" t="s">
        <v>285</v>
      </c>
      <c r="AF19" t="s">
        <v>324</v>
      </c>
      <c r="AG19" t="str">
        <f t="shared" si="1"/>
        <v>N4</v>
      </c>
      <c r="AH19">
        <v>10</v>
      </c>
      <c r="AI19" t="str">
        <f t="shared" si="2"/>
        <v/>
      </c>
      <c r="AJ19" t="str">
        <f t="shared" si="3"/>
        <v/>
      </c>
      <c r="AM19" t="str">
        <f>RIGHT(LEFT($AE$5,AH15),2)</f>
        <v>0</v>
      </c>
      <c r="AN19" t="str">
        <f ca="1">AD11</f>
        <v>2</v>
      </c>
      <c r="AO19" t="s">
        <v>454</v>
      </c>
    </row>
    <row r="20" spans="3:41" ht="16.5">
      <c r="C20" s="1"/>
      <c r="D20" s="955"/>
      <c r="E20" s="1"/>
      <c r="F20" s="1"/>
      <c r="G20" s="1"/>
      <c r="H20" s="1"/>
      <c r="I20" s="1"/>
      <c r="J20" s="1"/>
      <c r="K20" s="1"/>
      <c r="L20" s="4"/>
      <c r="M20" s="22"/>
      <c r="N20" s="28" t="s">
        <v>277</v>
      </c>
      <c r="O20" s="22"/>
      <c r="P20" s="22"/>
      <c r="Q20" s="22"/>
      <c r="R20" s="22"/>
      <c r="S20" s="22"/>
      <c r="T20" s="5"/>
      <c r="U20" s="1"/>
      <c r="V20" s="1"/>
      <c r="X20">
        <v>5</v>
      </c>
      <c r="Y20" t="str">
        <f t="shared" si="4"/>
        <v/>
      </c>
      <c r="Z20" t="str">
        <f t="shared" si="0"/>
        <v/>
      </c>
      <c r="AC20" t="s">
        <v>327</v>
      </c>
      <c r="AD20" t="s">
        <v>286</v>
      </c>
      <c r="AF20" t="s">
        <v>325</v>
      </c>
      <c r="AG20" t="str">
        <f t="shared" si="1"/>
        <v>RR</v>
      </c>
      <c r="AH20">
        <v>12</v>
      </c>
      <c r="AI20" t="str">
        <f t="shared" si="2"/>
        <v/>
      </c>
      <c r="AJ20" t="str">
        <f t="shared" si="3"/>
        <v/>
      </c>
      <c r="AM20" t="str">
        <f>RIGHT(LEFT($AE$5,AH16),2)</f>
        <v>0</v>
      </c>
      <c r="AN20" t="str">
        <f ca="1">AE11</f>
        <v>3</v>
      </c>
      <c r="AO20" t="s">
        <v>454</v>
      </c>
    </row>
    <row r="21" spans="3:41" ht="16.5">
      <c r="C21" s="1"/>
      <c r="D21" s="956" t="s">
        <v>724</v>
      </c>
      <c r="E21" s="1"/>
      <c r="F21" s="1"/>
      <c r="G21" s="1"/>
      <c r="H21" s="1"/>
      <c r="I21" s="1"/>
      <c r="J21" s="1"/>
      <c r="K21" s="1"/>
      <c r="L21" s="4"/>
      <c r="M21" s="23"/>
      <c r="N21" s="951" t="s">
        <v>278</v>
      </c>
      <c r="O21" s="23"/>
      <c r="P21" s="23"/>
      <c r="Q21" s="23"/>
      <c r="R21" s="23"/>
      <c r="S21" s="23"/>
      <c r="T21" s="5"/>
      <c r="U21" s="1"/>
      <c r="V21" s="1"/>
      <c r="X21">
        <v>6</v>
      </c>
      <c r="Y21" t="str">
        <f t="shared" si="4"/>
        <v/>
      </c>
      <c r="Z21" t="str">
        <f t="shared" si="0"/>
        <v/>
      </c>
      <c r="AC21" t="s">
        <v>349</v>
      </c>
      <c r="AD21" t="s">
        <v>287</v>
      </c>
      <c r="AF21" t="s">
        <v>326</v>
      </c>
      <c r="AG21" t="str">
        <f t="shared" si="1"/>
        <v>H3</v>
      </c>
      <c r="AH21">
        <v>14</v>
      </c>
      <c r="AI21" t="str">
        <f t="shared" si="2"/>
        <v/>
      </c>
      <c r="AJ21" t="str">
        <f t="shared" si="3"/>
        <v/>
      </c>
    </row>
    <row r="22" spans="3:41" ht="30.75" customHeight="1">
      <c r="C22" s="1"/>
      <c r="D22" s="956" t="s">
        <v>725</v>
      </c>
      <c r="E22" s="1"/>
      <c r="F22" s="1"/>
      <c r="G22" s="1"/>
      <c r="H22" s="1"/>
      <c r="I22" s="1"/>
      <c r="J22" s="1"/>
      <c r="K22" s="1"/>
      <c r="L22" s="4"/>
      <c r="M22" s="1"/>
      <c r="N22" s="952" t="s">
        <v>279</v>
      </c>
      <c r="O22" s="1"/>
      <c r="P22" s="1"/>
      <c r="Q22" s="1"/>
      <c r="R22" s="1"/>
      <c r="S22" s="1"/>
      <c r="T22" s="1"/>
      <c r="V22" s="1"/>
      <c r="X22">
        <v>7</v>
      </c>
      <c r="Y22" t="str">
        <f t="shared" si="4"/>
        <v/>
      </c>
      <c r="Z22" t="str">
        <f t="shared" si="0"/>
        <v/>
      </c>
      <c r="AC22" t="s">
        <v>254</v>
      </c>
      <c r="AD22" t="s">
        <v>288</v>
      </c>
      <c r="AF22" t="s">
        <v>327</v>
      </c>
      <c r="AG22" t="str">
        <f t="shared" si="1"/>
        <v>3M</v>
      </c>
      <c r="AH22">
        <v>16</v>
      </c>
      <c r="AI22" t="str">
        <f t="shared" si="2"/>
        <v/>
      </c>
      <c r="AJ22" t="str">
        <f t="shared" si="3"/>
        <v/>
      </c>
    </row>
    <row r="23" spans="3:41" ht="16.5">
      <c r="C23" s="1"/>
      <c r="D23" s="956" t="s">
        <v>726</v>
      </c>
      <c r="E23" s="1"/>
      <c r="F23" s="1"/>
      <c r="G23" s="1"/>
      <c r="H23" s="1"/>
      <c r="I23" s="1"/>
      <c r="J23" s="1"/>
      <c r="K23" s="1"/>
      <c r="L23" s="1"/>
      <c r="M23" s="1"/>
      <c r="O23" s="1"/>
      <c r="P23" s="1"/>
      <c r="Q23" s="1"/>
      <c r="R23" s="1"/>
      <c r="S23" s="1"/>
      <c r="T23" s="1"/>
      <c r="V23" s="1"/>
      <c r="X23">
        <v>8</v>
      </c>
      <c r="Y23" t="str">
        <f t="shared" si="4"/>
        <v/>
      </c>
      <c r="Z23" t="str">
        <f t="shared" si="0"/>
        <v/>
      </c>
      <c r="AC23" t="s">
        <v>351</v>
      </c>
      <c r="AD23" t="s">
        <v>289</v>
      </c>
      <c r="AF23" t="s">
        <v>254</v>
      </c>
      <c r="AG23" t="str">
        <f t="shared" si="1"/>
        <v>4L</v>
      </c>
      <c r="AH23">
        <v>18</v>
      </c>
      <c r="AI23" t="str">
        <f t="shared" si="2"/>
        <v/>
      </c>
      <c r="AJ23" t="str">
        <f t="shared" si="3"/>
        <v/>
      </c>
    </row>
    <row r="24" spans="3:41" ht="16.5">
      <c r="C24" s="1"/>
      <c r="D24" s="956" t="s">
        <v>727</v>
      </c>
      <c r="E24" s="6"/>
      <c r="F24" s="1"/>
      <c r="G24" s="1"/>
      <c r="H24" s="1"/>
      <c r="I24" s="1"/>
      <c r="J24" s="1"/>
      <c r="K24" s="1"/>
      <c r="L24" s="1"/>
      <c r="M24" s="1"/>
      <c r="N24" s="28" t="s">
        <v>280</v>
      </c>
      <c r="O24" s="26"/>
      <c r="P24" s="1"/>
      <c r="Q24" s="1"/>
      <c r="R24" s="1"/>
      <c r="S24" s="1"/>
      <c r="T24" s="1"/>
      <c r="V24" s="1"/>
      <c r="X24">
        <v>9</v>
      </c>
      <c r="Y24" t="str">
        <f t="shared" si="4"/>
        <v/>
      </c>
      <c r="Z24" t="str">
        <f t="shared" si="0"/>
        <v/>
      </c>
      <c r="AC24" t="s">
        <v>332</v>
      </c>
      <c r="AD24" t="s">
        <v>290</v>
      </c>
      <c r="AF24" t="s">
        <v>328</v>
      </c>
      <c r="AG24" t="str">
        <f t="shared" si="1"/>
        <v>M4</v>
      </c>
      <c r="AH24">
        <v>20</v>
      </c>
      <c r="AI24" t="str">
        <f t="shared" si="2"/>
        <v/>
      </c>
      <c r="AJ24" t="str">
        <f t="shared" si="3"/>
        <v/>
      </c>
    </row>
    <row r="25" spans="3:41" ht="16.5">
      <c r="C25" s="1"/>
      <c r="D25" s="956" t="s">
        <v>728</v>
      </c>
      <c r="E25" s="1"/>
      <c r="F25" s="1"/>
      <c r="G25" s="1"/>
      <c r="H25" s="1"/>
      <c r="I25" s="1"/>
      <c r="J25" s="1"/>
      <c r="K25" s="1"/>
      <c r="L25" s="1"/>
      <c r="M25" s="1"/>
      <c r="N25" t="s">
        <v>281</v>
      </c>
      <c r="P25" s="1"/>
      <c r="Q25" s="1"/>
      <c r="R25" s="1"/>
      <c r="S25" s="1"/>
      <c r="T25" s="1"/>
      <c r="V25" s="1"/>
      <c r="X25">
        <v>10</v>
      </c>
      <c r="Y25" t="str">
        <f t="shared" si="4"/>
        <v/>
      </c>
      <c r="Z25" t="str">
        <f t="shared" si="0"/>
        <v/>
      </c>
      <c r="AC25" t="s">
        <v>328</v>
      </c>
      <c r="AD25" t="s">
        <v>291</v>
      </c>
      <c r="AF25" t="s">
        <v>329</v>
      </c>
      <c r="AG25" t="str">
        <f t="shared" si="1"/>
        <v>L1</v>
      </c>
      <c r="AH25">
        <v>22</v>
      </c>
      <c r="AI25" t="str">
        <f t="shared" si="2"/>
        <v/>
      </c>
      <c r="AJ25" t="str">
        <f t="shared" si="3"/>
        <v/>
      </c>
    </row>
    <row r="26" spans="3:41" ht="16.5">
      <c r="C26" s="1"/>
      <c r="D26" s="956" t="s">
        <v>729</v>
      </c>
      <c r="E26" s="1"/>
      <c r="F26" s="1"/>
      <c r="G26" s="1"/>
      <c r="H26" s="1"/>
      <c r="I26" s="1"/>
      <c r="J26" s="1"/>
      <c r="K26" s="1"/>
      <c r="L26" s="1"/>
      <c r="M26" s="25"/>
      <c r="O26" s="26"/>
      <c r="P26" s="25"/>
      <c r="Q26" s="25"/>
      <c r="R26" s="25"/>
      <c r="S26" s="25"/>
      <c r="T26" s="1"/>
      <c r="V26" s="1"/>
      <c r="X26">
        <v>11</v>
      </c>
      <c r="Y26" t="str">
        <f t="shared" si="4"/>
        <v/>
      </c>
      <c r="Z26" t="str">
        <f t="shared" si="0"/>
        <v/>
      </c>
      <c r="AC26" t="s">
        <v>331</v>
      </c>
      <c r="AD26" t="s">
        <v>292</v>
      </c>
      <c r="AF26" t="s">
        <v>101</v>
      </c>
      <c r="AG26" t="str">
        <f t="shared" si="1"/>
        <v>K4</v>
      </c>
      <c r="AH26">
        <v>24</v>
      </c>
      <c r="AI26" t="str">
        <f t="shared" si="2"/>
        <v/>
      </c>
      <c r="AJ26" t="str">
        <f t="shared" si="3"/>
        <v/>
      </c>
    </row>
    <row r="27" spans="3:41" ht="16.5">
      <c r="C27" s="1"/>
      <c r="E27" s="1"/>
      <c r="F27" s="1"/>
      <c r="G27" s="1"/>
      <c r="H27" s="1"/>
      <c r="I27" s="1"/>
      <c r="J27" s="1"/>
      <c r="K27" s="1"/>
      <c r="L27" s="1"/>
      <c r="M27" s="24"/>
      <c r="O27" s="24"/>
      <c r="P27" s="24"/>
      <c r="Q27" s="24"/>
      <c r="R27" s="24"/>
      <c r="S27" s="24"/>
      <c r="T27" s="1"/>
      <c r="V27" s="1"/>
      <c r="X27">
        <v>12</v>
      </c>
      <c r="Y27" t="str">
        <f t="shared" si="4"/>
        <v/>
      </c>
      <c r="Z27" t="str">
        <f t="shared" si="0"/>
        <v/>
      </c>
      <c r="AC27" t="s">
        <v>329</v>
      </c>
      <c r="AD27" t="s">
        <v>293</v>
      </c>
      <c r="AF27" t="s">
        <v>330</v>
      </c>
      <c r="AG27" t="str">
        <f t="shared" si="1"/>
        <v>LQ</v>
      </c>
      <c r="AH27">
        <v>26</v>
      </c>
      <c r="AI27" t="str">
        <f t="shared" si="2"/>
        <v/>
      </c>
      <c r="AJ27" t="str">
        <f t="shared" si="3"/>
        <v/>
      </c>
    </row>
    <row r="28" spans="3:41" ht="16.5">
      <c r="C28" s="1"/>
      <c r="D28" s="954" t="s">
        <v>730</v>
      </c>
      <c r="E28" s="1"/>
      <c r="F28" s="1"/>
      <c r="G28" s="1"/>
      <c r="H28" s="1"/>
      <c r="I28" s="1"/>
      <c r="J28" s="1"/>
      <c r="K28" s="1"/>
      <c r="L28" s="1"/>
      <c r="M28" s="1"/>
      <c r="N28" s="77"/>
      <c r="O28" s="1"/>
      <c r="P28" s="1"/>
      <c r="Q28" s="1"/>
      <c r="R28" s="1"/>
      <c r="S28" s="1"/>
      <c r="T28" s="1"/>
      <c r="V28" s="1"/>
      <c r="X28">
        <v>13</v>
      </c>
      <c r="Y28" t="str">
        <f t="shared" si="4"/>
        <v/>
      </c>
      <c r="Z28" t="str">
        <f t="shared" si="0"/>
        <v/>
      </c>
      <c r="AC28" t="s">
        <v>330</v>
      </c>
      <c r="AD28" t="s">
        <v>294</v>
      </c>
      <c r="AF28" t="s">
        <v>331</v>
      </c>
      <c r="AG28" t="str">
        <f t="shared" si="1"/>
        <v>UD</v>
      </c>
      <c r="AH28">
        <v>28</v>
      </c>
      <c r="AI28" t="str">
        <f t="shared" si="2"/>
        <v/>
      </c>
      <c r="AJ28" t="str">
        <f t="shared" si="3"/>
        <v/>
      </c>
    </row>
    <row r="29" spans="3:41" ht="16.5">
      <c r="C29" s="1"/>
      <c r="D29" s="955"/>
      <c r="E29" s="1"/>
      <c r="F29" s="1"/>
      <c r="G29" s="1"/>
      <c r="H29" s="1"/>
      <c r="I29" s="1"/>
      <c r="J29" s="1"/>
      <c r="K29" s="1"/>
      <c r="L29" s="1"/>
      <c r="M29" s="1"/>
      <c r="O29" s="1"/>
      <c r="P29" s="1"/>
      <c r="Q29" s="1"/>
      <c r="R29" s="1"/>
      <c r="S29" s="1"/>
      <c r="V29" s="1"/>
      <c r="X29">
        <v>14</v>
      </c>
      <c r="Y29" t="str">
        <f t="shared" si="4"/>
        <v/>
      </c>
      <c r="Z29" t="str">
        <f t="shared" si="0"/>
        <v/>
      </c>
      <c r="AC29" t="s">
        <v>101</v>
      </c>
      <c r="AD29" t="s">
        <v>295</v>
      </c>
      <c r="AF29" t="s">
        <v>332</v>
      </c>
      <c r="AG29" t="str">
        <f t="shared" si="1"/>
        <v>DU</v>
      </c>
      <c r="AH29">
        <v>30</v>
      </c>
      <c r="AI29" t="str">
        <f t="shared" si="2"/>
        <v/>
      </c>
      <c r="AJ29" t="str">
        <f t="shared" si="3"/>
        <v/>
      </c>
    </row>
    <row r="30" spans="3:41" ht="16.5">
      <c r="C30" s="1"/>
      <c r="D30" s="956" t="s">
        <v>731</v>
      </c>
      <c r="E30" s="1"/>
      <c r="F30" s="1"/>
      <c r="G30" s="1"/>
      <c r="H30" s="1"/>
      <c r="I30" s="1"/>
      <c r="J30" s="1"/>
      <c r="K30" s="1"/>
      <c r="L30" s="1"/>
      <c r="M30" s="1"/>
      <c r="O30" s="1"/>
      <c r="P30" s="1"/>
      <c r="Q30" s="1"/>
      <c r="R30" s="1"/>
      <c r="S30" s="1"/>
      <c r="V30" s="1"/>
      <c r="X30">
        <v>15</v>
      </c>
      <c r="Y30" t="str">
        <f t="shared" si="4"/>
        <v/>
      </c>
      <c r="Z30" t="str">
        <f t="shared" si="0"/>
        <v/>
      </c>
      <c r="AC30" t="s">
        <v>167</v>
      </c>
      <c r="AD30" t="s">
        <v>296</v>
      </c>
      <c r="AF30" t="s">
        <v>100</v>
      </c>
      <c r="AG30" t="str">
        <f t="shared" si="1"/>
        <v>SA</v>
      </c>
      <c r="AH30">
        <v>32</v>
      </c>
      <c r="AI30" t="str">
        <f t="shared" si="2"/>
        <v/>
      </c>
      <c r="AJ30" t="str">
        <f t="shared" si="3"/>
        <v/>
      </c>
    </row>
    <row r="31" spans="3:41" ht="16.5">
      <c r="C31" s="1"/>
      <c r="D31" s="956" t="s">
        <v>732</v>
      </c>
      <c r="E31" s="1"/>
      <c r="F31" s="1"/>
      <c r="G31" s="1"/>
      <c r="H31" s="1"/>
      <c r="I31" s="1"/>
      <c r="J31" s="1"/>
      <c r="K31" s="1"/>
      <c r="L31" s="1"/>
      <c r="M31" s="1"/>
      <c r="O31" s="1"/>
      <c r="P31" s="1"/>
      <c r="Q31" s="1"/>
      <c r="R31" s="1"/>
      <c r="S31" s="1"/>
      <c r="V31" s="1"/>
      <c r="X31">
        <v>16</v>
      </c>
      <c r="Y31" t="str">
        <f t="shared" si="4"/>
        <v/>
      </c>
      <c r="Z31" t="str">
        <f t="shared" si="0"/>
        <v/>
      </c>
      <c r="AC31" t="s">
        <v>336</v>
      </c>
      <c r="AD31" t="s">
        <v>297</v>
      </c>
      <c r="AF31" t="s">
        <v>333</v>
      </c>
      <c r="AG31" t="str">
        <f t="shared" si="1"/>
        <v>SS</v>
      </c>
      <c r="AH31">
        <v>34</v>
      </c>
      <c r="AI31" t="str">
        <f t="shared" si="2"/>
        <v/>
      </c>
      <c r="AJ31" t="str">
        <f t="shared" si="3"/>
        <v/>
      </c>
    </row>
    <row r="32" spans="3:41" ht="16.5">
      <c r="C32" s="1"/>
      <c r="D32" s="956" t="s">
        <v>733</v>
      </c>
      <c r="E32" s="1"/>
      <c r="F32" s="1"/>
      <c r="G32" s="1"/>
      <c r="H32" s="1"/>
      <c r="I32" s="1"/>
      <c r="J32" s="1"/>
      <c r="K32" s="1"/>
      <c r="L32" s="1"/>
      <c r="M32" s="1"/>
      <c r="N32" s="76"/>
      <c r="O32" s="27"/>
      <c r="P32" s="1"/>
      <c r="Q32" s="1"/>
      <c r="R32" s="1"/>
      <c r="V32" s="1"/>
      <c r="X32">
        <v>17</v>
      </c>
      <c r="Y32" t="str">
        <f t="shared" si="4"/>
        <v/>
      </c>
      <c r="Z32" t="str">
        <f t="shared" si="0"/>
        <v/>
      </c>
      <c r="AC32" t="s">
        <v>337</v>
      </c>
      <c r="AD32" t="s">
        <v>298</v>
      </c>
      <c r="AF32" t="s">
        <v>334</v>
      </c>
      <c r="AG32" t="str">
        <f t="shared" si="1"/>
        <v>AL</v>
      </c>
      <c r="AH32">
        <v>36</v>
      </c>
      <c r="AI32" t="str">
        <f t="shared" si="2"/>
        <v/>
      </c>
      <c r="AJ32" t="str">
        <f t="shared" si="3"/>
        <v/>
      </c>
    </row>
    <row r="33" spans="3:36" ht="16.5">
      <c r="C33" s="1"/>
      <c r="D33" s="956" t="s">
        <v>734</v>
      </c>
      <c r="E33" s="1"/>
      <c r="F33" s="1"/>
      <c r="G33" s="1"/>
      <c r="H33" s="1"/>
      <c r="I33" s="1"/>
      <c r="J33" s="1"/>
      <c r="K33" s="1"/>
      <c r="L33" s="1"/>
      <c r="M33" s="1"/>
      <c r="V33" s="1"/>
      <c r="X33">
        <v>18</v>
      </c>
      <c r="Y33" t="str">
        <f t="shared" si="4"/>
        <v/>
      </c>
      <c r="Z33" t="str">
        <f t="shared" si="0"/>
        <v/>
      </c>
      <c r="AC33" t="s">
        <v>333</v>
      </c>
      <c r="AD33" t="s">
        <v>299</v>
      </c>
      <c r="AF33" t="s">
        <v>335</v>
      </c>
      <c r="AG33" t="str">
        <f t="shared" si="1"/>
        <v>MU</v>
      </c>
      <c r="AH33">
        <v>38</v>
      </c>
      <c r="AI33" t="str">
        <f t="shared" si="2"/>
        <v/>
      </c>
      <c r="AJ33" t="str">
        <f t="shared" si="3"/>
        <v/>
      </c>
    </row>
    <row r="34" spans="3:36" ht="16.5">
      <c r="C34" s="1"/>
      <c r="D34" s="956" t="s">
        <v>735</v>
      </c>
      <c r="E34" s="1"/>
      <c r="F34" s="1"/>
      <c r="G34" s="1"/>
      <c r="H34" s="1"/>
      <c r="I34" s="1"/>
      <c r="J34" s="1"/>
      <c r="K34" s="1"/>
      <c r="L34" s="1"/>
      <c r="M34" s="1"/>
      <c r="U34" s="1"/>
      <c r="V34" s="1"/>
      <c r="X34">
        <v>19</v>
      </c>
      <c r="Y34" t="str">
        <f t="shared" si="4"/>
        <v/>
      </c>
      <c r="Z34" t="str">
        <f t="shared" si="0"/>
        <v/>
      </c>
      <c r="AC34" t="s">
        <v>334</v>
      </c>
      <c r="AD34" t="s">
        <v>300</v>
      </c>
      <c r="AF34" t="s">
        <v>167</v>
      </c>
      <c r="AG34" t="str">
        <f t="shared" si="1"/>
        <v>MI</v>
      </c>
      <c r="AH34">
        <v>40</v>
      </c>
      <c r="AI34" t="str">
        <f t="shared" si="2"/>
        <v/>
      </c>
      <c r="AJ34" t="str">
        <f t="shared" si="3"/>
        <v/>
      </c>
    </row>
    <row r="35" spans="3:36" ht="16.5">
      <c r="C35" s="1"/>
      <c r="D35" s="956" t="s">
        <v>736</v>
      </c>
      <c r="E35" s="1"/>
      <c r="F35" s="1"/>
      <c r="G35" s="1"/>
      <c r="H35" s="1"/>
      <c r="I35" s="1"/>
      <c r="J35" s="1"/>
      <c r="K35" s="1"/>
      <c r="L35" s="1"/>
      <c r="M35" s="1"/>
      <c r="U35" s="1"/>
      <c r="V35" s="1"/>
      <c r="X35">
        <v>20</v>
      </c>
      <c r="Y35" t="str">
        <f t="shared" si="4"/>
        <v/>
      </c>
      <c r="Z35" t="str">
        <f t="shared" si="0"/>
        <v/>
      </c>
      <c r="AC35" t="s">
        <v>340</v>
      </c>
      <c r="AD35" t="s">
        <v>301</v>
      </c>
      <c r="AF35" t="s">
        <v>336</v>
      </c>
      <c r="AG35" t="str">
        <f t="shared" si="1"/>
        <v>MH</v>
      </c>
      <c r="AH35">
        <v>42</v>
      </c>
      <c r="AI35" t="str">
        <f t="shared" si="2"/>
        <v/>
      </c>
      <c r="AJ35" t="str">
        <f t="shared" si="3"/>
        <v/>
      </c>
    </row>
    <row r="36" spans="3:36" ht="16.5">
      <c r="C36" s="1"/>
      <c r="D36" s="956" t="s">
        <v>737</v>
      </c>
      <c r="E36" s="1"/>
      <c r="F36" s="1"/>
      <c r="G36" s="1"/>
      <c r="H36" s="1"/>
      <c r="I36" s="1"/>
      <c r="J36" s="1"/>
      <c r="K36" s="1"/>
      <c r="L36" s="1"/>
      <c r="M36" s="1"/>
      <c r="U36" s="1"/>
      <c r="V36" s="1"/>
      <c r="X36">
        <v>21</v>
      </c>
      <c r="Y36" t="str">
        <f t="shared" si="4"/>
        <v/>
      </c>
      <c r="Z36" t="str">
        <f t="shared" si="0"/>
        <v/>
      </c>
      <c r="AC36" t="s">
        <v>100</v>
      </c>
      <c r="AD36" t="s">
        <v>302</v>
      </c>
      <c r="AF36" t="s">
        <v>337</v>
      </c>
      <c r="AG36" t="str">
        <f t="shared" si="1"/>
        <v>AY</v>
      </c>
      <c r="AH36">
        <v>44</v>
      </c>
      <c r="AI36" t="str">
        <f t="shared" si="2"/>
        <v/>
      </c>
      <c r="AJ36" t="str">
        <f t="shared" si="3"/>
        <v/>
      </c>
    </row>
    <row r="37" spans="3:36" ht="16.5">
      <c r="C37" s="1"/>
      <c r="D37" s="956" t="s">
        <v>738</v>
      </c>
      <c r="E37" s="1"/>
      <c r="F37" s="1"/>
      <c r="G37" s="1"/>
      <c r="H37" s="1"/>
      <c r="I37" s="1"/>
      <c r="J37" s="1"/>
      <c r="K37" s="1"/>
      <c r="L37" s="1"/>
      <c r="M37" s="1"/>
      <c r="U37" s="1"/>
      <c r="V37" s="1"/>
      <c r="X37">
        <v>22</v>
      </c>
      <c r="Y37" t="str">
        <f t="shared" si="4"/>
        <v/>
      </c>
      <c r="Z37" t="str">
        <f t="shared" si="0"/>
        <v/>
      </c>
      <c r="AC37" t="s">
        <v>0</v>
      </c>
      <c r="AD37" t="s">
        <v>303</v>
      </c>
      <c r="AF37" t="s">
        <v>338</v>
      </c>
      <c r="AG37" t="str">
        <f t="shared" si="1"/>
        <v>MN</v>
      </c>
      <c r="AH37">
        <v>46</v>
      </c>
      <c r="AI37" t="str">
        <f t="shared" si="2"/>
        <v/>
      </c>
      <c r="AJ37" t="str">
        <f t="shared" si="3"/>
        <v/>
      </c>
    </row>
    <row r="38" spans="3:36" ht="16.5">
      <c r="C38" s="1"/>
      <c r="D38" s="956" t="s">
        <v>739</v>
      </c>
      <c r="E38" s="1"/>
      <c r="F38" s="1"/>
      <c r="G38" s="1"/>
      <c r="H38" s="1"/>
      <c r="I38" s="1"/>
      <c r="J38" s="1"/>
      <c r="K38" s="1"/>
      <c r="L38" s="1"/>
      <c r="M38" s="1"/>
      <c r="U38" s="1"/>
      <c r="V38" s="1"/>
      <c r="X38">
        <v>23</v>
      </c>
      <c r="Y38" t="str">
        <f t="shared" si="4"/>
        <v/>
      </c>
      <c r="Z38" t="str">
        <f t="shared" si="0"/>
        <v/>
      </c>
      <c r="AC38" t="s">
        <v>338</v>
      </c>
      <c r="AD38" t="s">
        <v>304</v>
      </c>
      <c r="AF38" t="s">
        <v>0</v>
      </c>
      <c r="AG38" t="str">
        <f t="shared" si="1"/>
        <v>AZ</v>
      </c>
      <c r="AH38">
        <v>48</v>
      </c>
      <c r="AI38" t="str">
        <f t="shared" si="2"/>
        <v/>
      </c>
      <c r="AJ38" t="str">
        <f t="shared" si="3"/>
        <v/>
      </c>
    </row>
    <row r="39" spans="3:36" ht="16.5">
      <c r="C39" s="1"/>
      <c r="E39" s="1"/>
      <c r="F39" s="1"/>
      <c r="G39" s="1"/>
      <c r="H39" s="1"/>
      <c r="I39" s="1"/>
      <c r="J39" s="1"/>
      <c r="K39" s="1"/>
      <c r="L39" s="1"/>
      <c r="M39" s="1"/>
      <c r="O39" s="1"/>
      <c r="P39" s="1"/>
      <c r="Q39" s="1"/>
      <c r="R39" s="1"/>
      <c r="S39" s="1"/>
      <c r="T39" s="1"/>
      <c r="U39" s="1"/>
      <c r="V39" s="1"/>
      <c r="X39">
        <v>24</v>
      </c>
      <c r="Y39" t="str">
        <f t="shared" si="4"/>
        <v/>
      </c>
      <c r="Z39" t="str">
        <f t="shared" si="0"/>
        <v/>
      </c>
      <c r="AC39" t="s">
        <v>335</v>
      </c>
      <c r="AD39" t="s">
        <v>305</v>
      </c>
      <c r="AF39" t="s">
        <v>339</v>
      </c>
      <c r="AG39" t="str">
        <f t="shared" si="1"/>
        <v>EE</v>
      </c>
      <c r="AH39">
        <v>50</v>
      </c>
      <c r="AI39" t="str">
        <f t="shared" si="2"/>
        <v/>
      </c>
      <c r="AJ39" t="str">
        <f t="shared" si="3"/>
        <v/>
      </c>
    </row>
    <row r="40" spans="3:36" ht="15.75">
      <c r="D40" s="957" t="s">
        <v>740</v>
      </c>
      <c r="X40">
        <v>25</v>
      </c>
      <c r="Y40" t="str">
        <f t="shared" si="4"/>
        <v/>
      </c>
      <c r="Z40" t="str">
        <f t="shared" si="0"/>
        <v/>
      </c>
      <c r="AC40" t="s">
        <v>339</v>
      </c>
      <c r="AD40" t="s">
        <v>306</v>
      </c>
      <c r="AF40" t="s">
        <v>340</v>
      </c>
      <c r="AG40" t="str">
        <f t="shared" si="1"/>
        <v>Z4</v>
      </c>
      <c r="AH40">
        <v>52</v>
      </c>
      <c r="AI40" t="str">
        <f t="shared" si="2"/>
        <v/>
      </c>
      <c r="AJ40" t="str">
        <f t="shared" si="3"/>
        <v/>
      </c>
    </row>
    <row r="41" spans="3:36">
      <c r="X41">
        <v>26</v>
      </c>
      <c r="Y41" t="str">
        <f t="shared" si="4"/>
        <v/>
      </c>
      <c r="Z41" t="str">
        <f t="shared" si="0"/>
        <v/>
      </c>
      <c r="AD41" t="s">
        <v>307</v>
      </c>
      <c r="AF41" t="s">
        <v>341</v>
      </c>
      <c r="AG41" t="str">
        <f t="shared" si="1"/>
        <v>LJ</v>
      </c>
      <c r="AH41">
        <v>54</v>
      </c>
      <c r="AI41" t="str">
        <f t="shared" si="2"/>
        <v/>
      </c>
      <c r="AJ41" t="str">
        <f t="shared" si="3"/>
        <v/>
      </c>
    </row>
    <row r="42" spans="3:36" ht="16.5">
      <c r="D42" s="958" t="s">
        <v>741</v>
      </c>
      <c r="X42">
        <v>27</v>
      </c>
      <c r="Y42" t="str">
        <f t="shared" si="4"/>
        <v/>
      </c>
      <c r="Z42" t="str">
        <f t="shared" si="0"/>
        <v/>
      </c>
      <c r="AD42" t="s">
        <v>208</v>
      </c>
      <c r="AF42" t="s">
        <v>66</v>
      </c>
      <c r="AG42" t="str">
        <f t="shared" si="1"/>
        <v>AB</v>
      </c>
      <c r="AH42">
        <v>56</v>
      </c>
      <c r="AI42" t="str">
        <f t="shared" si="2"/>
        <v/>
      </c>
      <c r="AJ42" t="str">
        <f t="shared" si="3"/>
        <v/>
      </c>
    </row>
    <row r="43" spans="3:36">
      <c r="D43" s="955"/>
      <c r="X43">
        <v>28</v>
      </c>
      <c r="Y43" t="str">
        <f t="shared" si="4"/>
        <v/>
      </c>
      <c r="Z43" t="str">
        <f t="shared" si="0"/>
        <v/>
      </c>
      <c r="AD43" t="s">
        <v>308</v>
      </c>
      <c r="AF43" t="s">
        <v>342</v>
      </c>
      <c r="AG43" t="str">
        <f t="shared" si="1"/>
        <v>BA</v>
      </c>
      <c r="AH43">
        <v>58</v>
      </c>
      <c r="AI43" t="str">
        <f t="shared" si="2"/>
        <v/>
      </c>
      <c r="AJ43" t="str">
        <f t="shared" si="3"/>
        <v/>
      </c>
    </row>
    <row r="44" spans="3:36">
      <c r="D44" s="956" t="s">
        <v>742</v>
      </c>
      <c r="X44">
        <v>29</v>
      </c>
      <c r="Y44" t="str">
        <f t="shared" si="4"/>
        <v/>
      </c>
      <c r="Z44" t="str">
        <f t="shared" si="0"/>
        <v/>
      </c>
      <c r="AD44" t="s">
        <v>309</v>
      </c>
      <c r="AF44" t="s">
        <v>65</v>
      </c>
      <c r="AG44" t="str">
        <f t="shared" si="1"/>
        <v>RM</v>
      </c>
      <c r="AH44">
        <v>60</v>
      </c>
      <c r="AI44" t="str">
        <f t="shared" si="2"/>
        <v/>
      </c>
      <c r="AJ44" t="str">
        <f t="shared" si="3"/>
        <v/>
      </c>
    </row>
    <row r="45" spans="3:36">
      <c r="D45" s="956" t="s">
        <v>743</v>
      </c>
      <c r="X45">
        <v>30</v>
      </c>
      <c r="Y45" t="str">
        <f t="shared" si="4"/>
        <v/>
      </c>
      <c r="Z45" t="str">
        <f t="shared" si="0"/>
        <v/>
      </c>
      <c r="AC45" t="s">
        <v>352</v>
      </c>
      <c r="AD45" t="s">
        <v>310</v>
      </c>
      <c r="AF45" t="s">
        <v>343</v>
      </c>
      <c r="AG45" t="str">
        <f t="shared" si="1"/>
        <v>UT</v>
      </c>
      <c r="AH45">
        <v>62</v>
      </c>
      <c r="AI45" t="str">
        <f t="shared" si="2"/>
        <v/>
      </c>
      <c r="AJ45" t="str">
        <f t="shared" si="3"/>
        <v/>
      </c>
    </row>
    <row r="46" spans="3:36">
      <c r="D46" s="956" t="s">
        <v>744</v>
      </c>
      <c r="X46">
        <v>31</v>
      </c>
      <c r="Y46" t="str">
        <f t="shared" si="4"/>
        <v/>
      </c>
      <c r="Z46" t="str">
        <f t="shared" si="0"/>
        <v/>
      </c>
      <c r="AC46" t="s">
        <v>324</v>
      </c>
      <c r="AD46" t="s">
        <v>311</v>
      </c>
      <c r="AF46" t="s">
        <v>344</v>
      </c>
      <c r="AG46" t="str">
        <f t="shared" si="1"/>
        <v>KB</v>
      </c>
      <c r="AH46">
        <v>64</v>
      </c>
      <c r="AI46" t="str">
        <f t="shared" si="2"/>
        <v/>
      </c>
      <c r="AJ46" t="str">
        <f t="shared" si="3"/>
        <v/>
      </c>
    </row>
    <row r="47" spans="3:36">
      <c r="D47" s="956" t="s">
        <v>745</v>
      </c>
      <c r="X47">
        <v>32</v>
      </c>
      <c r="Y47" t="str">
        <f t="shared" si="4"/>
        <v/>
      </c>
      <c r="Z47" t="str">
        <f t="shared" si="0"/>
        <v/>
      </c>
      <c r="AC47" t="s">
        <v>350</v>
      </c>
      <c r="AD47" t="s">
        <v>312</v>
      </c>
      <c r="AF47" t="s">
        <v>345</v>
      </c>
      <c r="AG47" t="str">
        <f t="shared" si="1"/>
        <v>BI</v>
      </c>
      <c r="AH47">
        <v>66</v>
      </c>
      <c r="AI47" t="str">
        <f t="shared" si="2"/>
        <v/>
      </c>
      <c r="AJ47" t="str">
        <f t="shared" si="3"/>
        <v/>
      </c>
    </row>
    <row r="48" spans="3:36">
      <c r="D48" s="956" t="s">
        <v>746</v>
      </c>
      <c r="X48">
        <v>33</v>
      </c>
      <c r="Y48" t="str">
        <f t="shared" si="4"/>
        <v/>
      </c>
      <c r="Z48" t="str">
        <f t="shared" si="0"/>
        <v/>
      </c>
      <c r="AC48" t="s">
        <v>323</v>
      </c>
      <c r="AD48" t="s">
        <v>313</v>
      </c>
      <c r="AF48" t="s">
        <v>346</v>
      </c>
      <c r="AG48" t="str">
        <f t="shared" si="1"/>
        <v>RL</v>
      </c>
      <c r="AH48">
        <v>68</v>
      </c>
      <c r="AI48" t="str">
        <f t="shared" si="2"/>
        <v/>
      </c>
      <c r="AJ48" t="str">
        <f t="shared" si="3"/>
        <v/>
      </c>
    </row>
    <row r="49" spans="4:36">
      <c r="D49" s="956" t="s">
        <v>747</v>
      </c>
      <c r="X49">
        <v>34</v>
      </c>
      <c r="Y49" t="str">
        <f t="shared" si="4"/>
        <v/>
      </c>
      <c r="Z49" t="str">
        <f t="shared" si="0"/>
        <v/>
      </c>
      <c r="AC49" t="s">
        <v>348</v>
      </c>
      <c r="AD49" t="s">
        <v>314</v>
      </c>
      <c r="AF49" t="s">
        <v>347</v>
      </c>
      <c r="AG49" t="str">
        <f t="shared" si="1"/>
        <v>KH</v>
      </c>
      <c r="AH49">
        <v>70</v>
      </c>
      <c r="AI49" t="str">
        <f t="shared" si="2"/>
        <v/>
      </c>
      <c r="AJ49" t="str">
        <f t="shared" si="3"/>
        <v/>
      </c>
    </row>
    <row r="50" spans="4:36">
      <c r="D50" s="956" t="s">
        <v>748</v>
      </c>
      <c r="X50">
        <v>35</v>
      </c>
      <c r="Y50" t="str">
        <f t="shared" si="4"/>
        <v/>
      </c>
      <c r="Z50" t="str">
        <f t="shared" si="0"/>
        <v/>
      </c>
      <c r="AC50" t="s">
        <v>166</v>
      </c>
      <c r="AD50" t="s">
        <v>315</v>
      </c>
      <c r="AF50" t="s">
        <v>348</v>
      </c>
      <c r="AG50" t="str">
        <f t="shared" si="1"/>
        <v>LL</v>
      </c>
      <c r="AH50">
        <v>72</v>
      </c>
      <c r="AI50" t="str">
        <f t="shared" si="2"/>
        <v/>
      </c>
      <c r="AJ50" t="str">
        <f t="shared" si="3"/>
        <v/>
      </c>
    </row>
    <row r="51" spans="4:36">
      <c r="D51" s="956" t="s">
        <v>749</v>
      </c>
      <c r="X51">
        <v>36</v>
      </c>
      <c r="Y51" t="str">
        <f t="shared" si="4"/>
        <v/>
      </c>
      <c r="Z51" t="str">
        <f t="shared" si="0"/>
        <v/>
      </c>
      <c r="AC51" t="s">
        <v>346</v>
      </c>
      <c r="AD51" t="s">
        <v>316</v>
      </c>
      <c r="AF51" t="s">
        <v>349</v>
      </c>
      <c r="AG51" t="str">
        <f t="shared" si="1"/>
        <v>IQ</v>
      </c>
      <c r="AH51">
        <v>74</v>
      </c>
      <c r="AI51" t="str">
        <f t="shared" si="2"/>
        <v/>
      </c>
      <c r="AJ51" t="str">
        <f t="shared" si="3"/>
        <v/>
      </c>
    </row>
    <row r="52" spans="4:36">
      <c r="D52" s="956" t="s">
        <v>750</v>
      </c>
      <c r="X52">
        <v>37</v>
      </c>
      <c r="Y52" t="str">
        <f t="shared" si="4"/>
        <v/>
      </c>
      <c r="Z52" t="str">
        <f t="shared" si="0"/>
        <v/>
      </c>
      <c r="AC52" t="s">
        <v>322</v>
      </c>
      <c r="AD52" t="s">
        <v>317</v>
      </c>
      <c r="AF52" t="s">
        <v>350</v>
      </c>
      <c r="AG52" t="str">
        <f t="shared" si="1"/>
        <v>B4</v>
      </c>
      <c r="AH52">
        <v>76</v>
      </c>
      <c r="AI52" t="str">
        <f t="shared" si="2"/>
        <v/>
      </c>
      <c r="AJ52" t="str">
        <f t="shared" si="3"/>
        <v/>
      </c>
    </row>
    <row r="53" spans="4:36">
      <c r="D53" s="956" t="s">
        <v>751</v>
      </c>
      <c r="X53">
        <v>38</v>
      </c>
      <c r="Y53" t="str">
        <f t="shared" si="4"/>
        <v/>
      </c>
      <c r="Z53" t="str">
        <f t="shared" si="0"/>
        <v/>
      </c>
      <c r="AC53" t="s">
        <v>344</v>
      </c>
      <c r="AD53" t="s">
        <v>318</v>
      </c>
      <c r="AF53" t="s">
        <v>351</v>
      </c>
      <c r="AG53" t="str">
        <f t="shared" si="1"/>
        <v>4R</v>
      </c>
      <c r="AH53">
        <v>78</v>
      </c>
      <c r="AI53" t="str">
        <f t="shared" si="2"/>
        <v/>
      </c>
      <c r="AJ53" t="str">
        <f t="shared" si="3"/>
        <v/>
      </c>
    </row>
    <row r="54" spans="4:36">
      <c r="D54" s="956" t="s">
        <v>752</v>
      </c>
      <c r="X54">
        <v>39</v>
      </c>
      <c r="Y54" t="str">
        <f t="shared" si="4"/>
        <v/>
      </c>
      <c r="Z54" t="str">
        <f t="shared" si="0"/>
        <v/>
      </c>
      <c r="AC54" t="s">
        <v>321</v>
      </c>
      <c r="AD54" t="s">
        <v>319</v>
      </c>
      <c r="AF54" t="s">
        <v>352</v>
      </c>
      <c r="AG54" t="str">
        <f t="shared" si="1"/>
        <v>RI</v>
      </c>
      <c r="AH54">
        <v>80</v>
      </c>
      <c r="AI54" t="str">
        <f t="shared" si="2"/>
        <v/>
      </c>
      <c r="AJ54" t="str">
        <f t="shared" si="3"/>
        <v/>
      </c>
    </row>
    <row r="55" spans="4:36">
      <c r="X55">
        <v>40</v>
      </c>
      <c r="Y55" t="str">
        <f t="shared" si="4"/>
        <v/>
      </c>
      <c r="Z55" t="str">
        <f t="shared" si="0"/>
        <v/>
      </c>
      <c r="AD55" t="s">
        <v>320</v>
      </c>
      <c r="AF55" t="s">
        <v>353</v>
      </c>
      <c r="AG55" t="str">
        <f t="shared" si="1"/>
        <v>IL</v>
      </c>
      <c r="AI55">
        <f t="shared" ref="AI55" si="5">AO55</f>
        <v>0</v>
      </c>
      <c r="AJ55" t="str">
        <f t="shared" si="3"/>
        <v/>
      </c>
    </row>
    <row r="56" spans="4:36">
      <c r="AD56" t="s">
        <v>448</v>
      </c>
      <c r="AF56" t="s">
        <v>447</v>
      </c>
      <c r="AG56" t="str">
        <f t="shared" si="1"/>
        <v>YL</v>
      </c>
    </row>
    <row r="57" spans="4:36" ht="16.5">
      <c r="D57" s="958" t="s">
        <v>753</v>
      </c>
    </row>
    <row r="58" spans="4:36">
      <c r="D58" s="955"/>
    </row>
    <row r="59" spans="4:36">
      <c r="D59" s="956" t="s">
        <v>754</v>
      </c>
    </row>
    <row r="60" spans="4:36">
      <c r="D60" s="956" t="s">
        <v>755</v>
      </c>
    </row>
    <row r="61" spans="4:36">
      <c r="D61" s="956" t="s">
        <v>756</v>
      </c>
    </row>
    <row r="62" spans="4:36">
      <c r="D62" s="956" t="s">
        <v>757</v>
      </c>
    </row>
    <row r="63" spans="4:36">
      <c r="D63" s="956" t="s">
        <v>758</v>
      </c>
    </row>
    <row r="64" spans="4:36">
      <c r="D64" s="956" t="s">
        <v>759</v>
      </c>
    </row>
    <row r="65" spans="4:19">
      <c r="D65" s="956" t="s">
        <v>760</v>
      </c>
    </row>
    <row r="66" spans="4:19">
      <c r="D66" s="956" t="s">
        <v>761</v>
      </c>
    </row>
    <row r="67" spans="4:19">
      <c r="D67" s="956" t="s">
        <v>762</v>
      </c>
    </row>
    <row r="69" spans="4:19">
      <c r="D69" s="1024" t="s">
        <v>763</v>
      </c>
      <c r="E69" s="1024"/>
      <c r="F69" s="1024"/>
      <c r="G69" s="1024"/>
      <c r="H69" s="1024"/>
      <c r="I69" s="1024"/>
      <c r="J69" s="1024"/>
      <c r="K69" s="1024"/>
      <c r="L69" s="1024"/>
      <c r="M69" s="1024"/>
      <c r="N69" s="1024"/>
      <c r="O69" s="1024"/>
      <c r="P69" s="1024"/>
      <c r="Q69" s="1024"/>
      <c r="R69" s="1024"/>
      <c r="S69" s="1024"/>
    </row>
    <row r="70" spans="4:19">
      <c r="D70" s="1024"/>
      <c r="E70" s="1024"/>
      <c r="F70" s="1024"/>
      <c r="G70" s="1024"/>
      <c r="H70" s="1024"/>
      <c r="I70" s="1024"/>
      <c r="J70" s="1024"/>
      <c r="K70" s="1024"/>
      <c r="L70" s="1024"/>
      <c r="M70" s="1024"/>
      <c r="N70" s="1024"/>
      <c r="O70" s="1024"/>
      <c r="P70" s="1024"/>
      <c r="Q70" s="1024"/>
      <c r="R70" s="1024"/>
      <c r="S70" s="1024"/>
    </row>
    <row r="71" spans="4:19">
      <c r="D71" s="1024"/>
      <c r="E71" s="1024"/>
      <c r="F71" s="1024"/>
      <c r="G71" s="1024"/>
      <c r="H71" s="1024"/>
      <c r="I71" s="1024"/>
      <c r="J71" s="1024"/>
      <c r="K71" s="1024"/>
      <c r="L71" s="1024"/>
      <c r="M71" s="1024"/>
      <c r="N71" s="1024"/>
      <c r="O71" s="1024"/>
      <c r="P71" s="1024"/>
      <c r="Q71" s="1024"/>
      <c r="R71" s="1024"/>
      <c r="S71" s="1024"/>
    </row>
  </sheetData>
  <sheetProtection algorithmName="SHA-512" hashValue="Ea6bkqgKAoUhdQgyIEW4DN0v0Enbekk2RbmlOpifVT060jq21UCYJBTA9T5WQEbFKGKZbSZPmuxk3A3uQkOovQ==" saltValue="2Le5Mb3MJNOg2zrr3wMlZQ==" spinCount="100000" sheet="1" objects="1" scenarios="1" formatCells="0"/>
  <protectedRanges>
    <protectedRange sqref="AO1:AP2" name="Range4"/>
    <protectedRange sqref="AD15:AD51" name="code1"/>
    <protectedRange sqref="W1:Z5 W9:X10 W8:Z8 W6:X7" name="Range1"/>
    <protectedRange sqref="AO3:AP7" name="Range6"/>
    <protectedRange sqref="AO3" name="code_1"/>
    <protectedRange sqref="Y6:AB7" name="code_3"/>
    <protectedRange sqref="AC14:AC40" name="Range2"/>
    <protectedRange sqref="AC45:AC54" name="Range2_1"/>
  </protectedRanges>
  <mergeCells count="3">
    <mergeCell ref="C12:R12"/>
    <mergeCell ref="D13:Q13"/>
    <mergeCell ref="D69:S71"/>
  </mergeCells>
  <conditionalFormatting sqref="C5:U5">
    <cfRule type="containsText" dxfId="234" priority="7" operator="containsText" text="Macro">
      <formula>NOT(ISERROR(SEARCH("Macro",C5)))</formula>
    </cfRule>
  </conditionalFormatting>
  <conditionalFormatting sqref="D13">
    <cfRule type="containsText" dxfId="233" priority="5" operator="containsText" text="tutorial">
      <formula>NOT(ISERROR(SEARCH("tutorial",D13)))</formula>
    </cfRule>
  </conditionalFormatting>
  <conditionalFormatting sqref="C12 S12:U12">
    <cfRule type="containsText" dxfId="232" priority="1" operator="containsText" text="error">
      <formula>NOT(ISERROR(SEARCH("error",C12)))</formula>
    </cfRule>
    <cfRule type="containsText" dxfId="231" priority="2" operator="containsText" text="macro">
      <formula>NOT(ISERROR(SEARCH("macro",C12)))</formula>
    </cfRule>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ositions">
    <tabColor rgb="FF2B3139"/>
  </sheetPr>
  <dimension ref="A1:BS127"/>
  <sheetViews>
    <sheetView showGridLines="0" showRowColHeaders="0" topLeftCell="C1" zoomScaleNormal="100" workbookViewId="0">
      <pane ySplit="14" topLeftCell="A15" activePane="bottomLeft" state="frozen"/>
      <selection activeCell="G2" sqref="G2"/>
      <selection pane="bottomLeft" activeCell="D4" activeCellId="2" sqref="G5:Q5 D14:R14 D4"/>
    </sheetView>
  </sheetViews>
  <sheetFormatPr defaultColWidth="0" defaultRowHeight="15"/>
  <cols>
    <col min="1" max="2" width="5.28515625" hidden="1" customWidth="1"/>
    <col min="3" max="3" width="4.28515625" customWidth="1"/>
    <col min="4" max="4" width="14.140625" customWidth="1"/>
    <col min="5" max="5" width="16.7109375" customWidth="1"/>
    <col min="6" max="8" width="14.5703125" customWidth="1"/>
    <col min="9" max="9" width="16.7109375" customWidth="1"/>
    <col min="10" max="10" width="1.28515625" customWidth="1"/>
    <col min="11" max="11" width="5.140625" hidden="1" customWidth="1"/>
    <col min="12" max="12" width="9.7109375" hidden="1" customWidth="1"/>
    <col min="13" max="13" width="14.140625" customWidth="1"/>
    <col min="14" max="14" width="16.7109375" customWidth="1"/>
    <col min="15" max="17" width="14.5703125" customWidth="1"/>
    <col min="18" max="18" width="16.7109375" customWidth="1"/>
    <col min="19" max="19" width="10.28515625" hidden="1" customWidth="1"/>
    <col min="20" max="20" width="8.85546875" hidden="1" customWidth="1"/>
    <col min="21" max="21" width="13.28515625" hidden="1" customWidth="1"/>
    <col min="22" max="22" width="90.7109375" customWidth="1"/>
    <col min="23" max="23" width="12.5703125" hidden="1" customWidth="1"/>
    <col min="24" max="29" width="9.42578125" hidden="1" customWidth="1"/>
    <col min="30" max="30" width="8" hidden="1" customWidth="1"/>
    <col min="31" max="31" width="11.28515625" hidden="1" customWidth="1"/>
    <col min="32" max="33" width="15.140625" hidden="1" customWidth="1"/>
    <col min="34" max="34" width="9.7109375" hidden="1" customWidth="1"/>
    <col min="35" max="35" width="10.7109375" hidden="1" customWidth="1"/>
    <col min="36" max="36" width="16.140625" hidden="1" customWidth="1"/>
    <col min="37" max="37" width="13.28515625" hidden="1" customWidth="1"/>
    <col min="38" max="38" width="12.28515625" hidden="1" customWidth="1"/>
    <col min="39" max="39" width="13.28515625" hidden="1" customWidth="1"/>
    <col min="40" max="40" width="8.140625" hidden="1" customWidth="1"/>
    <col min="41" max="41" width="11.5703125" hidden="1" customWidth="1"/>
    <col min="42" max="42" width="13" hidden="1" customWidth="1"/>
    <col min="43" max="43" width="11.5703125" hidden="1" customWidth="1"/>
    <col min="44" max="44" width="17.7109375" hidden="1" customWidth="1"/>
    <col min="45" max="45" width="8" hidden="1" customWidth="1"/>
    <col min="46" max="46" width="11" hidden="1" customWidth="1"/>
    <col min="47" max="47" width="8" hidden="1" customWidth="1"/>
    <col min="48" max="48" width="6.5703125" hidden="1" customWidth="1"/>
    <col min="49" max="49" width="12" hidden="1" customWidth="1"/>
    <col min="50" max="51" width="10.42578125" hidden="1" customWidth="1"/>
    <col min="52" max="52" width="12.140625" hidden="1" customWidth="1"/>
    <col min="53" max="53" width="15" hidden="1" customWidth="1"/>
    <col min="54" max="54" width="8" hidden="1" customWidth="1"/>
    <col min="55" max="56" width="10.28515625" hidden="1" customWidth="1"/>
    <col min="57" max="57" width="25.5703125" hidden="1" customWidth="1"/>
    <col min="58" max="58" width="10.28515625" hidden="1" customWidth="1"/>
    <col min="59" max="70" width="8" hidden="1" customWidth="1"/>
    <col min="71" max="71" width="9.85546875" hidden="1" customWidth="1"/>
    <col min="72" max="16384" width="8" hidden="1"/>
  </cols>
  <sheetData>
    <row r="1" spans="1:61" ht="20.100000000000001" customHeight="1">
      <c r="A1" s="157"/>
      <c r="B1" s="157"/>
      <c r="C1" s="268" t="s">
        <v>266</v>
      </c>
      <c r="D1" s="657"/>
      <c r="E1" s="657"/>
      <c r="F1" s="658"/>
      <c r="G1" s="658"/>
      <c r="H1" s="658"/>
      <c r="I1" s="658"/>
      <c r="J1" s="157"/>
      <c r="K1" s="157"/>
      <c r="L1" s="157"/>
      <c r="M1" s="658"/>
      <c r="N1" s="659"/>
      <c r="O1" s="659"/>
      <c r="P1" s="659"/>
      <c r="Q1" s="659"/>
      <c r="R1" s="659"/>
      <c r="S1" s="157"/>
      <c r="T1" s="157"/>
      <c r="U1" s="157"/>
      <c r="V1" s="157"/>
      <c r="AC1" t="str">
        <f>Settings!T3</f>
        <v>Php</v>
      </c>
      <c r="AP1">
        <f>AP4+AP5</f>
        <v>12</v>
      </c>
      <c r="AR1" t="str">
        <f>Form!U41</f>
        <v>Most Trades</v>
      </c>
      <c r="AT1" t="s">
        <v>559</v>
      </c>
      <c r="AU1" t="s">
        <v>489</v>
      </c>
      <c r="AV1" t="s">
        <v>560</v>
      </c>
      <c r="AW1" t="s">
        <v>561</v>
      </c>
      <c r="AX1" t="s">
        <v>188</v>
      </c>
      <c r="AY1" t="s">
        <v>562</v>
      </c>
      <c r="AZ1" t="s">
        <v>106</v>
      </c>
      <c r="BA1" t="s">
        <v>685</v>
      </c>
      <c r="BB1" t="s">
        <v>686</v>
      </c>
      <c r="BC1" t="s">
        <v>650</v>
      </c>
      <c r="BD1" t="s">
        <v>691</v>
      </c>
    </row>
    <row r="2" spans="1:61" ht="3.75" customHeight="1">
      <c r="A2" s="157"/>
      <c r="B2" s="157"/>
      <c r="C2" s="652"/>
      <c r="D2" s="660"/>
      <c r="E2" s="660"/>
      <c r="F2" s="661"/>
      <c r="G2" s="661"/>
      <c r="H2" s="661"/>
      <c r="I2" s="661"/>
      <c r="J2" s="157"/>
      <c r="K2" s="157"/>
      <c r="L2" s="157"/>
      <c r="M2" s="661"/>
      <c r="N2" s="661"/>
      <c r="O2" s="661"/>
      <c r="P2" s="157"/>
      <c r="Q2" s="157"/>
      <c r="R2" s="662"/>
      <c r="S2" s="157"/>
      <c r="T2" s="157"/>
      <c r="U2" s="157"/>
      <c r="V2" s="157"/>
    </row>
    <row r="3" spans="1:61" ht="14.1" hidden="1" customHeight="1">
      <c r="A3" s="157"/>
      <c r="B3" s="157"/>
      <c r="C3" s="652"/>
      <c r="D3" s="19"/>
      <c r="E3" s="15"/>
      <c r="F3" s="15"/>
      <c r="G3" s="15"/>
      <c r="H3" s="15"/>
      <c r="I3" s="11"/>
      <c r="J3" s="11"/>
      <c r="M3" s="16"/>
      <c r="N3" s="16"/>
      <c r="O3" s="16"/>
      <c r="P3" s="11"/>
      <c r="Q3" s="11"/>
      <c r="R3" s="11"/>
      <c r="V3" s="157"/>
      <c r="X3">
        <f>-'Bank Transfers'!E7</f>
        <v>12495.365200000015</v>
      </c>
      <c r="Y3">
        <f>'Bank Transfers'!E6+'Bank Transfers'!E8</f>
        <v>56981.900049999982</v>
      </c>
      <c r="AF3" t="s">
        <v>58</v>
      </c>
      <c r="AG3">
        <f>DATE(YEAR(AG4),MONTH(AG4)-1,DAY(1))</f>
        <v>42979</v>
      </c>
      <c r="AH3">
        <f>DATE(YEAR(AG3),MONTH(AG3),DAY(1))</f>
        <v>42979</v>
      </c>
      <c r="AI3">
        <f>DATE(YEAR(AG3),MONTH(AG3)+1,DAY(1)-1)</f>
        <v>43008</v>
      </c>
    </row>
    <row r="4" spans="1:61" ht="22.5" customHeight="1">
      <c r="A4" s="157"/>
      <c r="B4" s="157"/>
      <c r="C4" s="652"/>
      <c r="D4" s="716" t="s">
        <v>683</v>
      </c>
      <c r="E4" s="289"/>
      <c r="F4" s="289"/>
      <c r="G4" s="716"/>
      <c r="H4" s="646"/>
      <c r="I4" s="646"/>
      <c r="J4" s="381"/>
      <c r="K4" s="289"/>
      <c r="L4" s="289"/>
      <c r="M4" s="716"/>
      <c r="N4" s="289"/>
      <c r="O4" s="716"/>
      <c r="P4" s="716"/>
      <c r="Q4" s="647"/>
      <c r="R4" s="289"/>
      <c r="T4" s="733"/>
      <c r="V4" s="654"/>
      <c r="AF4" t="s">
        <v>57</v>
      </c>
      <c r="AG4">
        <f>'Monthly Report'!W3</f>
        <v>43038</v>
      </c>
      <c r="AH4">
        <f>DATE(YEAR(AG4),MONTH(AG4),DAY(1))</f>
        <v>43009</v>
      </c>
      <c r="AI4">
        <f>DATE(YEAR(AG4),MONTH(AG4)+1,DAY(1)-1)</f>
        <v>43039</v>
      </c>
      <c r="AJ4">
        <f>'Monthly Report'!M22</f>
        <v>2012.0256999999983</v>
      </c>
      <c r="AK4">
        <f>IFERROR(INDEX('Monthly Report'!$E$22:$E$87,MATCH(AH4,'Monthly Report'!$Y$22:$Y$87,0)),0)</f>
        <v>142474.50915</v>
      </c>
      <c r="AL4">
        <f t="shared" ref="AL4:AL10" si="0">IFERROR(AJ4/AK4,0)</f>
        <v>1.4122004785303016E-2</v>
      </c>
      <c r="AO4" t="s">
        <v>640</v>
      </c>
      <c r="AP4">
        <f>COUNTIF(calc!AO15:AO251,"&gt;0")</f>
        <v>6</v>
      </c>
      <c r="AQ4" t="str">
        <f>INDEX('Trade Log'!$BT$15:$BT$977,AU4)</f>
        <v>PXP</v>
      </c>
      <c r="AR4">
        <f>MATCH(AV4,calc!$AS$15:$AS$251,0)</f>
        <v>4</v>
      </c>
      <c r="AS4">
        <v>1</v>
      </c>
      <c r="AT4">
        <f>LARGE('Trade Log'!$BZ$15:$BZ$977,AS4)</f>
        <v>7.0000004000000002</v>
      </c>
      <c r="AU4">
        <f>MATCH(AT4,'Trade Log'!$BZ$15:$BZ$977,0)</f>
        <v>4</v>
      </c>
      <c r="AV4" t="str">
        <f>IF($AR$1="Most Trades",AQ4,IF($AR$1="Top Symbol",D15,M15))</f>
        <v>PXP</v>
      </c>
      <c r="AW4">
        <f>INDEX(calc!AT$15:AT$251,$AR4)</f>
        <v>4</v>
      </c>
      <c r="AX4">
        <f>INDEX(calc!AU$15:AU$251,$AR4)</f>
        <v>2</v>
      </c>
      <c r="AY4">
        <f>AW4/AT4</f>
        <v>0.57142853877551203</v>
      </c>
      <c r="AZ4">
        <f>INDEX(calc!AX$15:AX$251,$AR4)</f>
        <v>22728.11774999999</v>
      </c>
      <c r="BA4">
        <f>SUMIFS('Trade Log'!$AB$15:$AB$20100,stats,"&gt;0",'Trade Log'!$Q15:$Q20100,0,symbol,AV4)/(AW4+AX4)</f>
        <v>2.3333333333333335</v>
      </c>
      <c r="BB4">
        <f>SUMIFS('Trade Log'!$AR$15:$AR$20100,dateLog,"&gt;0",symbol,AV4)/(AW4+AX4)</f>
        <v>0.3180775478118158</v>
      </c>
      <c r="BC4">
        <f>IFERROR(SUMIFS(profitPercent,stats,2,dateLog,"&gt;0",symbol,AV4)/AW4,"NA")</f>
        <v>0.17811031728866827</v>
      </c>
      <c r="BD4">
        <f>IFERROR(SUMIFS(profitPercent,stats,1,dateLog,"&gt;0",symbol,AV4)/AW4,"NA")</f>
        <v>-1.9200441790450207E-2</v>
      </c>
      <c r="BE4" t="s">
        <v>439</v>
      </c>
    </row>
    <row r="5" spans="1:61" ht="21.75" customHeight="1">
      <c r="A5" s="157"/>
      <c r="B5" s="157"/>
      <c r="C5" s="652" t="str">
        <f>"d"&amp;COUNT(E15:E1472)+15</f>
        <v>d21</v>
      </c>
      <c r="D5" s="289"/>
      <c r="E5" s="289"/>
      <c r="F5" s="289"/>
      <c r="G5" s="1011" t="s">
        <v>3</v>
      </c>
      <c r="H5" s="1011" t="s">
        <v>568</v>
      </c>
      <c r="I5" s="1011" t="s">
        <v>563</v>
      </c>
      <c r="J5" s="1011"/>
      <c r="K5" s="999"/>
      <c r="L5" s="999"/>
      <c r="M5" s="1011" t="s">
        <v>696</v>
      </c>
      <c r="N5" s="1011" t="s">
        <v>687</v>
      </c>
      <c r="O5" s="1011" t="s">
        <v>688</v>
      </c>
      <c r="P5" s="1011" t="s">
        <v>689</v>
      </c>
      <c r="Q5" s="1011" t="s">
        <v>690</v>
      </c>
      <c r="R5" s="313"/>
      <c r="V5" s="157"/>
      <c r="AF5" s="10">
        <f t="shared" ref="AF5:AF10" si="1">MAX($AF$11,AH5)</f>
        <v>42736</v>
      </c>
      <c r="AG5" t="s">
        <v>64</v>
      </c>
      <c r="AH5">
        <f>DATE(YEAR(AG4),MONTH(1),DAY(1))</f>
        <v>42736</v>
      </c>
      <c r="AI5">
        <f>DATE(YEAR(AH5),MONTH(AH5)+3,DAY(1)-1)</f>
        <v>42825</v>
      </c>
      <c r="AJ5">
        <f t="shared" ref="AJ5:AJ10" si="2">SUMIFS(profitLoss,dateLog,"&gt;="&amp;AH5,dateLog,"&lt;="&amp;AI5)</f>
        <v>0</v>
      </c>
      <c r="AK5">
        <f>IF(AM5=0,'Bank Transfers'!H15,AM5)</f>
        <v>100000</v>
      </c>
      <c r="AL5">
        <f t="shared" si="0"/>
        <v>0</v>
      </c>
      <c r="AM5">
        <f>INDEX('Monthly Report'!$E$22:$E$87,IFERROR(MATCH(AF5,'Monthly Report'!$Y$22:$Y$87,0),MATCH('Bank Transfers'!$L$15,'Monthly Report'!$Y$22:$Y$87,0)))</f>
        <v>100000</v>
      </c>
      <c r="AO5" t="s">
        <v>641</v>
      </c>
      <c r="AP5">
        <f>COUNTIF(calc!AP15:AP251,"&gt;0")</f>
        <v>6</v>
      </c>
      <c r="AQ5" t="str">
        <f>INDEX('Trade Log'!$BT$15:$BT$977,AU5)</f>
        <v>APX</v>
      </c>
      <c r="AR5">
        <f>MATCH(AV5,calc!$AS$15:$AS$251,0)</f>
        <v>7</v>
      </c>
      <c r="AS5">
        <v>2</v>
      </c>
      <c r="AT5">
        <f>LARGE('Trade Log'!$BZ$15:$BZ$977,AS5)</f>
        <v>3.0000007000000002</v>
      </c>
      <c r="AU5">
        <f>MATCH(AT5,'Trade Log'!$BZ$15:$BZ$977,0)</f>
        <v>7</v>
      </c>
      <c r="AV5" t="str">
        <f>IF($AR$1="Most Trades",AQ5,IF($AR$1="Top Symbol",D16,M16))</f>
        <v>APX</v>
      </c>
      <c r="AW5">
        <f>INDEX(calc!AT$15:AT$251,$AR5)</f>
        <v>1</v>
      </c>
      <c r="AX5">
        <f>INDEX(calc!AU$15:AU$251,$AR5)</f>
        <v>2</v>
      </c>
      <c r="AY5">
        <f>AW5/AT5</f>
        <v>0.33333325555557369</v>
      </c>
      <c r="AZ5">
        <f>INDEX(calc!AX$15:AX$251,$AR5)</f>
        <v>7448.7155000000021</v>
      </c>
      <c r="BA5">
        <f>SUMIFS('Trade Log'!$AB$15:$AB$20100,stats,"&gt;0",'Trade Log'!$Q16:$Q20101,0,symbol,AV5)/(AW5+AX5)</f>
        <v>0.33333333333333331</v>
      </c>
      <c r="BB5">
        <f>SUMIFS('Trade Log'!$AR$15:$AR$20100,dateLog,"&gt;0",symbol,AV5)/(AW5+AX5)</f>
        <v>0.31334810376207406</v>
      </c>
      <c r="BC5">
        <f>IFERROR(SUMIFS(profitPercent,stats,2,dateLog,"&gt;0",symbol,AV5)/AW5,"NA")</f>
        <v>0.21981527318906263</v>
      </c>
      <c r="BD5">
        <f>IFERROR(SUMIFS(profitPercent,stats,1,dateLog,"&gt;0",symbol,AV5)/AW5,"NA")</f>
        <v>-3.4895363761648923E-2</v>
      </c>
      <c r="BE5" t="s">
        <v>23</v>
      </c>
      <c r="BF5">
        <f>'Trade Log'!AN3</f>
        <v>9</v>
      </c>
      <c r="BH5" t="s">
        <v>205</v>
      </c>
      <c r="BI5">
        <f>IFERROR('Monthly Report'!G21/BF5,0)</f>
        <v>5714.1000055555533</v>
      </c>
    </row>
    <row r="6" spans="1:61" ht="18" customHeight="1">
      <c r="A6" s="157"/>
      <c r="B6" s="157"/>
      <c r="C6" s="652"/>
      <c r="D6" s="289"/>
      <c r="E6" s="289"/>
      <c r="F6" s="289"/>
      <c r="G6" s="717" t="str">
        <f>IFERROR(AV4,"")</f>
        <v>PXP</v>
      </c>
      <c r="H6" s="920">
        <f>IFERROR(AZ4,"")</f>
        <v>22728.11774999999</v>
      </c>
      <c r="I6" s="718" t="str">
        <f>IFERROR(TEXT((AW4+AX4),0)&amp;" ("&amp;TEXT(AY4,"0.0%")&amp;")","")</f>
        <v>6 (57.1%)</v>
      </c>
      <c r="J6" s="648"/>
      <c r="K6" s="289"/>
      <c r="L6" s="289"/>
      <c r="M6" s="844">
        <f>IFERROR(AY4,"")</f>
        <v>0.57142853877551203</v>
      </c>
      <c r="N6" s="843">
        <f t="shared" ref="N6:Q10" si="3">IFERROR(BA4,"")</f>
        <v>2.3333333333333335</v>
      </c>
      <c r="O6" s="844">
        <f t="shared" si="3"/>
        <v>0.3180775478118158</v>
      </c>
      <c r="P6" s="846">
        <f t="shared" si="3"/>
        <v>0.17811031728866827</v>
      </c>
      <c r="Q6" s="845">
        <f t="shared" si="3"/>
        <v>-1.9200441790450207E-2</v>
      </c>
      <c r="R6" s="374"/>
      <c r="V6" s="157"/>
      <c r="AF6" s="10">
        <f t="shared" si="1"/>
        <v>42826</v>
      </c>
      <c r="AG6" t="s">
        <v>63</v>
      </c>
      <c r="AH6">
        <f>DATE(YEAR(AI5),MONTH(AI5)+1,DAY(1))</f>
        <v>42826</v>
      </c>
      <c r="AI6">
        <f>DATE(YEAR(AH6),MONTH(AH6)+3,DAY(1)-1)</f>
        <v>42916</v>
      </c>
      <c r="AJ6">
        <f t="shared" si="2"/>
        <v>0</v>
      </c>
      <c r="AK6">
        <f>INDEX('Monthly Report'!$E$22:$E$87,IFERROR(MATCH(AF6,'Monthly Report'!$Y$22:$Y$87,0),MATCH('Bank Transfers'!$L$15,'Monthly Report'!$Y$22:$Y$87,0)))</f>
        <v>100000</v>
      </c>
      <c r="AL6">
        <f t="shared" si="0"/>
        <v>0</v>
      </c>
      <c r="AP6">
        <f>AP4/AP1</f>
        <v>0.5</v>
      </c>
      <c r="AQ6" t="str">
        <f>INDEX('Trade Log'!$BT$15:$BT$977,AU6)</f>
        <v>MAC</v>
      </c>
      <c r="AR6">
        <f>MATCH(AV6,calc!$AS$15:$AS$251,0)</f>
        <v>5</v>
      </c>
      <c r="AS6">
        <v>3</v>
      </c>
      <c r="AT6">
        <f>LARGE('Trade Log'!$BZ$15:$BZ$977,AS6)</f>
        <v>2.0000005000000001</v>
      </c>
      <c r="AU6">
        <f>MATCH(AT6,'Trade Log'!$BZ$15:$BZ$977,0)</f>
        <v>5</v>
      </c>
      <c r="AV6" t="str">
        <f>IF($AR$1="Most Trades",AQ6,IF($AR$1="Top Symbol",D17,M17))</f>
        <v>MAC</v>
      </c>
      <c r="AW6">
        <f>INDEX(calc!AT$15:AT$251,$AR6)</f>
        <v>1</v>
      </c>
      <c r="AX6">
        <f>INDEX(calc!AU$15:AU$251,$AR6)</f>
        <v>1</v>
      </c>
      <c r="AY6">
        <f>AW6/AT6</f>
        <v>0.49999987500003124</v>
      </c>
      <c r="AZ6">
        <f>INDEX(calc!AX$15:AX$251,$AR6)</f>
        <v>5899.5693000000028</v>
      </c>
      <c r="BA6">
        <f>SUMIFS('Trade Log'!$AB$15:$AB$20100,stats,"&gt;0",'Trade Log'!$Q17:$Q20102,0,symbol,AV6)/(AW6+AX6)</f>
        <v>0.5</v>
      </c>
      <c r="BB6">
        <f>SUMIFS('Trade Log'!$AR$15:$AR$20100,dateLog,"&gt;0",symbol,AV6)/(AW6+AX6)</f>
        <v>0.30279436263359694</v>
      </c>
      <c r="BC6">
        <f>IFERROR(SUMIFS(profitPercent,stats,2,dateLog,"&gt;0",symbol,AV6)/AW6,"NA")</f>
        <v>0.24036760813687197</v>
      </c>
      <c r="BD6">
        <f>IFERROR(SUMIFS(profitPercent,stats,1,dateLog,"&gt;0",symbol,AV6)/AW6,"NA")</f>
        <v>-7.3623435864200629E-2</v>
      </c>
      <c r="BE6" t="s">
        <v>24</v>
      </c>
      <c r="BF6">
        <f>'Trade Log'!AN4</f>
        <v>12</v>
      </c>
      <c r="BH6" t="s">
        <v>206</v>
      </c>
      <c r="BI6">
        <f>IFERROR(-'Monthly Report'!H21/BF6,0)</f>
        <v>1041.2804333333345</v>
      </c>
    </row>
    <row r="7" spans="1:61" ht="18" customHeight="1">
      <c r="A7" s="157"/>
      <c r="B7" s="157"/>
      <c r="C7" s="652"/>
      <c r="D7" s="289"/>
      <c r="E7" s="289"/>
      <c r="F7" s="289"/>
      <c r="G7" s="717" t="str">
        <f>IFERROR(AV5,"")</f>
        <v>APX</v>
      </c>
      <c r="H7" s="920">
        <f>IFERROR(AZ5,"")</f>
        <v>7448.7155000000021</v>
      </c>
      <c r="I7" s="718" t="str">
        <f>IFERROR(TEXT((AW5+AX5),0)&amp;" ("&amp;TEXT(AY5,"0.0%")&amp;")","")</f>
        <v>3 (33.3%)</v>
      </c>
      <c r="J7" s="648"/>
      <c r="K7" s="289"/>
      <c r="L7" s="289"/>
      <c r="M7" s="844">
        <f>IFERROR(AY5,"")</f>
        <v>0.33333325555557369</v>
      </c>
      <c r="N7" s="843">
        <f t="shared" si="3"/>
        <v>0.33333333333333331</v>
      </c>
      <c r="O7" s="844">
        <f t="shared" si="3"/>
        <v>0.31334810376207406</v>
      </c>
      <c r="P7" s="846">
        <f t="shared" si="3"/>
        <v>0.21981527318906263</v>
      </c>
      <c r="Q7" s="845">
        <f t="shared" si="3"/>
        <v>-3.4895363761648923E-2</v>
      </c>
      <c r="R7" s="374"/>
      <c r="V7" s="157"/>
      <c r="AF7" s="10">
        <f t="shared" si="1"/>
        <v>42917</v>
      </c>
      <c r="AG7" t="s">
        <v>62</v>
      </c>
      <c r="AH7">
        <f>DATE(YEAR(AI6),MONTH(AI6)+1,DAY(1))</f>
        <v>42917</v>
      </c>
      <c r="AI7">
        <f>DATE(YEAR(AH7),MONTH(AH7)+3,DAY(1)-1)</f>
        <v>43008</v>
      </c>
      <c r="AJ7">
        <f t="shared" si="2"/>
        <v>42474.509149999969</v>
      </c>
      <c r="AK7">
        <f>INDEX('Monthly Report'!$E$22:$E$87,IFERROR(MATCH(AF7,'Monthly Report'!$Y$22:$Y$87,0),MATCH('Bank Transfers'!$L$15,'Monthly Report'!$Y$22:$Y$87,0)))</f>
        <v>100000</v>
      </c>
      <c r="AL7">
        <f t="shared" si="0"/>
        <v>0.42474509149999967</v>
      </c>
      <c r="AP7" t="s">
        <v>629</v>
      </c>
      <c r="AQ7" t="str">
        <f>INDEX('Trade Log'!$BT$15:$BT$977,AU7)</f>
        <v>CHP</v>
      </c>
      <c r="AR7">
        <f>MATCH(AV7,calc!$AS$15:$AS$251,0)</f>
        <v>2</v>
      </c>
      <c r="AS7">
        <v>4</v>
      </c>
      <c r="AT7">
        <f>LARGE('Trade Log'!$BZ$15:$BZ$977,AS7)</f>
        <v>2.0000002000000001</v>
      </c>
      <c r="AU7">
        <f>MATCH(AT7,'Trade Log'!$BZ$15:$BZ$977,0)</f>
        <v>2</v>
      </c>
      <c r="AV7" t="str">
        <f>IF($AR$1="Most Trades",AQ7,IF($AR$1="Top Symbol",D18,M18))</f>
        <v>CHP</v>
      </c>
      <c r="AW7">
        <f>INDEX(calc!AT$15:AT$251,$AR7)</f>
        <v>0</v>
      </c>
      <c r="AX7">
        <f>INDEX(calc!AU$15:AU$251,$AR7)</f>
        <v>2</v>
      </c>
      <c r="AY7">
        <f>AW7/AT7</f>
        <v>0</v>
      </c>
      <c r="AZ7">
        <f>INDEX(calc!AX$15:AX$251,$AR7)</f>
        <v>-1874.8869499999964</v>
      </c>
      <c r="BA7">
        <f>SUMIFS('Trade Log'!$AB$15:$AB$20100,stats,"&gt;0",'Trade Log'!$Q18:$Q20103,0,symbol,AV7)/(AW7+AX7)</f>
        <v>0</v>
      </c>
      <c r="BB7">
        <f>SUMIFS('Trade Log'!$AR$15:$AR$20100,dateLog,"&gt;0",symbol,AV7)/(AW7+AX7)</f>
        <v>0.32932938874658091</v>
      </c>
      <c r="BC7" t="str">
        <f>IFERROR(SUMIFS(profitPercent,stats,2,dateLog,"&gt;0",symbol,AV7)/AW7,"NA")</f>
        <v>NA</v>
      </c>
      <c r="BD7" t="str">
        <f>IFERROR(SUMIFS(profitPercent,stats,1,dateLog,"&gt;0",symbol,AV7)/AW7,"NA")</f>
        <v>NA</v>
      </c>
      <c r="BE7" t="s">
        <v>25</v>
      </c>
      <c r="BF7">
        <f>IFERROR(BF5/BF6,BF5&amp; " : " &amp; 0)</f>
        <v>0.75</v>
      </c>
      <c r="BH7" t="s">
        <v>26</v>
      </c>
      <c r="BI7">
        <f>IFERROR(IFERROR(BI5/BI6,(ROUND(BI5,1) &amp;" : " &amp;"0")),"0 : 0")</f>
        <v>5.4875707087509982</v>
      </c>
    </row>
    <row r="8" spans="1:61" ht="18" customHeight="1">
      <c r="A8" s="157"/>
      <c r="B8" s="157"/>
      <c r="C8" s="652"/>
      <c r="D8" s="289"/>
      <c r="E8" s="289"/>
      <c r="F8" s="289"/>
      <c r="G8" s="717" t="str">
        <f>IFERROR(AV6,"")</f>
        <v>MAC</v>
      </c>
      <c r="H8" s="920">
        <f>IFERROR(AZ6,"")</f>
        <v>5899.5693000000028</v>
      </c>
      <c r="I8" s="718" t="str">
        <f>IFERROR(TEXT((AW6+AX6),0)&amp;" ("&amp;TEXT(AY6,"0.0%")&amp;")","")</f>
        <v>2 (50.0%)</v>
      </c>
      <c r="J8" s="648"/>
      <c r="K8" s="289"/>
      <c r="L8" s="289"/>
      <c r="M8" s="844">
        <f>IFERROR(AY6,"")</f>
        <v>0.49999987500003124</v>
      </c>
      <c r="N8" s="843">
        <f t="shared" si="3"/>
        <v>0.5</v>
      </c>
      <c r="O8" s="844">
        <f t="shared" si="3"/>
        <v>0.30279436263359694</v>
      </c>
      <c r="P8" s="846">
        <f t="shared" si="3"/>
        <v>0.24036760813687197</v>
      </c>
      <c r="Q8" s="845">
        <f t="shared" si="3"/>
        <v>-7.3623435864200629E-2</v>
      </c>
      <c r="R8" s="374"/>
      <c r="V8" s="157"/>
      <c r="AF8" s="10">
        <f t="shared" si="1"/>
        <v>43009</v>
      </c>
      <c r="AG8" t="s">
        <v>61</v>
      </c>
      <c r="AH8">
        <f>DATE(YEAR(AI7),MONTH(AI7)+1,DAY(1))</f>
        <v>43009</v>
      </c>
      <c r="AI8">
        <f>DATE(YEAR(AH8),MONTH(AH8)+3,DAY(1)-1)</f>
        <v>43100</v>
      </c>
      <c r="AJ8">
        <f t="shared" si="2"/>
        <v>-3542.9743000000017</v>
      </c>
      <c r="AK8">
        <f>INDEX('Monthly Report'!$E$22:$E$87,IFERROR(MATCH(AF8,'Monthly Report'!$Y$22:$Y$87,0),MATCH('Bank Transfers'!$L$15,'Monthly Report'!$Y$22:$Y$87,0)))</f>
        <v>142474.50915</v>
      </c>
      <c r="AL8">
        <f t="shared" si="0"/>
        <v>-2.4867425907534716E-2</v>
      </c>
      <c r="AP8">
        <f>SUM(calc!BL15:BL54)</f>
        <v>46366.378499999999</v>
      </c>
      <c r="AQ8" t="str">
        <f>INDEX('Trade Log'!$BT$15:$BT$977,AU8)</f>
        <v>EW</v>
      </c>
      <c r="AR8">
        <f>MATCH(AV8,calc!$AS$15:$AS$251,0)</f>
        <v>12</v>
      </c>
      <c r="AS8">
        <v>5</v>
      </c>
      <c r="AT8">
        <f>LARGE('Trade Log'!$BZ$15:$BZ$977,AS8)</f>
        <v>1.0000012</v>
      </c>
      <c r="AU8">
        <f>MATCH(AT8,'Trade Log'!$BZ$15:$BZ$977,0)</f>
        <v>12</v>
      </c>
      <c r="AV8" t="str">
        <f>IF($AR$1="Most Trades",AQ8,IF($AR$1="Top Symbol",D19,M19))</f>
        <v>EW</v>
      </c>
      <c r="AW8">
        <f>INDEX(calc!AT$15:AT$251,$AR8)</f>
        <v>0</v>
      </c>
      <c r="AX8">
        <f>INDEX(calc!AU$15:AU$251,$AR8)</f>
        <v>1</v>
      </c>
      <c r="AY8">
        <f>AW8/AT8</f>
        <v>0</v>
      </c>
      <c r="AZ8">
        <f>INDEX(calc!AX$15:AX$251,$AR8)</f>
        <v>-903.31150000000343</v>
      </c>
      <c r="BA8">
        <f>SUMIFS('Trade Log'!$AB$15:$AB$20100,stats,"&gt;0",'Trade Log'!$Q19:$Q20104,0,symbol,AV8)/(AW8+AX8)</f>
        <v>0</v>
      </c>
      <c r="BB8">
        <f>SUMIFS('Trade Log'!$AR$15:$AR$20100,dateLog,"&gt;0",symbol,AV8)/(AW8+AX8)</f>
        <v>0.29341500349244715</v>
      </c>
      <c r="BC8" t="str">
        <f>IFERROR(SUMIFS(profitPercent,stats,2,dateLog,"&gt;0",symbol,AV8)/AW8,"NA")</f>
        <v>NA</v>
      </c>
      <c r="BD8" t="str">
        <f>IFERROR(SUMIFS(profitPercent,stats,1,dateLog,"&gt;0",symbol,AV8)/AW8,"NA")</f>
        <v>NA</v>
      </c>
      <c r="BE8" t="s">
        <v>646</v>
      </c>
      <c r="BF8">
        <f>IFERROR(BF5/(BF5+BF6),0)</f>
        <v>0.42857142857142855</v>
      </c>
      <c r="BH8" t="s">
        <v>648</v>
      </c>
      <c r="BI8" s="873">
        <f>IFERROR(BI5/(BI5+BI6),0)</f>
        <v>0.84585909812880911</v>
      </c>
    </row>
    <row r="9" spans="1:61" ht="18" customHeight="1">
      <c r="A9" s="157"/>
      <c r="B9" s="157"/>
      <c r="C9" s="652"/>
      <c r="D9" s="289"/>
      <c r="E9" s="289"/>
      <c r="F9" s="289"/>
      <c r="G9" s="717" t="str">
        <f>IFERROR(AV7,"")</f>
        <v>CHP</v>
      </c>
      <c r="H9" s="920">
        <f>IFERROR(AZ7,"")</f>
        <v>-1874.8869499999964</v>
      </c>
      <c r="I9" s="718" t="str">
        <f>IFERROR(TEXT((AW7+AX7),0)&amp;" ("&amp;TEXT(AY7,"0.0%")&amp;")","")</f>
        <v>2 (0.0%)</v>
      </c>
      <c r="J9" s="648"/>
      <c r="K9" s="289"/>
      <c r="L9" s="289"/>
      <c r="M9" s="844">
        <f>IFERROR(AY7,"")</f>
        <v>0</v>
      </c>
      <c r="N9" s="843">
        <f t="shared" si="3"/>
        <v>0</v>
      </c>
      <c r="O9" s="844">
        <f t="shared" si="3"/>
        <v>0.32932938874658091</v>
      </c>
      <c r="P9" s="846" t="str">
        <f t="shared" si="3"/>
        <v>NA</v>
      </c>
      <c r="Q9" s="845" t="str">
        <f t="shared" si="3"/>
        <v>NA</v>
      </c>
      <c r="R9" s="734"/>
      <c r="V9" s="157"/>
      <c r="AF9" s="10">
        <f t="shared" si="1"/>
        <v>42736</v>
      </c>
      <c r="AG9" t="s">
        <v>59</v>
      </c>
      <c r="AH9">
        <f>AH5</f>
        <v>42736</v>
      </c>
      <c r="AI9">
        <f>AG4</f>
        <v>43038</v>
      </c>
      <c r="AJ9">
        <f t="shared" si="2"/>
        <v>38931.534849999967</v>
      </c>
      <c r="AK9">
        <f>AK5</f>
        <v>100000</v>
      </c>
      <c r="AL9">
        <f t="shared" si="0"/>
        <v>0.38931534849999966</v>
      </c>
      <c r="BE9" t="s">
        <v>647</v>
      </c>
      <c r="BF9">
        <f>IFERROR(BF6/(BF5+BF6),0)</f>
        <v>0.5714285714285714</v>
      </c>
      <c r="BH9" t="s">
        <v>649</v>
      </c>
      <c r="BI9" s="873">
        <f>IFERROR(BI6/(BI5+BI6),0)</f>
        <v>0.15414090187119089</v>
      </c>
    </row>
    <row r="10" spans="1:61" ht="18" customHeight="1">
      <c r="A10" s="157"/>
      <c r="B10" s="157"/>
      <c r="C10" s="652"/>
      <c r="D10" s="289"/>
      <c r="E10" s="289"/>
      <c r="F10" s="289"/>
      <c r="G10" s="717" t="str">
        <f>IFERROR(AV8,"")</f>
        <v>EW</v>
      </c>
      <c r="H10" s="719">
        <f>IFERROR(AZ8,"")</f>
        <v>-903.31150000000343</v>
      </c>
      <c r="I10" s="718" t="str">
        <f>IFERROR(TEXT((AW8+AX8),0)&amp;" ("&amp;TEXT(AY8,"0.0%")&amp;")","")</f>
        <v>1 (0.0%)</v>
      </c>
      <c r="J10" s="648"/>
      <c r="K10" s="289"/>
      <c r="L10" s="289"/>
      <c r="M10" s="844">
        <f>IFERROR(AY8,"")</f>
        <v>0</v>
      </c>
      <c r="N10" s="843">
        <f t="shared" si="3"/>
        <v>0</v>
      </c>
      <c r="O10" s="844">
        <f t="shared" si="3"/>
        <v>0.29341500349244715</v>
      </c>
      <c r="P10" s="846" t="str">
        <f t="shared" si="3"/>
        <v>NA</v>
      </c>
      <c r="Q10" s="845" t="str">
        <f t="shared" si="3"/>
        <v>NA</v>
      </c>
      <c r="R10" s="649"/>
      <c r="V10" s="157"/>
      <c r="AF10" s="10">
        <f t="shared" si="1"/>
        <v>42736</v>
      </c>
      <c r="AG10" t="s">
        <v>60</v>
      </c>
      <c r="AH10">
        <f>DATE(YEAR(AG4)-1,MONTH(1),DAY(1))</f>
        <v>42370</v>
      </c>
      <c r="AI10">
        <f>DATE(YEAR(AH10)+1,MONTH(1),DAY(1)-1)</f>
        <v>42735</v>
      </c>
      <c r="AJ10">
        <f t="shared" si="2"/>
        <v>0</v>
      </c>
      <c r="AK10" t="str">
        <f>IFERROR(INDEX('Monthly Report'!$E$22:$E$87,MATCH(AF10,'Monthly Report'!$Y$22:$Y$87,0)),"")</f>
        <v/>
      </c>
      <c r="AL10">
        <f t="shared" si="0"/>
        <v>0</v>
      </c>
      <c r="BE10" t="s">
        <v>650</v>
      </c>
      <c r="BF10">
        <f>SUMIFS(profitPercent,stats,2,dateLog,"&gt;0")/BF5</f>
        <v>0.15476162265178506</v>
      </c>
    </row>
    <row r="11" spans="1:61" ht="2.25" customHeight="1">
      <c r="A11" s="157"/>
      <c r="B11" s="157"/>
      <c r="C11" s="652"/>
      <c r="D11" s="645"/>
      <c r="E11" s="646"/>
      <c r="F11" s="646"/>
      <c r="G11" s="646"/>
      <c r="H11" s="650"/>
      <c r="I11" s="289"/>
      <c r="J11" s="289"/>
      <c r="K11" s="289"/>
      <c r="L11" s="289"/>
      <c r="M11" s="651"/>
      <c r="N11" s="289"/>
      <c r="O11" s="289"/>
      <c r="P11" s="649"/>
      <c r="Q11" s="649"/>
      <c r="R11" s="649"/>
      <c r="V11" s="157"/>
      <c r="W11">
        <f>SUM(calc!$BL$15:$BL$54)</f>
        <v>46366.378499999999</v>
      </c>
      <c r="AE11">
        <f>DATE(YEAR(AG4),MONTH(1),DAY(1))</f>
        <v>42736</v>
      </c>
      <c r="AF11">
        <f>MIN('Monthly Report'!$Y$22:$Y$87,AE11)</f>
        <v>42736</v>
      </c>
      <c r="AG11" t="s">
        <v>72</v>
      </c>
      <c r="AH11" t="s">
        <v>104</v>
      </c>
      <c r="AI11" t="s">
        <v>105</v>
      </c>
      <c r="AJ11" t="s">
        <v>102</v>
      </c>
      <c r="AK11" t="s">
        <v>103</v>
      </c>
      <c r="AL11" t="s">
        <v>107</v>
      </c>
      <c r="BE11" t="s">
        <v>651</v>
      </c>
      <c r="BF11">
        <f>SUMIFS(profitPercent,stats,1,dateLog,"&gt;0")/BF6</f>
        <v>-2.5614718385150431E-2</v>
      </c>
    </row>
    <row r="12" spans="1:61" ht="6" hidden="1" customHeight="1">
      <c r="A12" s="157"/>
      <c r="B12" s="157"/>
      <c r="C12" s="652"/>
      <c r="J12" s="11"/>
      <c r="V12" s="157"/>
    </row>
    <row r="13" spans="1:61" ht="5.0999999999999996" customHeight="1">
      <c r="A13" s="157"/>
      <c r="B13" s="157"/>
      <c r="C13" s="653"/>
      <c r="D13" s="655"/>
      <c r="E13" s="655"/>
      <c r="F13" s="655"/>
      <c r="G13" s="655"/>
      <c r="H13" s="655"/>
      <c r="I13" s="655"/>
      <c r="J13" s="157"/>
      <c r="K13" s="157"/>
      <c r="L13" s="157"/>
      <c r="M13" s="655"/>
      <c r="N13" s="655"/>
      <c r="O13" s="655"/>
      <c r="P13" s="655"/>
      <c r="Q13" s="656"/>
      <c r="R13" s="656"/>
      <c r="S13" s="157"/>
      <c r="T13" s="157"/>
      <c r="U13" s="157" t="s">
        <v>443</v>
      </c>
      <c r="V13" s="157"/>
    </row>
    <row r="14" spans="1:61" ht="21.75" customHeight="1">
      <c r="A14" s="157"/>
      <c r="B14" s="157"/>
      <c r="C14" s="653"/>
      <c r="D14" s="975" t="s">
        <v>634</v>
      </c>
      <c r="E14" s="975" t="s">
        <v>386</v>
      </c>
      <c r="F14" s="975" t="s">
        <v>355</v>
      </c>
      <c r="G14" s="975" t="s">
        <v>639</v>
      </c>
      <c r="H14" s="975" t="s">
        <v>636</v>
      </c>
      <c r="I14" s="975" t="s">
        <v>442</v>
      </c>
      <c r="J14" s="1012"/>
      <c r="K14" s="802"/>
      <c r="L14" s="802"/>
      <c r="M14" s="975" t="s">
        <v>635</v>
      </c>
      <c r="N14" s="975" t="s">
        <v>387</v>
      </c>
      <c r="O14" s="975" t="s">
        <v>355</v>
      </c>
      <c r="P14" s="975" t="s">
        <v>639</v>
      </c>
      <c r="Q14" s="975" t="s">
        <v>636</v>
      </c>
      <c r="R14" s="975" t="s">
        <v>442</v>
      </c>
      <c r="V14" s="157"/>
    </row>
    <row r="15" spans="1:61" ht="20.100000000000001" customHeight="1">
      <c r="C15" s="666">
        <v>1</v>
      </c>
      <c r="D15" s="962" t="str">
        <f>IFERROR(INDEX(calc!$AS$15:$AS$251,calc!AO15),"")</f>
        <v>PXP</v>
      </c>
      <c r="E15" s="906">
        <f>IFERROR(IF(calc!AQ15&gt;0,calc!AQ15,""),"")</f>
        <v>22728.11774999999</v>
      </c>
      <c r="F15" s="729">
        <f>IFERROR(INDEX(calc!$BB$15:$BB$251,calc!AO15),"")</f>
        <v>6</v>
      </c>
      <c r="G15" s="730">
        <f>IFERROR(INDEX(calc!$AY$15:$AY$251,calc!AO15),"")</f>
        <v>0.66666666666666663</v>
      </c>
      <c r="H15" s="731">
        <f>IFERROR(INDEX(calc!$AZ$15:$AZ$251,calc!AO15),"")</f>
        <v>8.16730730503388</v>
      </c>
      <c r="I15" s="910">
        <f>IFERROR(INDEX(calc!$BA$15:$BA$251,calc!AO15),"")</f>
        <v>3788.0196249999976</v>
      </c>
      <c r="J15" s="157"/>
      <c r="M15" s="964" t="str">
        <f>IFERROR(INDEX(calc!$AS$15:$AS$251,calc!AP15),"")</f>
        <v>CHP</v>
      </c>
      <c r="N15" s="914">
        <f>IFERROR(IF(calc!AR15&lt;0,calc!AR15,""),"")</f>
        <v>-1874.8869499999964</v>
      </c>
      <c r="O15" s="735">
        <f>IFERROR(INDEX(calc!$BB$15:$BB$251,calc!AP15),"")</f>
        <v>2</v>
      </c>
      <c r="P15" s="732">
        <f>IFERROR(INDEX(calc!$AY$15:$AY$251,calc!AP15),"")</f>
        <v>0</v>
      </c>
      <c r="Q15" s="731" t="str">
        <f>IFERROR(INDEX(calc!$AZ$15:$AZ$251,calc!AP15),"")</f>
        <v>NA</v>
      </c>
      <c r="R15" s="916" t="str">
        <f>IFERROR(INDEX(calc!$BA$15:$BA$251,calc!AP15),"")</f>
        <v>NA</v>
      </c>
      <c r="V15" s="157"/>
    </row>
    <row r="16" spans="1:61" ht="20.100000000000001" customHeight="1">
      <c r="C16" s="666">
        <f>C15+1</f>
        <v>2</v>
      </c>
      <c r="D16" s="963" t="str">
        <f>IFERROR(INDEX(calc!$AS$15:$AS$251,calc!AO16),"")</f>
        <v>APX</v>
      </c>
      <c r="E16" s="907">
        <f>IFERROR(IF(calc!AQ16&gt;0,calc!AQ16,""),"")</f>
        <v>7448.7155000000021</v>
      </c>
      <c r="F16" s="735">
        <f>IFERROR(INDEX(calc!$BB$15:$BB$251,calc!AO16),"")</f>
        <v>3</v>
      </c>
      <c r="G16" s="736">
        <f>IFERROR(INDEX(calc!$AY$15:$AY$251,calc!AO16),"")</f>
        <v>0.33333333333333331</v>
      </c>
      <c r="H16" s="737">
        <f>IFERROR(INDEX(calc!$AZ$15:$AZ$251,calc!AO16),"")</f>
        <v>6.7753710443516386</v>
      </c>
      <c r="I16" s="911">
        <f>IFERROR(INDEX(calc!$BA$15:$BA$251,calc!AO16),"")</f>
        <v>2482.9051666666674</v>
      </c>
      <c r="J16" s="157"/>
      <c r="M16" s="965" t="str">
        <f>IFERROR(INDEX(calc!$AS$15:$AS$251,calc!AP16),"")</f>
        <v>MRP</v>
      </c>
      <c r="N16" s="915">
        <f>IFERROR(IF(calc!AR16&lt;0,calc!AR16,""),"")</f>
        <v>-1012.9002000000037</v>
      </c>
      <c r="O16" s="735">
        <f>IFERROR(INDEX(calc!$BB$15:$BB$251,calc!AP16),"")</f>
        <v>1</v>
      </c>
      <c r="P16" s="738">
        <f>IFERROR(INDEX(calc!$AY$15:$AY$251,calc!AP16),"")</f>
        <v>0</v>
      </c>
      <c r="Q16" s="737" t="str">
        <f>IFERROR(INDEX(calc!$AZ$15:$AZ$251,calc!AP16),"")</f>
        <v>NA</v>
      </c>
      <c r="R16" s="917" t="str">
        <f>IFERROR(INDEX(calc!$BA$15:$BA$251,calc!AP16),"")</f>
        <v>NA</v>
      </c>
      <c r="V16" s="157"/>
    </row>
    <row r="17" spans="3:22" ht="20.100000000000001" customHeight="1">
      <c r="C17" s="666">
        <f t="shared" ref="C17:C80" si="4">C16+1</f>
        <v>3</v>
      </c>
      <c r="D17" s="963" t="str">
        <f>IFERROR(INDEX(calc!$AS$15:$AS$251,calc!AO17),"")</f>
        <v>MAC</v>
      </c>
      <c r="E17" s="907">
        <f>IFERROR(IF(calc!AQ17&gt;0,calc!AQ17,""),"")</f>
        <v>5899.5693000000028</v>
      </c>
      <c r="F17" s="735">
        <f>IFERROR(INDEX(calc!$BB$15:$BB$251,calc!AO17),"")</f>
        <v>2</v>
      </c>
      <c r="G17" s="736">
        <f>IFERROR(INDEX(calc!$AY$15:$AY$251,calc!AO17),"")</f>
        <v>0.5</v>
      </c>
      <c r="H17" s="737">
        <f>IFERROR(INDEX(calc!$AZ$15:$AZ$251,calc!AO17),"")</f>
        <v>2.8494440447472744</v>
      </c>
      <c r="I17" s="911">
        <f>IFERROR(INDEX(calc!$BA$15:$BA$251,calc!AO17),"")</f>
        <v>2949.7846500000014</v>
      </c>
      <c r="J17" s="157"/>
      <c r="M17" s="965" t="str">
        <f>IFERROR(INDEX(calc!$AS$15:$AS$251,calc!AP17),"")</f>
        <v>EW</v>
      </c>
      <c r="N17" s="915">
        <f>IFERROR(IF(calc!AR17&lt;0,calc!AR17,""),"")</f>
        <v>-903.31150000000343</v>
      </c>
      <c r="O17" s="735">
        <f>IFERROR(INDEX(calc!$BB$15:$BB$251,calc!AP17),"")</f>
        <v>1</v>
      </c>
      <c r="P17" s="738">
        <f>IFERROR(INDEX(calc!$AY$15:$AY$251,calc!AP17),"")</f>
        <v>0</v>
      </c>
      <c r="Q17" s="737" t="str">
        <f>IFERROR(INDEX(calc!$AZ$15:$AZ$251,calc!AP17),"")</f>
        <v>NA</v>
      </c>
      <c r="R17" s="917" t="str">
        <f>IFERROR(INDEX(calc!$BA$15:$BA$251,calc!AP17),"")</f>
        <v>NA</v>
      </c>
      <c r="V17" s="157"/>
    </row>
    <row r="18" spans="3:22" ht="20.100000000000001" customHeight="1">
      <c r="C18" s="666">
        <f t="shared" si="4"/>
        <v>4</v>
      </c>
      <c r="D18" s="963" t="str">
        <f>IFERROR(INDEX(calc!$AS$15:$AS$251,calc!AO18),"")</f>
        <v>IMI</v>
      </c>
      <c r="E18" s="907">
        <f>IFERROR(IF(calc!AQ18&gt;0,calc!AQ18,""),"")</f>
        <v>4625.7648999999947</v>
      </c>
      <c r="F18" s="735">
        <f>IFERROR(INDEX(calc!$BB$15:$BB$251,calc!AO18),"")</f>
        <v>1</v>
      </c>
      <c r="G18" s="736">
        <f>IFERROR(INDEX(calc!$AY$15:$AY$251,calc!AO18),"")</f>
        <v>1</v>
      </c>
      <c r="H18" s="737" t="str">
        <f>IFERROR(INDEX(calc!$AZ$15:$AZ$251,calc!AO18),"")</f>
        <v>NA</v>
      </c>
      <c r="I18" s="911" t="str">
        <f>IFERROR(INDEX(calc!$BA$15:$BA$251,calc!AO18),"")</f>
        <v>NA</v>
      </c>
      <c r="J18" s="157"/>
      <c r="M18" s="965" t="str">
        <f>IFERROR(INDEX(calc!$AS$15:$AS$251,calc!AP18),"")</f>
        <v>EDC</v>
      </c>
      <c r="N18" s="915">
        <f>IFERROR(IF(calc!AR18&lt;0,calc!AR18,""),"")</f>
        <v>-708.27960000000166</v>
      </c>
      <c r="O18" s="735">
        <f>IFERROR(INDEX(calc!$BB$15:$BB$251,calc!AP18),"")</f>
        <v>1</v>
      </c>
      <c r="P18" s="738">
        <f>IFERROR(INDEX(calc!$AY$15:$AY$251,calc!AP18),"")</f>
        <v>0</v>
      </c>
      <c r="Q18" s="737" t="str">
        <f>IFERROR(INDEX(calc!$AZ$15:$AZ$251,calc!AP18),"")</f>
        <v>NA</v>
      </c>
      <c r="R18" s="917" t="str">
        <f>IFERROR(INDEX(calc!$BA$15:$BA$251,calc!AP18),"")</f>
        <v>NA</v>
      </c>
      <c r="V18" s="157"/>
    </row>
    <row r="19" spans="3:22" ht="20.100000000000001" customHeight="1">
      <c r="C19" s="666">
        <f t="shared" si="4"/>
        <v>5</v>
      </c>
      <c r="D19" s="963" t="str">
        <f>IFERROR(INDEX(calc!$AS$15:$AS$251,calc!AO19),"")</f>
        <v>TUGS</v>
      </c>
      <c r="E19" s="907">
        <f>IFERROR(IF(calc!AQ19&gt;0,calc!AQ19,""),"")</f>
        <v>2714.6079999999965</v>
      </c>
      <c r="F19" s="735">
        <f>IFERROR(INDEX(calc!$BB$15:$BB$251,calc!AO19),"")</f>
        <v>1</v>
      </c>
      <c r="G19" s="736">
        <f>IFERROR(INDEX(calc!$AY$15:$AY$251,calc!AO19),"")</f>
        <v>1</v>
      </c>
      <c r="H19" s="737" t="str">
        <f>IFERROR(INDEX(calc!$AZ$15:$AZ$251,calc!AO19),"")</f>
        <v>NA</v>
      </c>
      <c r="I19" s="911" t="str">
        <f>IFERROR(INDEX(calc!$BA$15:$BA$251,calc!AO19),"")</f>
        <v>NA</v>
      </c>
      <c r="J19" s="157"/>
      <c r="M19" s="965" t="str">
        <f>IFERROR(INDEX(calc!$AS$15:$AS$251,calc!AP19),"")</f>
        <v>MEG</v>
      </c>
      <c r="N19" s="915">
        <f>IFERROR(IF(calc!AR19&lt;0,calc!AR19,""),"")</f>
        <v>-213.78105000000505</v>
      </c>
      <c r="O19" s="735">
        <f>IFERROR(INDEX(calc!$BB$15:$BB$251,calc!AP19),"")</f>
        <v>1</v>
      </c>
      <c r="P19" s="738">
        <f>IFERROR(INDEX(calc!$AY$15:$AY$251,calc!AP19),"")</f>
        <v>0</v>
      </c>
      <c r="Q19" s="737" t="str">
        <f>IFERROR(INDEX(calc!$AZ$15:$AZ$251,calc!AP19),"")</f>
        <v>NA</v>
      </c>
      <c r="R19" s="917" t="str">
        <f>IFERROR(INDEX(calc!$BA$15:$BA$251,calc!AP19),"")</f>
        <v>NA</v>
      </c>
      <c r="V19" s="157"/>
    </row>
    <row r="20" spans="3:22" ht="20.100000000000001" customHeight="1">
      <c r="C20" s="666">
        <f t="shared" si="4"/>
        <v>6</v>
      </c>
      <c r="D20" s="963" t="str">
        <f>IFERROR(INDEX(calc!$AS$15:$AS$251,calc!AO20),"")</f>
        <v>WLCON</v>
      </c>
      <c r="E20" s="907">
        <f>IFERROR(IF(calc!AQ20&gt;0,calc!AQ20,""),"")</f>
        <v>359.38979999999719</v>
      </c>
      <c r="F20" s="735">
        <f>IFERROR(INDEX(calc!$BB$15:$BB$251,calc!AO20),"")</f>
        <v>1</v>
      </c>
      <c r="G20" s="736">
        <f>IFERROR(INDEX(calc!$AY$15:$AY$251,calc!AO20),"")</f>
        <v>1</v>
      </c>
      <c r="H20" s="737" t="str">
        <f>IFERROR(INDEX(calc!$AZ$15:$AZ$251,calc!AO20),"")</f>
        <v>NA</v>
      </c>
      <c r="I20" s="911" t="str">
        <f>IFERROR(INDEX(calc!$BA$15:$BA$251,calc!AO20),"")</f>
        <v>NA</v>
      </c>
      <c r="J20" s="157"/>
      <c r="M20" s="965" t="str">
        <f>IFERROR(INDEX(calc!$AS$15:$AS$251,calc!AP20),"")</f>
        <v>X</v>
      </c>
      <c r="N20" s="915">
        <f>IFERROR(IF(calc!AR20&lt;0,calc!AR20,""),"")</f>
        <v>-131.47110000000248</v>
      </c>
      <c r="O20" s="735">
        <f>IFERROR(INDEX(calc!$BB$15:$BB$251,calc!AP20),"")</f>
        <v>1</v>
      </c>
      <c r="P20" s="738">
        <f>IFERROR(INDEX(calc!$AY$15:$AY$251,calc!AP20),"")</f>
        <v>0</v>
      </c>
      <c r="Q20" s="737" t="str">
        <f>IFERROR(INDEX(calc!$AZ$15:$AZ$251,calc!AP20),"")</f>
        <v>NA</v>
      </c>
      <c r="R20" s="917" t="str">
        <f>IFERROR(INDEX(calc!$BA$15:$BA$251,calc!AP20),"")</f>
        <v>NA</v>
      </c>
      <c r="V20" s="157"/>
    </row>
    <row r="21" spans="3:22" ht="20.100000000000001" customHeight="1">
      <c r="C21" s="666">
        <f t="shared" si="4"/>
        <v>7</v>
      </c>
      <c r="D21" s="963" t="str">
        <f>IFERROR(INDEX(calc!$AS$15:$AS$251,calc!AO21),"")</f>
        <v/>
      </c>
      <c r="E21" s="907" t="str">
        <f>IFERROR(IF(calc!AQ21&gt;0,calc!AQ21,""),"")</f>
        <v/>
      </c>
      <c r="F21" s="735" t="str">
        <f>IFERROR(INDEX(calc!$BB$15:$BB$251,calc!AO21),"")</f>
        <v/>
      </c>
      <c r="G21" s="736" t="str">
        <f>IFERROR(INDEX(calc!$AY$15:$AY$251,calc!AO21),"")</f>
        <v/>
      </c>
      <c r="H21" s="737" t="str">
        <f>IFERROR(INDEX(calc!$AZ$15:$AZ$251,calc!AO21),"")</f>
        <v/>
      </c>
      <c r="I21" s="911" t="str">
        <f>IFERROR(INDEX(calc!$BA$15:$BA$251,calc!AO21),"")</f>
        <v/>
      </c>
      <c r="J21" s="157"/>
      <c r="M21" s="965" t="str">
        <f>IFERROR(INDEX(calc!$AS$15:$AS$251,calc!AP21),"")</f>
        <v/>
      </c>
      <c r="N21" s="915" t="str">
        <f>IFERROR(IF(calc!AR21&lt;0,calc!AR21,""),"")</f>
        <v/>
      </c>
      <c r="O21" s="735" t="str">
        <f>IFERROR(INDEX(calc!$BB$15:$BB$251,calc!AP21),"")</f>
        <v/>
      </c>
      <c r="P21" s="738" t="str">
        <f>IFERROR(INDEX(calc!$AY$15:$AY$251,calc!AP21),"")</f>
        <v/>
      </c>
      <c r="Q21" s="737" t="str">
        <f>IFERROR(INDEX(calc!$AZ$15:$AZ$251,calc!AP21),"")</f>
        <v/>
      </c>
      <c r="R21" s="917" t="str">
        <f>IFERROR(INDEX(calc!$BA$15:$BA$251,calc!AP21),"")</f>
        <v/>
      </c>
      <c r="V21" s="157"/>
    </row>
    <row r="22" spans="3:22" ht="20.100000000000001" customHeight="1">
      <c r="C22" s="666">
        <f t="shared" si="4"/>
        <v>8</v>
      </c>
      <c r="D22" s="963" t="str">
        <f>IFERROR(INDEX(calc!$AS$15:$AS$251,calc!AO22),"")</f>
        <v/>
      </c>
      <c r="E22" s="907" t="str">
        <f>IFERROR(IF(calc!AQ22&gt;0,calc!AQ22,""),"")</f>
        <v/>
      </c>
      <c r="F22" s="735" t="str">
        <f>IFERROR(INDEX(calc!$BB$15:$BB$251,calc!AO22),"")</f>
        <v/>
      </c>
      <c r="G22" s="736" t="str">
        <f>IFERROR(INDEX(calc!$AY$15:$AY$251,calc!AO22),"")</f>
        <v/>
      </c>
      <c r="H22" s="737" t="str">
        <f>IFERROR(INDEX(calc!$AZ$15:$AZ$251,calc!AO22),"")</f>
        <v/>
      </c>
      <c r="I22" s="911" t="str">
        <f>IFERROR(INDEX(calc!$BA$15:$BA$251,calc!AO22),"")</f>
        <v/>
      </c>
      <c r="J22" s="157"/>
      <c r="M22" s="965" t="str">
        <f>IFERROR(INDEX(calc!$AS$15:$AS$251,calc!AP22),"")</f>
        <v/>
      </c>
      <c r="N22" s="915" t="str">
        <f>IFERROR(IF(calc!AR22&lt;0,calc!AR22,""),"")</f>
        <v/>
      </c>
      <c r="O22" s="735" t="str">
        <f>IFERROR(INDEX(calc!$BB$15:$BB$251,calc!AP22),"")</f>
        <v/>
      </c>
      <c r="P22" s="738" t="str">
        <f>IFERROR(INDEX(calc!$AY$15:$AY$251,calc!AP22),"")</f>
        <v/>
      </c>
      <c r="Q22" s="737" t="str">
        <f>IFERROR(INDEX(calc!$AZ$15:$AZ$251,calc!AP22),"")</f>
        <v/>
      </c>
      <c r="R22" s="917" t="str">
        <f>IFERROR(INDEX(calc!$BA$15:$BA$251,calc!AP22),"")</f>
        <v/>
      </c>
      <c r="V22" s="157"/>
    </row>
    <row r="23" spans="3:22" ht="20.100000000000001" customHeight="1">
      <c r="C23" s="666">
        <f t="shared" si="4"/>
        <v>9</v>
      </c>
      <c r="D23" s="963" t="str">
        <f>IFERROR(INDEX(calc!$AS$15:$AS$251,calc!AO23),"")</f>
        <v/>
      </c>
      <c r="E23" s="907" t="str">
        <f>IFERROR(IF(calc!AQ23&gt;0,calc!AQ23,""),"")</f>
        <v/>
      </c>
      <c r="F23" s="735" t="str">
        <f>IFERROR(INDEX(calc!$BB$15:$BB$251,calc!AO23),"")</f>
        <v/>
      </c>
      <c r="G23" s="736" t="str">
        <f>IFERROR(INDEX(calc!$AY$15:$AY$251,calc!AO23),"")</f>
        <v/>
      </c>
      <c r="H23" s="737" t="str">
        <f>IFERROR(INDEX(calc!$AZ$15:$AZ$251,calc!AO23),"")</f>
        <v/>
      </c>
      <c r="I23" s="911" t="str">
        <f>IFERROR(INDEX(calc!$BA$15:$BA$251,calc!AO23),"")</f>
        <v/>
      </c>
      <c r="J23" s="157"/>
      <c r="M23" s="965" t="str">
        <f>IFERROR(INDEX(calc!$AS$15:$AS$251,calc!AP23),"")</f>
        <v/>
      </c>
      <c r="N23" s="915" t="str">
        <f>IFERROR(IF(calc!AR23&lt;0,calc!AR23,""),"")</f>
        <v/>
      </c>
      <c r="O23" s="735" t="str">
        <f>IFERROR(INDEX(calc!$BB$15:$BB$251,calc!AP23),"")</f>
        <v/>
      </c>
      <c r="P23" s="738" t="str">
        <f>IFERROR(INDEX(calc!$AY$15:$AY$251,calc!AP23),"")</f>
        <v/>
      </c>
      <c r="Q23" s="737" t="str">
        <f>IFERROR(INDEX(calc!$AZ$15:$AZ$251,calc!AP23),"")</f>
        <v/>
      </c>
      <c r="R23" s="917" t="str">
        <f>IFERROR(INDEX(calc!$BA$15:$BA$251,calc!AP23),"")</f>
        <v/>
      </c>
      <c r="V23" s="157"/>
    </row>
    <row r="24" spans="3:22" ht="20.100000000000001" customHeight="1">
      <c r="C24" s="666">
        <f t="shared" si="4"/>
        <v>10</v>
      </c>
      <c r="D24" s="963" t="str">
        <f>IFERROR(INDEX(calc!$AS$15:$AS$251,calc!AO24),"")</f>
        <v/>
      </c>
      <c r="E24" s="907" t="str">
        <f>IFERROR(IF(calc!AQ24&gt;0,calc!AQ24,""),"")</f>
        <v/>
      </c>
      <c r="F24" s="735" t="str">
        <f>IFERROR(INDEX(calc!$BB$15:$BB$251,calc!AO24),"")</f>
        <v/>
      </c>
      <c r="G24" s="736" t="str">
        <f>IFERROR(INDEX(calc!$AY$15:$AY$251,calc!AO24),"")</f>
        <v/>
      </c>
      <c r="H24" s="737" t="str">
        <f>IFERROR(INDEX(calc!$AZ$15:$AZ$251,calc!AO24),"")</f>
        <v/>
      </c>
      <c r="I24" s="911" t="str">
        <f>IFERROR(INDEX(calc!$BA$15:$BA$251,calc!AO24),"")</f>
        <v/>
      </c>
      <c r="J24" s="157"/>
      <c r="M24" s="965" t="str">
        <f>IFERROR(INDEX(calc!$AS$15:$AS$251,calc!AP24),"")</f>
        <v/>
      </c>
      <c r="N24" s="915" t="str">
        <f>IFERROR(IF(calc!AR24&lt;0,calc!AR24,""),"")</f>
        <v/>
      </c>
      <c r="O24" s="735" t="str">
        <f>IFERROR(INDEX(calc!$BB$15:$BB$251,calc!AP24),"")</f>
        <v/>
      </c>
      <c r="P24" s="738" t="str">
        <f>IFERROR(INDEX(calc!$AY$15:$AY$251,calc!AP24),"")</f>
        <v/>
      </c>
      <c r="Q24" s="737" t="str">
        <f>IFERROR(INDEX(calc!$AZ$15:$AZ$251,calc!AP24),"")</f>
        <v/>
      </c>
      <c r="R24" s="917" t="str">
        <f>IFERROR(INDEX(calc!$BA$15:$BA$251,calc!AP24),"")</f>
        <v/>
      </c>
      <c r="V24" s="157"/>
    </row>
    <row r="25" spans="3:22" ht="20.100000000000001" customHeight="1">
      <c r="C25" s="666">
        <f t="shared" si="4"/>
        <v>11</v>
      </c>
      <c r="D25" s="963" t="str">
        <f>IFERROR(INDEX(calc!$AS$15:$AS$251,calc!AO25),"")</f>
        <v/>
      </c>
      <c r="E25" s="907" t="str">
        <f>IFERROR(IF(calc!AQ25&gt;0,calc!AQ25,""),"")</f>
        <v/>
      </c>
      <c r="F25" s="735" t="str">
        <f>IFERROR(INDEX(calc!$BB$15:$BB$251,calc!AO25),"")</f>
        <v/>
      </c>
      <c r="G25" s="736" t="str">
        <f>IFERROR(INDEX(calc!$AY$15:$AY$251,calc!AO25),"")</f>
        <v/>
      </c>
      <c r="H25" s="737" t="str">
        <f>IFERROR(INDEX(calc!$AZ$15:$AZ$251,calc!AO25),"")</f>
        <v/>
      </c>
      <c r="I25" s="911" t="str">
        <f>IFERROR(INDEX(calc!$BA$15:$BA$251,calc!AO25),"")</f>
        <v/>
      </c>
      <c r="J25" s="157"/>
      <c r="M25" s="965" t="str">
        <f>IFERROR(INDEX(calc!$AS$15:$AS$251,calc!AP25),"")</f>
        <v/>
      </c>
      <c r="N25" s="915" t="str">
        <f>IFERROR(IF(calc!AR25&lt;0,calc!AR25,""),"")</f>
        <v/>
      </c>
      <c r="O25" s="735" t="str">
        <f>IFERROR(INDEX(calc!$BB$15:$BB$251,calc!AP25),"")</f>
        <v/>
      </c>
      <c r="P25" s="738" t="str">
        <f>IFERROR(INDEX(calc!$AY$15:$AY$251,calc!AP25),"")</f>
        <v/>
      </c>
      <c r="Q25" s="737" t="str">
        <f>IFERROR(INDEX(calc!$AZ$15:$AZ$251,calc!AP25),"")</f>
        <v/>
      </c>
      <c r="R25" s="917" t="str">
        <f>IFERROR(INDEX(calc!$BA$15:$BA$251,calc!AP25),"")</f>
        <v/>
      </c>
      <c r="V25" s="157"/>
    </row>
    <row r="26" spans="3:22" ht="20.100000000000001" customHeight="1">
      <c r="C26" s="666">
        <f t="shared" si="4"/>
        <v>12</v>
      </c>
      <c r="D26" s="963" t="str">
        <f>IFERROR(INDEX(calc!$AS$15:$AS$251,calc!AO26),"")</f>
        <v/>
      </c>
      <c r="E26" s="907" t="str">
        <f>IFERROR(IF(calc!AQ26&gt;0,calc!AQ26,""),"")</f>
        <v/>
      </c>
      <c r="F26" s="735" t="str">
        <f>IFERROR(INDEX(calc!$BB$15:$BB$251,calc!AO26),"")</f>
        <v/>
      </c>
      <c r="G26" s="736" t="str">
        <f>IFERROR(INDEX(calc!$AY$15:$AY$251,calc!AO26),"")</f>
        <v/>
      </c>
      <c r="H26" s="737" t="str">
        <f>IFERROR(INDEX(calc!$AZ$15:$AZ$251,calc!AO26),"")</f>
        <v/>
      </c>
      <c r="I26" s="911" t="str">
        <f>IFERROR(INDEX(calc!$BA$15:$BA$251,calc!AO26),"")</f>
        <v/>
      </c>
      <c r="J26" s="157"/>
      <c r="M26" s="965" t="str">
        <f>IFERROR(INDEX(calc!$AS$15:$AS$251,calc!AP26),"")</f>
        <v/>
      </c>
      <c r="N26" s="915" t="str">
        <f>IFERROR(IF(calc!AR26&lt;0,calc!AR26,""),"")</f>
        <v/>
      </c>
      <c r="O26" s="735" t="str">
        <f>IFERROR(INDEX(calc!$BB$15:$BB$251,calc!AP26),"")</f>
        <v/>
      </c>
      <c r="P26" s="738" t="str">
        <f>IFERROR(INDEX(calc!$AY$15:$AY$251,calc!AP26),"")</f>
        <v/>
      </c>
      <c r="Q26" s="737" t="str">
        <f>IFERROR(INDEX(calc!$AZ$15:$AZ$251,calc!AP26),"")</f>
        <v/>
      </c>
      <c r="R26" s="917" t="str">
        <f>IFERROR(INDEX(calc!$BA$15:$BA$251,calc!AP26),"")</f>
        <v/>
      </c>
      <c r="V26" s="157"/>
    </row>
    <row r="27" spans="3:22" ht="20.100000000000001" customHeight="1">
      <c r="C27" s="666">
        <f t="shared" si="4"/>
        <v>13</v>
      </c>
      <c r="D27" s="963" t="str">
        <f>IFERROR(INDEX(calc!$AS$15:$AS$251,calc!AO27),"")</f>
        <v/>
      </c>
      <c r="E27" s="907" t="str">
        <f>IFERROR(IF(calc!AQ27&gt;0,calc!AQ27,""),"")</f>
        <v/>
      </c>
      <c r="F27" s="735" t="str">
        <f>IFERROR(INDEX(calc!$BB$15:$BB$251,calc!AO27),"")</f>
        <v/>
      </c>
      <c r="G27" s="736" t="str">
        <f>IFERROR(INDEX(calc!$AY$15:$AY$251,calc!AO27),"")</f>
        <v/>
      </c>
      <c r="H27" s="737" t="str">
        <f>IFERROR(INDEX(calc!$AZ$15:$AZ$251,calc!AO27),"")</f>
        <v/>
      </c>
      <c r="I27" s="911" t="str">
        <f>IFERROR(INDEX(calc!$BA$15:$BA$251,calc!AO27),"")</f>
        <v/>
      </c>
      <c r="J27" s="157"/>
      <c r="M27" s="965" t="str">
        <f>IFERROR(INDEX(calc!$AS$15:$AS$251,calc!AP27),"")</f>
        <v/>
      </c>
      <c r="N27" s="915" t="str">
        <f>IFERROR(IF(calc!AR27&lt;0,calc!AR27,""),"")</f>
        <v/>
      </c>
      <c r="O27" s="735" t="str">
        <f>IFERROR(INDEX(calc!$BB$15:$BB$251,calc!AP27),"")</f>
        <v/>
      </c>
      <c r="P27" s="738" t="str">
        <f>IFERROR(INDEX(calc!$AY$15:$AY$251,calc!AP27),"")</f>
        <v/>
      </c>
      <c r="Q27" s="737" t="str">
        <f>IFERROR(INDEX(calc!$AZ$15:$AZ$251,calc!AP27),"")</f>
        <v/>
      </c>
      <c r="R27" s="917" t="str">
        <f>IFERROR(INDEX(calc!$BA$15:$BA$251,calc!AP27),"")</f>
        <v/>
      </c>
      <c r="V27" s="157"/>
    </row>
    <row r="28" spans="3:22" ht="20.100000000000001" customHeight="1">
      <c r="C28" s="666">
        <f t="shared" si="4"/>
        <v>14</v>
      </c>
      <c r="D28" s="963" t="str">
        <f>IFERROR(INDEX(calc!$AS$15:$AS$251,calc!AO28),"")</f>
        <v/>
      </c>
      <c r="E28" s="907" t="str">
        <f>IFERROR(IF(calc!AQ28&gt;0,calc!AQ28,""),"")</f>
        <v/>
      </c>
      <c r="F28" s="735" t="str">
        <f>IFERROR(INDEX(calc!$BB$15:$BB$251,calc!AO28),"")</f>
        <v/>
      </c>
      <c r="G28" s="736" t="str">
        <f>IFERROR(INDEX(calc!$AY$15:$AY$251,calc!AO28),"")</f>
        <v/>
      </c>
      <c r="H28" s="737" t="str">
        <f>IFERROR(INDEX(calc!$AZ$15:$AZ$251,calc!AO28),"")</f>
        <v/>
      </c>
      <c r="I28" s="911" t="str">
        <f>IFERROR(INDEX(calc!$BA$15:$BA$251,calc!AO28),"")</f>
        <v/>
      </c>
      <c r="J28" s="157"/>
      <c r="M28" s="965" t="str">
        <f>IFERROR(INDEX(calc!$AS$15:$AS$251,calc!AP28),"")</f>
        <v/>
      </c>
      <c r="N28" s="915" t="str">
        <f>IFERROR(IF(calc!AR28&lt;0,calc!AR28,""),"")</f>
        <v/>
      </c>
      <c r="O28" s="735" t="str">
        <f>IFERROR(INDEX(calc!$BB$15:$BB$251,calc!AP28),"")</f>
        <v/>
      </c>
      <c r="P28" s="738" t="str">
        <f>IFERROR(INDEX(calc!$AY$15:$AY$251,calc!AP28),"")</f>
        <v/>
      </c>
      <c r="Q28" s="737" t="str">
        <f>IFERROR(INDEX(calc!$AZ$15:$AZ$251,calc!AP28),"")</f>
        <v/>
      </c>
      <c r="R28" s="917" t="str">
        <f>IFERROR(INDEX(calc!$BA$15:$BA$251,calc!AP28),"")</f>
        <v/>
      </c>
      <c r="V28" s="157"/>
    </row>
    <row r="29" spans="3:22" ht="20.100000000000001" customHeight="1">
      <c r="C29" s="666">
        <f t="shared" si="4"/>
        <v>15</v>
      </c>
      <c r="D29" s="963" t="str">
        <f>IFERROR(INDEX(calc!$AS$15:$AS$251,calc!AO29),"")</f>
        <v/>
      </c>
      <c r="E29" s="907" t="str">
        <f>IFERROR(IF(calc!AQ29&gt;0,calc!AQ29,""),"")</f>
        <v/>
      </c>
      <c r="F29" s="735" t="str">
        <f>IFERROR(INDEX(calc!$BB$15:$BB$251,calc!AO29),"")</f>
        <v/>
      </c>
      <c r="G29" s="736" t="str">
        <f>IFERROR(INDEX(calc!$AY$15:$AY$251,calc!AO29),"")</f>
        <v/>
      </c>
      <c r="H29" s="737" t="str">
        <f>IFERROR(INDEX(calc!$AZ$15:$AZ$251,calc!AO29),"")</f>
        <v/>
      </c>
      <c r="I29" s="911" t="str">
        <f>IFERROR(INDEX(calc!$BA$15:$BA$251,calc!AO29),"")</f>
        <v/>
      </c>
      <c r="J29" s="157"/>
      <c r="M29" s="965" t="str">
        <f>IFERROR(INDEX(calc!$AS$15:$AS$251,calc!AP29),"")</f>
        <v/>
      </c>
      <c r="N29" s="915" t="str">
        <f>IFERROR(IF(calc!AR29&lt;0,calc!AR29,""),"")</f>
        <v/>
      </c>
      <c r="O29" s="735" t="str">
        <f>IFERROR(INDEX(calc!$BB$15:$BB$251,calc!AP29),"")</f>
        <v/>
      </c>
      <c r="P29" s="738" t="str">
        <f>IFERROR(INDEX(calc!$AY$15:$AY$251,calc!AP29),"")</f>
        <v/>
      </c>
      <c r="Q29" s="737" t="str">
        <f>IFERROR(INDEX(calc!$AZ$15:$AZ$251,calc!AP29),"")</f>
        <v/>
      </c>
      <c r="R29" s="917" t="str">
        <f>IFERROR(INDEX(calc!$BA$15:$BA$251,calc!AP29),"")</f>
        <v/>
      </c>
      <c r="V29" s="157"/>
    </row>
    <row r="30" spans="3:22" ht="20.100000000000001" customHeight="1">
      <c r="C30" s="666">
        <f t="shared" si="4"/>
        <v>16</v>
      </c>
      <c r="D30" s="963" t="str">
        <f>IFERROR(INDEX(calc!$AS$15:$AS$251,calc!AO30),"")</f>
        <v/>
      </c>
      <c r="E30" s="907" t="str">
        <f>IFERROR(IF(calc!AQ30&gt;0,calc!AQ30,""),"")</f>
        <v/>
      </c>
      <c r="F30" s="735" t="str">
        <f>IFERROR(INDEX(calc!$BB$15:$BB$251,calc!AO30),"")</f>
        <v/>
      </c>
      <c r="G30" s="736" t="str">
        <f>IFERROR(INDEX(calc!$AY$15:$AY$251,calc!AO30),"")</f>
        <v/>
      </c>
      <c r="H30" s="737" t="str">
        <f>IFERROR(INDEX(calc!$AZ$15:$AZ$251,calc!AO30),"")</f>
        <v/>
      </c>
      <c r="I30" s="911" t="str">
        <f>IFERROR(INDEX(calc!$BA$15:$BA$251,calc!AO30),"")</f>
        <v/>
      </c>
      <c r="J30" s="157"/>
      <c r="M30" s="965" t="str">
        <f>IFERROR(INDEX(calc!$AS$15:$AS$251,calc!AP30),"")</f>
        <v/>
      </c>
      <c r="N30" s="915" t="str">
        <f>IFERROR(IF(calc!AR30&lt;0,calc!AR30,""),"")</f>
        <v/>
      </c>
      <c r="O30" s="735" t="str">
        <f>IFERROR(INDEX(calc!$BB$15:$BB$251,calc!AP30),"")</f>
        <v/>
      </c>
      <c r="P30" s="738" t="str">
        <f>IFERROR(INDEX(calc!$AY$15:$AY$251,calc!AP30),"")</f>
        <v/>
      </c>
      <c r="Q30" s="737" t="str">
        <f>IFERROR(INDEX(calc!$AZ$15:$AZ$251,calc!AP30),"")</f>
        <v/>
      </c>
      <c r="R30" s="917" t="str">
        <f>IFERROR(INDEX(calc!$BA$15:$BA$251,calc!AP30),"")</f>
        <v/>
      </c>
      <c r="V30" s="157"/>
    </row>
    <row r="31" spans="3:22" ht="20.100000000000001" customHeight="1">
      <c r="C31" s="666">
        <f t="shared" si="4"/>
        <v>17</v>
      </c>
      <c r="D31" s="963" t="str">
        <f>IFERROR(INDEX(calc!$AS$15:$AS$251,calc!AO31),"")</f>
        <v/>
      </c>
      <c r="E31" s="907" t="str">
        <f>IFERROR(IF(calc!AQ31&gt;0,calc!AQ31,""),"")</f>
        <v/>
      </c>
      <c r="F31" s="735" t="str">
        <f>IFERROR(INDEX(calc!$BB$15:$BB$251,calc!AO31),"")</f>
        <v/>
      </c>
      <c r="G31" s="736" t="str">
        <f>IFERROR(INDEX(calc!$AY$15:$AY$251,calc!AO31),"")</f>
        <v/>
      </c>
      <c r="H31" s="737" t="str">
        <f>IFERROR(INDEX(calc!$AZ$15:$AZ$251,calc!AO31),"")</f>
        <v/>
      </c>
      <c r="I31" s="911" t="str">
        <f>IFERROR(INDEX(calc!$BA$15:$BA$251,calc!AO31),"")</f>
        <v/>
      </c>
      <c r="J31" s="157"/>
      <c r="M31" s="965" t="str">
        <f>IFERROR(INDEX(calc!$AS$15:$AS$251,calc!AP31),"")</f>
        <v/>
      </c>
      <c r="N31" s="915" t="str">
        <f>IFERROR(IF(calc!AR31&lt;0,calc!AR31,""),"")</f>
        <v/>
      </c>
      <c r="O31" s="735" t="str">
        <f>IFERROR(INDEX(calc!$BB$15:$BB$251,calc!AP31),"")</f>
        <v/>
      </c>
      <c r="P31" s="738" t="str">
        <f>IFERROR(INDEX(calc!$AY$15:$AY$251,calc!AP31),"")</f>
        <v/>
      </c>
      <c r="Q31" s="737" t="str">
        <f>IFERROR(INDEX(calc!$AZ$15:$AZ$251,calc!AP31),"")</f>
        <v/>
      </c>
      <c r="R31" s="917" t="str">
        <f>IFERROR(INDEX(calc!$BA$15:$BA$251,calc!AP31),"")</f>
        <v/>
      </c>
      <c r="V31" s="157"/>
    </row>
    <row r="32" spans="3:22" ht="20.100000000000001" customHeight="1">
      <c r="C32" s="666">
        <f t="shared" si="4"/>
        <v>18</v>
      </c>
      <c r="D32" s="963" t="str">
        <f>IFERROR(INDEX(calc!$AS$15:$AS$251,calc!AO32),"")</f>
        <v/>
      </c>
      <c r="E32" s="907" t="str">
        <f>IFERROR(IF(calc!AQ32&gt;0,calc!AQ32,""),"")</f>
        <v/>
      </c>
      <c r="F32" s="735" t="str">
        <f>IFERROR(INDEX(calc!$BB$15:$BB$251,calc!AO32),"")</f>
        <v/>
      </c>
      <c r="G32" s="736" t="str">
        <f>IFERROR(INDEX(calc!$AY$15:$AY$251,calc!AO32),"")</f>
        <v/>
      </c>
      <c r="H32" s="737" t="str">
        <f>IFERROR(INDEX(calc!$AZ$15:$AZ$251,calc!AO32),"")</f>
        <v/>
      </c>
      <c r="I32" s="911" t="str">
        <f>IFERROR(INDEX(calc!$BA$15:$BA$251,calc!AO32),"")</f>
        <v/>
      </c>
      <c r="J32" s="157"/>
      <c r="M32" s="965" t="str">
        <f>IFERROR(INDEX(calc!$AS$15:$AS$251,calc!AP32),"")</f>
        <v/>
      </c>
      <c r="N32" s="915" t="str">
        <f>IFERROR(IF(calc!AR32&lt;0,calc!AR32,""),"")</f>
        <v/>
      </c>
      <c r="O32" s="735" t="str">
        <f>IFERROR(INDEX(calc!$BB$15:$BB$251,calc!AP32),"")</f>
        <v/>
      </c>
      <c r="P32" s="738" t="str">
        <f>IFERROR(INDEX(calc!$AY$15:$AY$251,calc!AP32),"")</f>
        <v/>
      </c>
      <c r="Q32" s="737" t="str">
        <f>IFERROR(INDEX(calc!$AZ$15:$AZ$251,calc!AP32),"")</f>
        <v/>
      </c>
      <c r="R32" s="917" t="str">
        <f>IFERROR(INDEX(calc!$BA$15:$BA$251,calc!AP32),"")</f>
        <v/>
      </c>
      <c r="V32" s="157"/>
    </row>
    <row r="33" spans="3:22" ht="20.100000000000001" customHeight="1">
      <c r="C33" s="666">
        <f t="shared" si="4"/>
        <v>19</v>
      </c>
      <c r="D33" s="963" t="str">
        <f>IFERROR(INDEX(calc!$AS$15:$AS$251,calc!AO33),"")</f>
        <v/>
      </c>
      <c r="E33" s="907" t="str">
        <f>IFERROR(IF(calc!AQ33&gt;0,calc!AQ33,""),"")</f>
        <v/>
      </c>
      <c r="F33" s="735" t="str">
        <f>IFERROR(INDEX(calc!$BB$15:$BB$251,calc!AO33),"")</f>
        <v/>
      </c>
      <c r="G33" s="736" t="str">
        <f>IFERROR(INDEX(calc!$AY$15:$AY$251,calc!AO33),"")</f>
        <v/>
      </c>
      <c r="H33" s="737" t="str">
        <f>IFERROR(INDEX(calc!$AZ$15:$AZ$251,calc!AO33),"")</f>
        <v/>
      </c>
      <c r="I33" s="911" t="str">
        <f>IFERROR(INDEX(calc!$BA$15:$BA$251,calc!AO33),"")</f>
        <v/>
      </c>
      <c r="J33" s="157"/>
      <c r="M33" s="965" t="str">
        <f>IFERROR(INDEX(calc!$AS$15:$AS$251,calc!AP33),"")</f>
        <v/>
      </c>
      <c r="N33" s="915" t="str">
        <f>IFERROR(IF(calc!AR33&lt;0,calc!AR33,""),"")</f>
        <v/>
      </c>
      <c r="O33" s="735" t="str">
        <f>IFERROR(INDEX(calc!$BB$15:$BB$251,calc!AP33),"")</f>
        <v/>
      </c>
      <c r="P33" s="738" t="str">
        <f>IFERROR(INDEX(calc!$AY$15:$AY$251,calc!AP33),"")</f>
        <v/>
      </c>
      <c r="Q33" s="737" t="str">
        <f>IFERROR(INDEX(calc!$AZ$15:$AZ$251,calc!AP33),"")</f>
        <v/>
      </c>
      <c r="R33" s="917" t="str">
        <f>IFERROR(INDEX(calc!$BA$15:$BA$251,calc!AP33),"")</f>
        <v/>
      </c>
      <c r="V33" s="157"/>
    </row>
    <row r="34" spans="3:22" ht="20.100000000000001" customHeight="1">
      <c r="C34" s="666">
        <f t="shared" si="4"/>
        <v>20</v>
      </c>
      <c r="D34" s="963" t="str">
        <f>IFERROR(INDEX(calc!$AS$15:$AS$251,calc!AO34),"")</f>
        <v/>
      </c>
      <c r="E34" s="907" t="str">
        <f>IFERROR(IF(calc!AQ34&gt;0,calc!AQ34,""),"")</f>
        <v/>
      </c>
      <c r="F34" s="735" t="str">
        <f>IFERROR(INDEX(calc!$BB$15:$BB$251,calc!AO34),"")</f>
        <v/>
      </c>
      <c r="G34" s="736" t="str">
        <f>IFERROR(INDEX(calc!$AY$15:$AY$251,calc!AO34),"")</f>
        <v/>
      </c>
      <c r="H34" s="737" t="str">
        <f>IFERROR(INDEX(calc!$AZ$15:$AZ$251,calc!AO34),"")</f>
        <v/>
      </c>
      <c r="I34" s="911" t="str">
        <f>IFERROR(INDEX(calc!$BA$15:$BA$251,calc!AO34),"")</f>
        <v/>
      </c>
      <c r="J34" s="157"/>
      <c r="M34" s="965" t="str">
        <f>IFERROR(INDEX(calc!$AS$15:$AS$251,calc!AP34),"")</f>
        <v/>
      </c>
      <c r="N34" s="915" t="str">
        <f>IFERROR(IF(calc!AR34&lt;0,calc!AR34,""),"")</f>
        <v/>
      </c>
      <c r="O34" s="735" t="str">
        <f>IFERROR(INDEX(calc!$BB$15:$BB$251,calc!AP34),"")</f>
        <v/>
      </c>
      <c r="P34" s="738" t="str">
        <f>IFERROR(INDEX(calc!$AY$15:$AY$251,calc!AP34),"")</f>
        <v/>
      </c>
      <c r="Q34" s="737" t="str">
        <f>IFERROR(INDEX(calc!$AZ$15:$AZ$251,calc!AP34),"")</f>
        <v/>
      </c>
      <c r="R34" s="917" t="str">
        <f>IFERROR(INDEX(calc!$BA$15:$BA$251,calc!AP34),"")</f>
        <v/>
      </c>
      <c r="V34" s="157"/>
    </row>
    <row r="35" spans="3:22" ht="20.100000000000001" customHeight="1">
      <c r="C35" s="666">
        <f t="shared" si="4"/>
        <v>21</v>
      </c>
      <c r="D35" s="963" t="str">
        <f>IFERROR(INDEX(calc!$AS$15:$AS$251,calc!AO35),"")</f>
        <v/>
      </c>
      <c r="E35" s="907" t="str">
        <f>IFERROR(IF(calc!AQ35&gt;0,calc!AQ35,""),"")</f>
        <v/>
      </c>
      <c r="F35" s="735" t="str">
        <f>IFERROR(INDEX(calc!$BB$15:$BB$251,calc!AO35),"")</f>
        <v/>
      </c>
      <c r="G35" s="736" t="str">
        <f>IFERROR(INDEX(calc!$AY$15:$AY$251,calc!AO35),"")</f>
        <v/>
      </c>
      <c r="H35" s="737" t="str">
        <f>IFERROR(INDEX(calc!$AZ$15:$AZ$251,calc!AO35),"")</f>
        <v/>
      </c>
      <c r="I35" s="911" t="str">
        <f>IFERROR(INDEX(calc!$BA$15:$BA$251,calc!AO35),"")</f>
        <v/>
      </c>
      <c r="J35" s="157"/>
      <c r="M35" s="965" t="str">
        <f>IFERROR(INDEX(calc!$AS$15:$AS$251,calc!AP35),"")</f>
        <v/>
      </c>
      <c r="N35" s="915" t="str">
        <f>IFERROR(IF(calc!AR35&lt;0,calc!AR35,""),"")</f>
        <v/>
      </c>
      <c r="O35" s="735" t="str">
        <f>IFERROR(INDEX(calc!$BB$15:$BB$251,calc!AP35),"")</f>
        <v/>
      </c>
      <c r="P35" s="738" t="str">
        <f>IFERROR(INDEX(calc!$AY$15:$AY$251,calc!AP35),"")</f>
        <v/>
      </c>
      <c r="Q35" s="737" t="str">
        <f>IFERROR(INDEX(calc!$AZ$15:$AZ$251,calc!AP35),"")</f>
        <v/>
      </c>
      <c r="R35" s="917" t="str">
        <f>IFERROR(INDEX(calc!$BA$15:$BA$251,calc!AP35),"")</f>
        <v/>
      </c>
      <c r="V35" s="157"/>
    </row>
    <row r="36" spans="3:22" ht="20.100000000000001" customHeight="1">
      <c r="C36" s="666">
        <f t="shared" si="4"/>
        <v>22</v>
      </c>
      <c r="D36" s="963" t="str">
        <f>IFERROR(INDEX(calc!$AS$15:$AS$251,calc!AO36),"")</f>
        <v/>
      </c>
      <c r="E36" s="907" t="str">
        <f>IFERROR(IF(calc!AQ36&gt;0,calc!AQ36,""),"")</f>
        <v/>
      </c>
      <c r="F36" s="735" t="str">
        <f>IFERROR(INDEX(calc!$BB$15:$BB$251,calc!AO36),"")</f>
        <v/>
      </c>
      <c r="G36" s="736" t="str">
        <f>IFERROR(INDEX(calc!$AY$15:$AY$251,calc!AO36),"")</f>
        <v/>
      </c>
      <c r="H36" s="737" t="str">
        <f>IFERROR(INDEX(calc!$AZ$15:$AZ$251,calc!AO36),"")</f>
        <v/>
      </c>
      <c r="I36" s="911" t="str">
        <f>IFERROR(INDEX(calc!$BA$15:$BA$251,calc!AO36),"")</f>
        <v/>
      </c>
      <c r="J36" s="157"/>
      <c r="M36" s="965" t="str">
        <f>IFERROR(INDEX(calc!$AS$15:$AS$251,calc!AP36),"")</f>
        <v/>
      </c>
      <c r="N36" s="915" t="str">
        <f>IFERROR(IF(calc!AR36&lt;0,calc!AR36,""),"")</f>
        <v/>
      </c>
      <c r="O36" s="735" t="str">
        <f>IFERROR(INDEX(calc!$BB$15:$BB$251,calc!AP36),"")</f>
        <v/>
      </c>
      <c r="P36" s="738" t="str">
        <f>IFERROR(INDEX(calc!$AY$15:$AY$251,calc!AP36),"")</f>
        <v/>
      </c>
      <c r="Q36" s="737" t="str">
        <f>IFERROR(INDEX(calc!$AZ$15:$AZ$251,calc!AP36),"")</f>
        <v/>
      </c>
      <c r="R36" s="917" t="str">
        <f>IFERROR(INDEX(calc!$BA$15:$BA$251,calc!AP36),"")</f>
        <v/>
      </c>
      <c r="V36" s="157"/>
    </row>
    <row r="37" spans="3:22" ht="20.100000000000001" customHeight="1">
      <c r="C37" s="666">
        <f t="shared" si="4"/>
        <v>23</v>
      </c>
      <c r="D37" s="963" t="str">
        <f>IFERROR(INDEX(calc!$AS$15:$AS$251,calc!AO37),"")</f>
        <v/>
      </c>
      <c r="E37" s="907" t="str">
        <f>IFERROR(IF(calc!AQ37&gt;0,calc!AQ37,""),"")</f>
        <v/>
      </c>
      <c r="F37" s="735" t="str">
        <f>IFERROR(INDEX(calc!$BB$15:$BB$251,calc!AO37),"")</f>
        <v/>
      </c>
      <c r="G37" s="736" t="str">
        <f>IFERROR(INDEX(calc!$AY$15:$AY$251,calc!AO37),"")</f>
        <v/>
      </c>
      <c r="H37" s="737" t="str">
        <f>IFERROR(INDEX(calc!$AZ$15:$AZ$251,calc!AO37),"")</f>
        <v/>
      </c>
      <c r="I37" s="911" t="str">
        <f>IFERROR(INDEX(calc!$BA$15:$BA$251,calc!AO37),"")</f>
        <v/>
      </c>
      <c r="J37" s="157"/>
      <c r="M37" s="965" t="str">
        <f>IFERROR(INDEX(calc!$AS$15:$AS$251,calc!AP37),"")</f>
        <v/>
      </c>
      <c r="N37" s="915" t="str">
        <f>IFERROR(IF(calc!AR37&lt;0,calc!AR37,""),"")</f>
        <v/>
      </c>
      <c r="O37" s="735" t="str">
        <f>IFERROR(INDEX(calc!$BB$15:$BB$251,calc!AP37),"")</f>
        <v/>
      </c>
      <c r="P37" s="738" t="str">
        <f>IFERROR(INDEX(calc!$AY$15:$AY$251,calc!AP37),"")</f>
        <v/>
      </c>
      <c r="Q37" s="737" t="str">
        <f>IFERROR(INDEX(calc!$AZ$15:$AZ$251,calc!AP37),"")</f>
        <v/>
      </c>
      <c r="R37" s="917" t="str">
        <f>IFERROR(INDEX(calc!$BA$15:$BA$251,calc!AP37),"")</f>
        <v/>
      </c>
      <c r="V37" s="157"/>
    </row>
    <row r="38" spans="3:22" ht="20.100000000000001" customHeight="1">
      <c r="C38" s="666">
        <f t="shared" si="4"/>
        <v>24</v>
      </c>
      <c r="D38" s="963" t="str">
        <f>IFERROR(INDEX(calc!$AS$15:$AS$251,calc!AO38),"")</f>
        <v/>
      </c>
      <c r="E38" s="907" t="str">
        <f>IFERROR(IF(calc!AQ38&gt;0,calc!AQ38,""),"")</f>
        <v/>
      </c>
      <c r="F38" s="735" t="str">
        <f>IFERROR(INDEX(calc!$BB$15:$BB$251,calc!AO38),"")</f>
        <v/>
      </c>
      <c r="G38" s="736" t="str">
        <f>IFERROR(INDEX(calc!$AY$15:$AY$251,calc!AO38),"")</f>
        <v/>
      </c>
      <c r="H38" s="737" t="str">
        <f>IFERROR(INDEX(calc!$AZ$15:$AZ$251,calc!AO38),"")</f>
        <v/>
      </c>
      <c r="I38" s="911" t="str">
        <f>IFERROR(INDEX(calc!$BA$15:$BA$251,calc!AO38),"")</f>
        <v/>
      </c>
      <c r="J38" s="157"/>
      <c r="M38" s="965" t="str">
        <f>IFERROR(INDEX(calc!$AS$15:$AS$251,calc!AP38),"")</f>
        <v/>
      </c>
      <c r="N38" s="915" t="str">
        <f>IFERROR(IF(calc!AR38&lt;0,calc!AR38,""),"")</f>
        <v/>
      </c>
      <c r="O38" s="735" t="str">
        <f>IFERROR(INDEX(calc!$BB$15:$BB$251,calc!AP38),"")</f>
        <v/>
      </c>
      <c r="P38" s="738" t="str">
        <f>IFERROR(INDEX(calc!$AY$15:$AY$251,calc!AP38),"")</f>
        <v/>
      </c>
      <c r="Q38" s="737" t="str">
        <f>IFERROR(INDEX(calc!$AZ$15:$AZ$251,calc!AP38),"")</f>
        <v/>
      </c>
      <c r="R38" s="917" t="str">
        <f>IFERROR(INDEX(calc!$BA$15:$BA$251,calc!AP38),"")</f>
        <v/>
      </c>
      <c r="V38" s="157"/>
    </row>
    <row r="39" spans="3:22" ht="20.100000000000001" customHeight="1">
      <c r="C39" s="666">
        <f t="shared" si="4"/>
        <v>25</v>
      </c>
      <c r="D39" s="963" t="str">
        <f>IFERROR(INDEX(calc!$AS$15:$AS$251,calc!AO39),"")</f>
        <v/>
      </c>
      <c r="E39" s="907" t="str">
        <f>IFERROR(IF(calc!AQ39&gt;0,calc!AQ39,""),"")</f>
        <v/>
      </c>
      <c r="F39" s="735" t="str">
        <f>IFERROR(INDEX(calc!$BB$15:$BB$251,calc!AO39),"")</f>
        <v/>
      </c>
      <c r="G39" s="736" t="str">
        <f>IFERROR(INDEX(calc!$AY$15:$AY$251,calc!AO39),"")</f>
        <v/>
      </c>
      <c r="H39" s="737" t="str">
        <f>IFERROR(INDEX(calc!$AZ$15:$AZ$251,calc!AO39),"")</f>
        <v/>
      </c>
      <c r="I39" s="911" t="str">
        <f>IFERROR(INDEX(calc!$BA$15:$BA$251,calc!AO39),"")</f>
        <v/>
      </c>
      <c r="J39" s="157"/>
      <c r="M39" s="965" t="str">
        <f>IFERROR(INDEX(calc!$AS$15:$AS$251,calc!AP39),"")</f>
        <v/>
      </c>
      <c r="N39" s="915" t="str">
        <f>IFERROR(IF(calc!AR39&lt;0,calc!AR39,""),"")</f>
        <v/>
      </c>
      <c r="O39" s="735" t="str">
        <f>IFERROR(INDEX(calc!$BB$15:$BB$251,calc!AP39),"")</f>
        <v/>
      </c>
      <c r="P39" s="738" t="str">
        <f>IFERROR(INDEX(calc!$AY$15:$AY$251,calc!AP39),"")</f>
        <v/>
      </c>
      <c r="Q39" s="737" t="str">
        <f>IFERROR(INDEX(calc!$AZ$15:$AZ$251,calc!AP39),"")</f>
        <v/>
      </c>
      <c r="R39" s="917" t="str">
        <f>IFERROR(INDEX(calc!$BA$15:$BA$251,calc!AP39),"")</f>
        <v/>
      </c>
      <c r="V39" s="157"/>
    </row>
    <row r="40" spans="3:22" ht="20.100000000000001" customHeight="1">
      <c r="C40" s="666">
        <f t="shared" si="4"/>
        <v>26</v>
      </c>
      <c r="D40" s="963" t="str">
        <f>IFERROR(INDEX(calc!$AS$15:$AS$251,calc!AO40),"")</f>
        <v/>
      </c>
      <c r="E40" s="907" t="str">
        <f>IFERROR(IF(calc!AQ40&gt;0,calc!AQ40,""),"")</f>
        <v/>
      </c>
      <c r="F40" s="735" t="str">
        <f>IFERROR(INDEX(calc!$BB$15:$BB$251,calc!AO40),"")</f>
        <v/>
      </c>
      <c r="G40" s="736" t="str">
        <f>IFERROR(INDEX(calc!$AY$15:$AY$251,calc!AO40),"")</f>
        <v/>
      </c>
      <c r="H40" s="737" t="str">
        <f>IFERROR(INDEX(calc!$AZ$15:$AZ$251,calc!AO40),"")</f>
        <v/>
      </c>
      <c r="I40" s="911" t="str">
        <f>IFERROR(INDEX(calc!$BA$15:$BA$251,calc!AO40),"")</f>
        <v/>
      </c>
      <c r="J40" s="157"/>
      <c r="M40" s="965" t="str">
        <f>IFERROR(INDEX(calc!$AS$15:$AS$251,calc!AP40),"")</f>
        <v/>
      </c>
      <c r="N40" s="915" t="str">
        <f>IFERROR(IF(calc!AR40&lt;0,calc!AR40,""),"")</f>
        <v/>
      </c>
      <c r="O40" s="735" t="str">
        <f>IFERROR(INDEX(calc!$BB$15:$BB$251,calc!AP40),"")</f>
        <v/>
      </c>
      <c r="P40" s="738" t="str">
        <f>IFERROR(INDEX(calc!$AY$15:$AY$251,calc!AP40),"")</f>
        <v/>
      </c>
      <c r="Q40" s="737" t="str">
        <f>IFERROR(INDEX(calc!$AZ$15:$AZ$251,calc!AP40),"")</f>
        <v/>
      </c>
      <c r="R40" s="917" t="str">
        <f>IFERROR(INDEX(calc!$BA$15:$BA$251,calc!AP40),"")</f>
        <v/>
      </c>
      <c r="V40" s="157"/>
    </row>
    <row r="41" spans="3:22" ht="20.100000000000001" customHeight="1">
      <c r="C41" s="666">
        <f t="shared" si="4"/>
        <v>27</v>
      </c>
      <c r="D41" s="963" t="str">
        <f>IFERROR(INDEX(calc!$AS$15:$AS$251,calc!AO41),"")</f>
        <v/>
      </c>
      <c r="E41" s="907" t="str">
        <f>IFERROR(IF(calc!AQ41&gt;0,calc!AQ41,""),"")</f>
        <v/>
      </c>
      <c r="F41" s="735" t="str">
        <f>IFERROR(INDEX(calc!$BB$15:$BB$251,calc!AO41),"")</f>
        <v/>
      </c>
      <c r="G41" s="736" t="str">
        <f>IFERROR(INDEX(calc!$AY$15:$AY$251,calc!AO41),"")</f>
        <v/>
      </c>
      <c r="H41" s="737" t="str">
        <f>IFERROR(INDEX(calc!$AZ$15:$AZ$251,calc!AO41),"")</f>
        <v/>
      </c>
      <c r="I41" s="911" t="str">
        <f>IFERROR(INDEX(calc!$BA$15:$BA$251,calc!AO41),"")</f>
        <v/>
      </c>
      <c r="J41" s="157"/>
      <c r="M41" s="965" t="str">
        <f>IFERROR(INDEX(calc!$AS$15:$AS$251,calc!AP41),"")</f>
        <v/>
      </c>
      <c r="N41" s="915" t="str">
        <f>IFERROR(IF(calc!AR41&lt;0,calc!AR41,""),"")</f>
        <v/>
      </c>
      <c r="O41" s="735" t="str">
        <f>IFERROR(INDEX(calc!$BB$15:$BB$251,calc!AP41),"")</f>
        <v/>
      </c>
      <c r="P41" s="738" t="str">
        <f>IFERROR(INDEX(calc!$AY$15:$AY$251,calc!AP41),"")</f>
        <v/>
      </c>
      <c r="Q41" s="737" t="str">
        <f>IFERROR(INDEX(calc!$AZ$15:$AZ$251,calc!AP41),"")</f>
        <v/>
      </c>
      <c r="R41" s="917" t="str">
        <f>IFERROR(INDEX(calc!$BA$15:$BA$251,calc!AP41),"")</f>
        <v/>
      </c>
      <c r="V41" s="157"/>
    </row>
    <row r="42" spans="3:22" ht="20.100000000000001" customHeight="1">
      <c r="C42" s="666">
        <f t="shared" si="4"/>
        <v>28</v>
      </c>
      <c r="D42" s="963" t="str">
        <f>IFERROR(INDEX(calc!$AS$15:$AS$251,calc!AO42),"")</f>
        <v/>
      </c>
      <c r="E42" s="907" t="str">
        <f>IFERROR(IF(calc!AQ42&gt;0,calc!AQ42,""),"")</f>
        <v/>
      </c>
      <c r="F42" s="735" t="str">
        <f>IFERROR(INDEX(calc!$BB$15:$BB$251,calc!AO42),"")</f>
        <v/>
      </c>
      <c r="G42" s="736" t="str">
        <f>IFERROR(INDEX(calc!$AY$15:$AY$251,calc!AO42),"")</f>
        <v/>
      </c>
      <c r="H42" s="737" t="str">
        <f>IFERROR(INDEX(calc!$AZ$15:$AZ$251,calc!AO42),"")</f>
        <v/>
      </c>
      <c r="I42" s="911" t="str">
        <f>IFERROR(INDEX(calc!$BA$15:$BA$251,calc!AO42),"")</f>
        <v/>
      </c>
      <c r="J42" s="157"/>
      <c r="M42" s="965" t="str">
        <f>IFERROR(INDEX(calc!$AS$15:$AS$251,calc!AP42),"")</f>
        <v/>
      </c>
      <c r="N42" s="915" t="str">
        <f>IFERROR(IF(calc!AR42&lt;0,calc!AR42,""),"")</f>
        <v/>
      </c>
      <c r="O42" s="735" t="str">
        <f>IFERROR(INDEX(calc!$BB$15:$BB$251,calc!AP42),"")</f>
        <v/>
      </c>
      <c r="P42" s="738" t="str">
        <f>IFERROR(INDEX(calc!$AY$15:$AY$251,calc!AP42),"")</f>
        <v/>
      </c>
      <c r="Q42" s="737" t="str">
        <f>IFERROR(INDEX(calc!$AZ$15:$AZ$251,calc!AP42),"")</f>
        <v/>
      </c>
      <c r="R42" s="917" t="str">
        <f>IFERROR(INDEX(calc!$BA$15:$BA$251,calc!AP42),"")</f>
        <v/>
      </c>
      <c r="V42" s="157"/>
    </row>
    <row r="43" spans="3:22" ht="20.100000000000001" customHeight="1">
      <c r="C43" s="666">
        <f t="shared" si="4"/>
        <v>29</v>
      </c>
      <c r="D43" s="963" t="str">
        <f>IFERROR(INDEX(calc!$AS$15:$AS$251,calc!AO43),"")</f>
        <v/>
      </c>
      <c r="E43" s="907" t="str">
        <f>IFERROR(IF(calc!AQ43&gt;0,calc!AQ43,""),"")</f>
        <v/>
      </c>
      <c r="F43" s="735" t="str">
        <f>IFERROR(INDEX(calc!$BB$15:$BB$251,calc!AO43),"")</f>
        <v/>
      </c>
      <c r="G43" s="736" t="str">
        <f>IFERROR(INDEX(calc!$AY$15:$AY$251,calc!AO43),"")</f>
        <v/>
      </c>
      <c r="H43" s="737" t="str">
        <f>IFERROR(INDEX(calc!$AZ$15:$AZ$251,calc!AO43),"")</f>
        <v/>
      </c>
      <c r="I43" s="911" t="str">
        <f>IFERROR(INDEX(calc!$BA$15:$BA$251,calc!AO43),"")</f>
        <v/>
      </c>
      <c r="J43" s="157"/>
      <c r="M43" s="965" t="str">
        <f>IFERROR(INDEX(calc!$AS$15:$AS$251,calc!AP43),"")</f>
        <v/>
      </c>
      <c r="N43" s="915" t="str">
        <f>IFERROR(IF(calc!AR43&lt;0,calc!AR43,""),"")</f>
        <v/>
      </c>
      <c r="O43" s="735" t="str">
        <f>IFERROR(INDEX(calc!$BB$15:$BB$251,calc!AP43),"")</f>
        <v/>
      </c>
      <c r="P43" s="738" t="str">
        <f>IFERROR(INDEX(calc!$AY$15:$AY$251,calc!AP43),"")</f>
        <v/>
      </c>
      <c r="Q43" s="737" t="str">
        <f>IFERROR(INDEX(calc!$AZ$15:$AZ$251,calc!AP43),"")</f>
        <v/>
      </c>
      <c r="R43" s="917" t="str">
        <f>IFERROR(INDEX(calc!$BA$15:$BA$251,calc!AP43),"")</f>
        <v/>
      </c>
      <c r="V43" s="157"/>
    </row>
    <row r="44" spans="3:22" ht="20.100000000000001" customHeight="1">
      <c r="C44" s="666">
        <f t="shared" si="4"/>
        <v>30</v>
      </c>
      <c r="D44" s="963" t="str">
        <f>IFERROR(INDEX(calc!$AS$15:$AS$251,calc!AO44),"")</f>
        <v/>
      </c>
      <c r="E44" s="907" t="str">
        <f>IFERROR(IF(calc!AQ44&gt;0,calc!AQ44,""),"")</f>
        <v/>
      </c>
      <c r="F44" s="735" t="str">
        <f>IFERROR(INDEX(calc!$BB$15:$BB$251,calc!AO44),"")</f>
        <v/>
      </c>
      <c r="G44" s="736" t="str">
        <f>IFERROR(INDEX(calc!$AY$15:$AY$251,calc!AO44),"")</f>
        <v/>
      </c>
      <c r="H44" s="737" t="str">
        <f>IFERROR(INDEX(calc!$AZ$15:$AZ$251,calc!AO44),"")</f>
        <v/>
      </c>
      <c r="I44" s="911" t="str">
        <f>IFERROR(INDEX(calc!$BA$15:$BA$251,calc!AO44),"")</f>
        <v/>
      </c>
      <c r="J44" s="157"/>
      <c r="M44" s="965" t="str">
        <f>IFERROR(INDEX(calc!$AS$15:$AS$251,calc!AP44),"")</f>
        <v/>
      </c>
      <c r="N44" s="915" t="str">
        <f>IFERROR(IF(calc!AR44&lt;0,calc!AR44,""),"")</f>
        <v/>
      </c>
      <c r="O44" s="735" t="str">
        <f>IFERROR(INDEX(calc!$BB$15:$BB$251,calc!AP44),"")</f>
        <v/>
      </c>
      <c r="P44" s="738" t="str">
        <f>IFERROR(INDEX(calc!$AY$15:$AY$251,calc!AP44),"")</f>
        <v/>
      </c>
      <c r="Q44" s="737" t="str">
        <f>IFERROR(INDEX(calc!$AZ$15:$AZ$251,calc!AP44),"")</f>
        <v/>
      </c>
      <c r="R44" s="917" t="str">
        <f>IFERROR(INDEX(calc!$BA$15:$BA$251,calc!AP44),"")</f>
        <v/>
      </c>
      <c r="V44" s="157"/>
    </row>
    <row r="45" spans="3:22" ht="20.100000000000001" customHeight="1">
      <c r="C45" s="666">
        <f t="shared" si="4"/>
        <v>31</v>
      </c>
      <c r="D45" s="963" t="str">
        <f>IFERROR(INDEX(calc!$AS$15:$AS$251,calc!AO45),"")</f>
        <v/>
      </c>
      <c r="E45" s="907" t="str">
        <f>IFERROR(IF(calc!AQ45&gt;0,calc!AQ45,""),"")</f>
        <v/>
      </c>
      <c r="F45" s="735" t="str">
        <f>IFERROR(INDEX(calc!$BB$15:$BB$251,calc!AO45),"")</f>
        <v/>
      </c>
      <c r="G45" s="736" t="str">
        <f>IFERROR(INDEX(calc!$AY$15:$AY$251,calc!AO45),"")</f>
        <v/>
      </c>
      <c r="H45" s="737" t="str">
        <f>IFERROR(INDEX(calc!$AZ$15:$AZ$251,calc!AO45),"")</f>
        <v/>
      </c>
      <c r="I45" s="911" t="str">
        <f>IFERROR(INDEX(calc!$BA$15:$BA$251,calc!AO45),"")</f>
        <v/>
      </c>
      <c r="J45" s="157"/>
      <c r="M45" s="965" t="str">
        <f>IFERROR(INDEX(calc!$AS$15:$AS$251,calc!AP45),"")</f>
        <v/>
      </c>
      <c r="N45" s="915" t="str">
        <f>IFERROR(IF(calc!AR45&lt;0,calc!AR45,""),"")</f>
        <v/>
      </c>
      <c r="O45" s="735" t="str">
        <f>IFERROR(INDEX(calc!$BB$15:$BB$251,calc!AP45),"")</f>
        <v/>
      </c>
      <c r="P45" s="738" t="str">
        <f>IFERROR(INDEX(calc!$AY$15:$AY$251,calc!AP45),"")</f>
        <v/>
      </c>
      <c r="Q45" s="737" t="str">
        <f>IFERROR(INDEX(calc!$AZ$15:$AZ$251,calc!AP45),"")</f>
        <v/>
      </c>
      <c r="R45" s="917" t="str">
        <f>IFERROR(INDEX(calc!$BA$15:$BA$251,calc!AP45),"")</f>
        <v/>
      </c>
      <c r="V45" s="157"/>
    </row>
    <row r="46" spans="3:22" ht="20.100000000000001" customHeight="1">
      <c r="C46" s="666">
        <f t="shared" si="4"/>
        <v>32</v>
      </c>
      <c r="D46" s="963" t="str">
        <f>IFERROR(INDEX(calc!$AS$15:$AS$251,calc!AO46),"")</f>
        <v/>
      </c>
      <c r="E46" s="907" t="str">
        <f>IFERROR(IF(calc!AQ46&gt;0,calc!AQ46,""),"")</f>
        <v/>
      </c>
      <c r="F46" s="735" t="str">
        <f>IFERROR(INDEX(calc!$BB$15:$BB$251,calc!AO46),"")</f>
        <v/>
      </c>
      <c r="G46" s="736" t="str">
        <f>IFERROR(INDEX(calc!$AY$15:$AY$251,calc!AO46),"")</f>
        <v/>
      </c>
      <c r="H46" s="737" t="str">
        <f>IFERROR(INDEX(calc!$AZ$15:$AZ$251,calc!AO46),"")</f>
        <v/>
      </c>
      <c r="I46" s="911" t="str">
        <f>IFERROR(INDEX(calc!$BA$15:$BA$251,calc!AO46),"")</f>
        <v/>
      </c>
      <c r="J46" s="157"/>
      <c r="M46" s="965" t="str">
        <f>IFERROR(INDEX(calc!$AS$15:$AS$251,calc!AP46),"")</f>
        <v/>
      </c>
      <c r="N46" s="915" t="str">
        <f>IFERROR(IF(calc!AR46&lt;0,calc!AR46,""),"")</f>
        <v/>
      </c>
      <c r="O46" s="735" t="str">
        <f>IFERROR(INDEX(calc!$BB$15:$BB$251,calc!AP46),"")</f>
        <v/>
      </c>
      <c r="P46" s="738" t="str">
        <f>IFERROR(INDEX(calc!$AY$15:$AY$251,calc!AP46),"")</f>
        <v/>
      </c>
      <c r="Q46" s="737" t="str">
        <f>IFERROR(INDEX(calc!$AZ$15:$AZ$251,calc!AP46),"")</f>
        <v/>
      </c>
      <c r="R46" s="917" t="str">
        <f>IFERROR(INDEX(calc!$BA$15:$BA$251,calc!AP46),"")</f>
        <v/>
      </c>
      <c r="V46" s="157"/>
    </row>
    <row r="47" spans="3:22" ht="20.100000000000001" customHeight="1">
      <c r="C47" s="666">
        <f t="shared" si="4"/>
        <v>33</v>
      </c>
      <c r="D47" s="963" t="str">
        <f>IFERROR(INDEX(calc!$AS$15:$AS$251,calc!AO47),"")</f>
        <v/>
      </c>
      <c r="E47" s="907" t="str">
        <f>IFERROR(IF(calc!AQ47&gt;0,calc!AQ47,""),"")</f>
        <v/>
      </c>
      <c r="F47" s="735" t="str">
        <f>IFERROR(INDEX(calc!$BB$15:$BB$251,calc!AO47),"")</f>
        <v/>
      </c>
      <c r="G47" s="736" t="str">
        <f>IFERROR(INDEX(calc!$AY$15:$AY$251,calc!AO47),"")</f>
        <v/>
      </c>
      <c r="H47" s="737" t="str">
        <f>IFERROR(INDEX(calc!$AZ$15:$AZ$251,calc!AO47),"")</f>
        <v/>
      </c>
      <c r="I47" s="911" t="str">
        <f>IFERROR(INDEX(calc!$BA$15:$BA$251,calc!AO47),"")</f>
        <v/>
      </c>
      <c r="J47" s="157"/>
      <c r="M47" s="965" t="str">
        <f>IFERROR(INDEX(calc!$AS$15:$AS$251,calc!AP47),"")</f>
        <v/>
      </c>
      <c r="N47" s="915" t="str">
        <f>IFERROR(IF(calc!AR47&lt;0,calc!AR47,""),"")</f>
        <v/>
      </c>
      <c r="O47" s="735" t="str">
        <f>IFERROR(INDEX(calc!$BB$15:$BB$251,calc!AP47),"")</f>
        <v/>
      </c>
      <c r="P47" s="738" t="str">
        <f>IFERROR(INDEX(calc!$AY$15:$AY$251,calc!AP47),"")</f>
        <v/>
      </c>
      <c r="Q47" s="737" t="str">
        <f>IFERROR(INDEX(calc!$AZ$15:$AZ$251,calc!AP47),"")</f>
        <v/>
      </c>
      <c r="R47" s="917" t="str">
        <f>IFERROR(INDEX(calc!$BA$15:$BA$251,calc!AP47),"")</f>
        <v/>
      </c>
      <c r="V47" s="157"/>
    </row>
    <row r="48" spans="3:22" ht="20.100000000000001" customHeight="1">
      <c r="C48" s="666">
        <f t="shared" si="4"/>
        <v>34</v>
      </c>
      <c r="D48" s="963" t="str">
        <f>IFERROR(INDEX(calc!$AS$15:$AS$251,calc!AO48),"")</f>
        <v/>
      </c>
      <c r="E48" s="907" t="str">
        <f>IFERROR(IF(calc!AQ48&gt;0,calc!AQ48,""),"")</f>
        <v/>
      </c>
      <c r="F48" s="735" t="str">
        <f>IFERROR(INDEX(calc!$BB$15:$BB$251,calc!AO48),"")</f>
        <v/>
      </c>
      <c r="G48" s="736" t="str">
        <f>IFERROR(INDEX(calc!$AY$15:$AY$251,calc!AO48),"")</f>
        <v/>
      </c>
      <c r="H48" s="737" t="str">
        <f>IFERROR(INDEX(calc!$AZ$15:$AZ$251,calc!AO48),"")</f>
        <v/>
      </c>
      <c r="I48" s="911" t="str">
        <f>IFERROR(INDEX(calc!$BA$15:$BA$251,calc!AO48),"")</f>
        <v/>
      </c>
      <c r="J48" s="157"/>
      <c r="M48" s="965" t="str">
        <f>IFERROR(INDEX(calc!$AS$15:$AS$251,calc!AP48),"")</f>
        <v/>
      </c>
      <c r="N48" s="915" t="str">
        <f>IFERROR(IF(calc!AR48&lt;0,calc!AR48,""),"")</f>
        <v/>
      </c>
      <c r="O48" s="735" t="str">
        <f>IFERROR(INDEX(calc!$BB$15:$BB$251,calc!AP48),"")</f>
        <v/>
      </c>
      <c r="P48" s="738" t="str">
        <f>IFERROR(INDEX(calc!$AY$15:$AY$251,calc!AP48),"")</f>
        <v/>
      </c>
      <c r="Q48" s="737" t="str">
        <f>IFERROR(INDEX(calc!$AZ$15:$AZ$251,calc!AP48),"")</f>
        <v/>
      </c>
      <c r="R48" s="917" t="str">
        <f>IFERROR(INDEX(calc!$BA$15:$BA$251,calc!AP48),"")</f>
        <v/>
      </c>
      <c r="V48" s="157"/>
    </row>
    <row r="49" spans="3:22" ht="20.100000000000001" customHeight="1">
      <c r="C49" s="666">
        <f t="shared" si="4"/>
        <v>35</v>
      </c>
      <c r="D49" s="963" t="str">
        <f>IFERROR(INDEX(calc!$AS$15:$AS$251,calc!AO49),"")</f>
        <v/>
      </c>
      <c r="E49" s="907" t="str">
        <f>IFERROR(IF(calc!AQ49&gt;0,calc!AQ49,""),"")</f>
        <v/>
      </c>
      <c r="F49" s="735" t="str">
        <f>IFERROR(INDEX(calc!$BB$15:$BB$251,calc!AO49),"")</f>
        <v/>
      </c>
      <c r="G49" s="736" t="str">
        <f>IFERROR(INDEX(calc!$AY$15:$AY$251,calc!AO49),"")</f>
        <v/>
      </c>
      <c r="H49" s="737" t="str">
        <f>IFERROR(INDEX(calc!$AZ$15:$AZ$251,calc!AO49),"")</f>
        <v/>
      </c>
      <c r="I49" s="911" t="str">
        <f>IFERROR(INDEX(calc!$BA$15:$BA$251,calc!AO49),"")</f>
        <v/>
      </c>
      <c r="J49" s="157"/>
      <c r="M49" s="965" t="str">
        <f>IFERROR(INDEX(calc!$AS$15:$AS$251,calc!AP49),"")</f>
        <v/>
      </c>
      <c r="N49" s="915" t="str">
        <f>IFERROR(IF(calc!AR49&lt;0,calc!AR49,""),"")</f>
        <v/>
      </c>
      <c r="O49" s="735" t="str">
        <f>IFERROR(INDEX(calc!$BB$15:$BB$251,calc!AP49),"")</f>
        <v/>
      </c>
      <c r="P49" s="738" t="str">
        <f>IFERROR(INDEX(calc!$AY$15:$AY$251,calc!AP49),"")</f>
        <v/>
      </c>
      <c r="Q49" s="737" t="str">
        <f>IFERROR(INDEX(calc!$AZ$15:$AZ$251,calc!AP49),"")</f>
        <v/>
      </c>
      <c r="R49" s="917" t="str">
        <f>IFERROR(INDEX(calc!$BA$15:$BA$251,calc!AP49),"")</f>
        <v/>
      </c>
      <c r="V49" s="157"/>
    </row>
    <row r="50" spans="3:22" ht="20.100000000000001" customHeight="1">
      <c r="C50" s="666">
        <f t="shared" si="4"/>
        <v>36</v>
      </c>
      <c r="D50" s="963" t="str">
        <f>IFERROR(INDEX(calc!$AS$15:$AS$251,calc!AO50),"")</f>
        <v/>
      </c>
      <c r="E50" s="907" t="str">
        <f>IFERROR(IF(calc!AQ50&gt;0,calc!AQ50,""),"")</f>
        <v/>
      </c>
      <c r="F50" s="735" t="str">
        <f>IFERROR(INDEX(calc!$BB$15:$BB$251,calc!AO50),"")</f>
        <v/>
      </c>
      <c r="G50" s="736" t="str">
        <f>IFERROR(INDEX(calc!$AY$15:$AY$251,calc!AO50),"")</f>
        <v/>
      </c>
      <c r="H50" s="737" t="str">
        <f>IFERROR(INDEX(calc!$AZ$15:$AZ$251,calc!AO50),"")</f>
        <v/>
      </c>
      <c r="I50" s="911" t="str">
        <f>IFERROR(INDEX(calc!$BA$15:$BA$251,calc!AO50),"")</f>
        <v/>
      </c>
      <c r="J50" s="157"/>
      <c r="M50" s="965" t="str">
        <f>IFERROR(INDEX(calc!$AS$15:$AS$251,calc!AP50),"")</f>
        <v/>
      </c>
      <c r="N50" s="915" t="str">
        <f>IFERROR(IF(calc!AR50&lt;0,calc!AR50,""),"")</f>
        <v/>
      </c>
      <c r="O50" s="735" t="str">
        <f>IFERROR(INDEX(calc!$BB$15:$BB$251,calc!AP50),"")</f>
        <v/>
      </c>
      <c r="P50" s="738" t="str">
        <f>IFERROR(INDEX(calc!$AY$15:$AY$251,calc!AP50),"")</f>
        <v/>
      </c>
      <c r="Q50" s="737" t="str">
        <f>IFERROR(INDEX(calc!$AZ$15:$AZ$251,calc!AP50),"")</f>
        <v/>
      </c>
      <c r="R50" s="917" t="str">
        <f>IFERROR(INDEX(calc!$BA$15:$BA$251,calc!AP50),"")</f>
        <v/>
      </c>
      <c r="V50" s="157"/>
    </row>
    <row r="51" spans="3:22" ht="20.100000000000001" customHeight="1">
      <c r="C51" s="666">
        <f t="shared" si="4"/>
        <v>37</v>
      </c>
      <c r="D51" s="963" t="str">
        <f>IFERROR(INDEX(calc!$AS$15:$AS$251,calc!AO51),"")</f>
        <v/>
      </c>
      <c r="E51" s="907" t="str">
        <f>IFERROR(IF(calc!AQ51&gt;0,calc!AQ51,""),"")</f>
        <v/>
      </c>
      <c r="F51" s="735" t="str">
        <f>IFERROR(INDEX(calc!$BB$15:$BB$251,calc!AO51),"")</f>
        <v/>
      </c>
      <c r="G51" s="736" t="str">
        <f>IFERROR(INDEX(calc!$AY$15:$AY$251,calc!AO51),"")</f>
        <v/>
      </c>
      <c r="H51" s="737" t="str">
        <f>IFERROR(INDEX(calc!$AZ$15:$AZ$251,calc!AO51),"")</f>
        <v/>
      </c>
      <c r="I51" s="911" t="str">
        <f>IFERROR(INDEX(calc!$BA$15:$BA$251,calc!AO51),"")</f>
        <v/>
      </c>
      <c r="J51" s="157"/>
      <c r="M51" s="965" t="str">
        <f>IFERROR(INDEX(calc!$AS$15:$AS$251,calc!AP51),"")</f>
        <v/>
      </c>
      <c r="N51" s="915" t="str">
        <f>IFERROR(IF(calc!AR51&lt;0,calc!AR51,""),"")</f>
        <v/>
      </c>
      <c r="O51" s="735" t="str">
        <f>IFERROR(INDEX(calc!$BB$15:$BB$251,calc!AP51),"")</f>
        <v/>
      </c>
      <c r="P51" s="738" t="str">
        <f>IFERROR(INDEX(calc!$AY$15:$AY$251,calc!AP51),"")</f>
        <v/>
      </c>
      <c r="Q51" s="737" t="str">
        <f>IFERROR(INDEX(calc!$AZ$15:$AZ$251,calc!AP51),"")</f>
        <v/>
      </c>
      <c r="R51" s="917" t="str">
        <f>IFERROR(INDEX(calc!$BA$15:$BA$251,calc!AP51),"")</f>
        <v/>
      </c>
      <c r="V51" s="157"/>
    </row>
    <row r="52" spans="3:22" ht="20.100000000000001" customHeight="1">
      <c r="C52" s="666">
        <f t="shared" si="4"/>
        <v>38</v>
      </c>
      <c r="D52" s="963" t="str">
        <f>IFERROR(INDEX(calc!$AS$15:$AS$251,calc!AO52),"")</f>
        <v/>
      </c>
      <c r="E52" s="907" t="str">
        <f>IFERROR(IF(calc!AQ52&gt;0,calc!AQ52,""),"")</f>
        <v/>
      </c>
      <c r="F52" s="735" t="str">
        <f>IFERROR(INDEX(calc!$BB$15:$BB$251,calc!AO52),"")</f>
        <v/>
      </c>
      <c r="G52" s="736" t="str">
        <f>IFERROR(INDEX(calc!$AY$15:$AY$251,calc!AO52),"")</f>
        <v/>
      </c>
      <c r="H52" s="737" t="str">
        <f>IFERROR(INDEX(calc!$AZ$15:$AZ$251,calc!AO52),"")</f>
        <v/>
      </c>
      <c r="I52" s="911" t="str">
        <f>IFERROR(INDEX(calc!$BA$15:$BA$251,calc!AO52),"")</f>
        <v/>
      </c>
      <c r="J52" s="157"/>
      <c r="M52" s="965" t="str">
        <f>IFERROR(INDEX(calc!$AS$15:$AS$251,calc!AP52),"")</f>
        <v/>
      </c>
      <c r="N52" s="915" t="str">
        <f>IFERROR(IF(calc!AR52&lt;0,calc!AR52,""),"")</f>
        <v/>
      </c>
      <c r="O52" s="735" t="str">
        <f>IFERROR(INDEX(calc!$BB$15:$BB$251,calc!AP52),"")</f>
        <v/>
      </c>
      <c r="P52" s="738" t="str">
        <f>IFERROR(INDEX(calc!$AY$15:$AY$251,calc!AP52),"")</f>
        <v/>
      </c>
      <c r="Q52" s="737" t="str">
        <f>IFERROR(INDEX(calc!$AZ$15:$AZ$251,calc!AP52),"")</f>
        <v/>
      </c>
      <c r="R52" s="917" t="str">
        <f>IFERROR(INDEX(calc!$BA$15:$BA$251,calc!AP52),"")</f>
        <v/>
      </c>
      <c r="V52" s="157"/>
    </row>
    <row r="53" spans="3:22" ht="20.100000000000001" customHeight="1">
      <c r="C53" s="666">
        <f t="shared" si="4"/>
        <v>39</v>
      </c>
      <c r="D53" s="963" t="str">
        <f>IFERROR(INDEX(calc!$AS$15:$AS$251,calc!AO53),"")</f>
        <v/>
      </c>
      <c r="E53" s="907" t="str">
        <f>IFERROR(IF(calc!AQ53&gt;0,calc!AQ53,""),"")</f>
        <v/>
      </c>
      <c r="F53" s="735" t="str">
        <f>IFERROR(INDEX(calc!$BB$15:$BB$251,calc!AO53),"")</f>
        <v/>
      </c>
      <c r="G53" s="736" t="str">
        <f>IFERROR(INDEX(calc!$AY$15:$AY$251,calc!AO53),"")</f>
        <v/>
      </c>
      <c r="H53" s="737" t="str">
        <f>IFERROR(INDEX(calc!$AZ$15:$AZ$251,calc!AO53),"")</f>
        <v/>
      </c>
      <c r="I53" s="911" t="str">
        <f>IFERROR(INDEX(calc!$BA$15:$BA$251,calc!AO53),"")</f>
        <v/>
      </c>
      <c r="J53" s="157"/>
      <c r="M53" s="965" t="str">
        <f>IFERROR(INDEX(calc!$AS$15:$AS$251,calc!AP53),"")</f>
        <v/>
      </c>
      <c r="N53" s="915" t="str">
        <f>IFERROR(IF(calc!AR53&lt;0,calc!AR53,""),"")</f>
        <v/>
      </c>
      <c r="O53" s="735" t="str">
        <f>IFERROR(INDEX(calc!$BB$15:$BB$251,calc!AP53),"")</f>
        <v/>
      </c>
      <c r="P53" s="738" t="str">
        <f>IFERROR(INDEX(calc!$AY$15:$AY$251,calc!AP53),"")</f>
        <v/>
      </c>
      <c r="Q53" s="737" t="str">
        <f>IFERROR(INDEX(calc!$AZ$15:$AZ$251,calc!AP53),"")</f>
        <v/>
      </c>
      <c r="R53" s="917" t="str">
        <f>IFERROR(INDEX(calc!$BA$15:$BA$251,calc!AP53),"")</f>
        <v/>
      </c>
      <c r="V53" s="157"/>
    </row>
    <row r="54" spans="3:22" ht="20.100000000000001" customHeight="1">
      <c r="C54" s="666">
        <f t="shared" si="4"/>
        <v>40</v>
      </c>
      <c r="D54" s="963" t="str">
        <f>IFERROR(INDEX(calc!$AS$15:$AS$251,calc!AO54),"")</f>
        <v/>
      </c>
      <c r="E54" s="907" t="str">
        <f>IFERROR(IF(calc!AQ54&gt;0,calc!AQ54,""),"")</f>
        <v/>
      </c>
      <c r="F54" s="735" t="str">
        <f>IFERROR(INDEX(calc!$BB$15:$BB$251,calc!AO54),"")</f>
        <v/>
      </c>
      <c r="G54" s="736" t="str">
        <f>IFERROR(INDEX(calc!$AY$15:$AY$251,calc!AO54),"")</f>
        <v/>
      </c>
      <c r="H54" s="737" t="str">
        <f>IFERROR(INDEX(calc!$AZ$15:$AZ$251,calc!AO54),"")</f>
        <v/>
      </c>
      <c r="I54" s="911" t="str">
        <f>IFERROR(INDEX(calc!$BA$15:$BA$251,calc!AO54),"")</f>
        <v/>
      </c>
      <c r="J54" s="157"/>
      <c r="M54" s="965" t="str">
        <f>IFERROR(INDEX(calc!$AS$15:$AS$251,calc!AP54),"")</f>
        <v/>
      </c>
      <c r="N54" s="915" t="str">
        <f>IFERROR(IF(calc!AR54&lt;0,calc!AR54,""),"")</f>
        <v/>
      </c>
      <c r="O54" s="735" t="str">
        <f>IFERROR(INDEX(calc!$BB$15:$BB$251,calc!AP54),"")</f>
        <v/>
      </c>
      <c r="P54" s="738" t="str">
        <f>IFERROR(INDEX(calc!$AY$15:$AY$251,calc!AP54),"")</f>
        <v/>
      </c>
      <c r="Q54" s="737" t="str">
        <f>IFERROR(INDEX(calc!$AZ$15:$AZ$251,calc!AP54),"")</f>
        <v/>
      </c>
      <c r="R54" s="917" t="str">
        <f>IFERROR(INDEX(calc!$BA$15:$BA$251,calc!AP54),"")</f>
        <v/>
      </c>
      <c r="V54" s="157"/>
    </row>
    <row r="55" spans="3:22" ht="20.100000000000001" customHeight="1">
      <c r="C55" s="666">
        <f t="shared" si="4"/>
        <v>41</v>
      </c>
      <c r="D55" s="963" t="str">
        <f>IFERROR(INDEX(calc!$AS$15:$AS$251,calc!AO55),"")</f>
        <v/>
      </c>
      <c r="E55" s="907" t="str">
        <f>IFERROR(IF(calc!AQ55&gt;0,calc!AQ55,""),"")</f>
        <v/>
      </c>
      <c r="F55" s="735" t="str">
        <f>IFERROR(INDEX(calc!$BB$15:$BB$251,calc!AO55),"")</f>
        <v/>
      </c>
      <c r="G55" s="736" t="str">
        <f>IFERROR(INDEX(calc!$AY$15:$AY$251,calc!AO55),"")</f>
        <v/>
      </c>
      <c r="H55" s="737" t="str">
        <f>IFERROR(INDEX(calc!$AZ$15:$AZ$251,calc!AO55),"")</f>
        <v/>
      </c>
      <c r="I55" s="911" t="str">
        <f>IFERROR(INDEX(calc!$BA$15:$BA$251,calc!AO55),"")</f>
        <v/>
      </c>
      <c r="J55" s="157"/>
      <c r="M55" s="965" t="str">
        <f>IFERROR(INDEX(calc!$AS$15:$AS$251,calc!AP55),"")</f>
        <v/>
      </c>
      <c r="N55" s="915" t="str">
        <f>IFERROR(IF(calc!AR55&lt;0,calc!AR55,""),"")</f>
        <v/>
      </c>
      <c r="O55" s="735" t="str">
        <f>IFERROR(INDEX(calc!$BB$15:$BB$251,calc!AP55),"")</f>
        <v/>
      </c>
      <c r="P55" s="738" t="str">
        <f>IFERROR(INDEX(calc!$AY$15:$AY$251,calc!AP55),"")</f>
        <v/>
      </c>
      <c r="Q55" s="737" t="str">
        <f>IFERROR(INDEX(calc!$AZ$15:$AZ$251,calc!AP55),"")</f>
        <v/>
      </c>
      <c r="R55" s="917" t="str">
        <f>IFERROR(INDEX(calc!$BA$15:$BA$251,calc!AP55),"")</f>
        <v/>
      </c>
      <c r="V55" s="157"/>
    </row>
    <row r="56" spans="3:22" ht="20.100000000000001" customHeight="1">
      <c r="C56" s="666">
        <f t="shared" si="4"/>
        <v>42</v>
      </c>
      <c r="D56" s="963" t="str">
        <f>IFERROR(INDEX(calc!$AS$15:$AS$251,calc!AO56),"")</f>
        <v/>
      </c>
      <c r="E56" s="907" t="str">
        <f>IFERROR(IF(calc!AQ56&gt;0,calc!AQ56,""),"")</f>
        <v/>
      </c>
      <c r="F56" s="735" t="str">
        <f>IFERROR(INDEX(calc!$BB$15:$BB$251,calc!AO56),"")</f>
        <v/>
      </c>
      <c r="G56" s="736" t="str">
        <f>IFERROR(INDEX(calc!$AY$15:$AY$251,calc!AO56),"")</f>
        <v/>
      </c>
      <c r="H56" s="737" t="str">
        <f>IFERROR(INDEX(calc!$AZ$15:$AZ$251,calc!AO56),"")</f>
        <v/>
      </c>
      <c r="I56" s="911" t="str">
        <f>IFERROR(INDEX(calc!$BA$15:$BA$251,calc!AO56),"")</f>
        <v/>
      </c>
      <c r="J56" s="157"/>
      <c r="M56" s="965" t="str">
        <f>IFERROR(INDEX(calc!$AS$15:$AS$251,calc!AP56),"")</f>
        <v/>
      </c>
      <c r="N56" s="915" t="str">
        <f>IFERROR(IF(calc!AR56&lt;0,calc!AR56,""),"")</f>
        <v/>
      </c>
      <c r="O56" s="735" t="str">
        <f>IFERROR(INDEX(calc!$BB$15:$BB$251,calc!AP56),"")</f>
        <v/>
      </c>
      <c r="P56" s="738" t="str">
        <f>IFERROR(INDEX(calc!$AY$15:$AY$251,calc!AP56),"")</f>
        <v/>
      </c>
      <c r="Q56" s="737" t="str">
        <f>IFERROR(INDEX(calc!$AZ$15:$AZ$251,calc!AP56),"")</f>
        <v/>
      </c>
      <c r="R56" s="917" t="str">
        <f>IFERROR(INDEX(calc!$BA$15:$BA$251,calc!AP56),"")</f>
        <v/>
      </c>
      <c r="V56" s="157"/>
    </row>
    <row r="57" spans="3:22" ht="20.100000000000001" customHeight="1">
      <c r="C57" s="666">
        <f t="shared" si="4"/>
        <v>43</v>
      </c>
      <c r="D57" s="963" t="str">
        <f>IFERROR(INDEX(calc!$AS$15:$AS$251,calc!AO57),"")</f>
        <v/>
      </c>
      <c r="E57" s="907" t="str">
        <f>IFERROR(IF(calc!AQ57&gt;0,calc!AQ57,""),"")</f>
        <v/>
      </c>
      <c r="F57" s="735" t="str">
        <f>IFERROR(INDEX(calc!$BB$15:$BB$251,calc!AO57),"")</f>
        <v/>
      </c>
      <c r="G57" s="736" t="str">
        <f>IFERROR(INDEX(calc!$AY$15:$AY$251,calc!AO57),"")</f>
        <v/>
      </c>
      <c r="H57" s="737" t="str">
        <f>IFERROR(INDEX(calc!$AZ$15:$AZ$251,calc!AO57),"")</f>
        <v/>
      </c>
      <c r="I57" s="911" t="str">
        <f>IFERROR(INDEX(calc!$BA$15:$BA$251,calc!AO57),"")</f>
        <v/>
      </c>
      <c r="J57" s="157"/>
      <c r="M57" s="965" t="str">
        <f>IFERROR(INDEX(calc!$AS$15:$AS$251,calc!AP57),"")</f>
        <v/>
      </c>
      <c r="N57" s="915" t="str">
        <f>IFERROR(IF(calc!AR57&lt;0,calc!AR57,""),"")</f>
        <v/>
      </c>
      <c r="O57" s="735" t="str">
        <f>IFERROR(INDEX(calc!$BB$15:$BB$251,calc!AP57),"")</f>
        <v/>
      </c>
      <c r="P57" s="738" t="str">
        <f>IFERROR(INDEX(calc!$AY$15:$AY$251,calc!AP57),"")</f>
        <v/>
      </c>
      <c r="Q57" s="737" t="str">
        <f>IFERROR(INDEX(calc!$AZ$15:$AZ$251,calc!AP57),"")</f>
        <v/>
      </c>
      <c r="R57" s="917" t="str">
        <f>IFERROR(INDEX(calc!$BA$15:$BA$251,calc!AP57),"")</f>
        <v/>
      </c>
      <c r="V57" s="157"/>
    </row>
    <row r="58" spans="3:22" ht="20.100000000000001" customHeight="1">
      <c r="C58" s="666">
        <f t="shared" si="4"/>
        <v>44</v>
      </c>
      <c r="D58" s="963" t="str">
        <f>IFERROR(INDEX(calc!$AS$15:$AS$251,calc!AO58),"")</f>
        <v/>
      </c>
      <c r="E58" s="907" t="str">
        <f>IFERROR(IF(calc!AQ58&gt;0,calc!AQ58,""),"")</f>
        <v/>
      </c>
      <c r="F58" s="735" t="str">
        <f>IFERROR(INDEX(calc!$BB$15:$BB$251,calc!AO58),"")</f>
        <v/>
      </c>
      <c r="G58" s="736" t="str">
        <f>IFERROR(INDEX(calc!$AY$15:$AY$251,calc!AO58),"")</f>
        <v/>
      </c>
      <c r="H58" s="737" t="str">
        <f>IFERROR(INDEX(calc!$AZ$15:$AZ$251,calc!AO58),"")</f>
        <v/>
      </c>
      <c r="I58" s="911" t="str">
        <f>IFERROR(INDEX(calc!$BA$15:$BA$251,calc!AO58),"")</f>
        <v/>
      </c>
      <c r="J58" s="157"/>
      <c r="M58" s="965" t="str">
        <f>IFERROR(INDEX(calc!$AS$15:$AS$251,calc!AP58),"")</f>
        <v/>
      </c>
      <c r="N58" s="915" t="str">
        <f>IFERROR(IF(calc!AR58&lt;0,calc!AR58,""),"")</f>
        <v/>
      </c>
      <c r="O58" s="735" t="str">
        <f>IFERROR(INDEX(calc!$BB$15:$BB$251,calc!AP58),"")</f>
        <v/>
      </c>
      <c r="P58" s="738" t="str">
        <f>IFERROR(INDEX(calc!$AY$15:$AY$251,calc!AP58),"")</f>
        <v/>
      </c>
      <c r="Q58" s="737" t="str">
        <f>IFERROR(INDEX(calc!$AZ$15:$AZ$251,calc!AP58),"")</f>
        <v/>
      </c>
      <c r="R58" s="917" t="str">
        <f>IFERROR(INDEX(calc!$BA$15:$BA$251,calc!AP58),"")</f>
        <v/>
      </c>
      <c r="V58" s="157"/>
    </row>
    <row r="59" spans="3:22" ht="20.100000000000001" customHeight="1">
      <c r="C59" s="666">
        <f t="shared" si="4"/>
        <v>45</v>
      </c>
      <c r="D59" s="963" t="str">
        <f>IFERROR(INDEX(calc!$AS$15:$AS$251,calc!AO59),"")</f>
        <v/>
      </c>
      <c r="E59" s="907" t="str">
        <f>IFERROR(IF(calc!AQ59&gt;0,calc!AQ59,""),"")</f>
        <v/>
      </c>
      <c r="F59" s="735" t="str">
        <f>IFERROR(INDEX(calc!$BB$15:$BB$251,calc!AO59),"")</f>
        <v/>
      </c>
      <c r="G59" s="736" t="str">
        <f>IFERROR(INDEX(calc!$AY$15:$AY$251,calc!AO59),"")</f>
        <v/>
      </c>
      <c r="H59" s="737" t="str">
        <f>IFERROR(INDEX(calc!$AZ$15:$AZ$251,calc!AO59),"")</f>
        <v/>
      </c>
      <c r="I59" s="911" t="str">
        <f>IFERROR(INDEX(calc!$BA$15:$BA$251,calc!AO59),"")</f>
        <v/>
      </c>
      <c r="J59" s="157"/>
      <c r="M59" s="965" t="str">
        <f>IFERROR(INDEX(calc!$AS$15:$AS$251,calc!AP59),"")</f>
        <v/>
      </c>
      <c r="N59" s="915" t="str">
        <f>IFERROR(IF(calc!AR59&lt;0,calc!AR59,""),"")</f>
        <v/>
      </c>
      <c r="O59" s="735" t="str">
        <f>IFERROR(INDEX(calc!$BB$15:$BB$251,calc!AP59),"")</f>
        <v/>
      </c>
      <c r="P59" s="738" t="str">
        <f>IFERROR(INDEX(calc!$AY$15:$AY$251,calc!AP59),"")</f>
        <v/>
      </c>
      <c r="Q59" s="737" t="str">
        <f>IFERROR(INDEX(calc!$AZ$15:$AZ$251,calc!AP59),"")</f>
        <v/>
      </c>
      <c r="R59" s="917" t="str">
        <f>IFERROR(INDEX(calc!$BA$15:$BA$251,calc!AP59),"")</f>
        <v/>
      </c>
      <c r="V59" s="157"/>
    </row>
    <row r="60" spans="3:22" ht="20.100000000000001" customHeight="1">
      <c r="C60" s="666">
        <f t="shared" si="4"/>
        <v>46</v>
      </c>
      <c r="D60" s="963" t="str">
        <f>IFERROR(INDEX(calc!$AS$15:$AS$251,calc!AO60),"")</f>
        <v/>
      </c>
      <c r="E60" s="907" t="str">
        <f>IFERROR(IF(calc!AQ60&gt;0,calc!AQ60,""),"")</f>
        <v/>
      </c>
      <c r="F60" s="735" t="str">
        <f>IFERROR(INDEX(calc!$BB$15:$BB$251,calc!AO60),"")</f>
        <v/>
      </c>
      <c r="G60" s="736" t="str">
        <f>IFERROR(INDEX(calc!$AY$15:$AY$251,calc!AO60),"")</f>
        <v/>
      </c>
      <c r="H60" s="737" t="str">
        <f>IFERROR(INDEX(calc!$AZ$15:$AZ$251,calc!AO60),"")</f>
        <v/>
      </c>
      <c r="I60" s="911" t="str">
        <f>IFERROR(INDEX(calc!$BA$15:$BA$251,calc!AO60),"")</f>
        <v/>
      </c>
      <c r="J60" s="157"/>
      <c r="M60" s="965" t="str">
        <f>IFERROR(INDEX(calc!$AS$15:$AS$251,calc!AP60),"")</f>
        <v/>
      </c>
      <c r="N60" s="915" t="str">
        <f>IFERROR(IF(calc!AR60&lt;0,calc!AR60,""),"")</f>
        <v/>
      </c>
      <c r="O60" s="735" t="str">
        <f>IFERROR(INDEX(calc!$BB$15:$BB$251,calc!AP60),"")</f>
        <v/>
      </c>
      <c r="P60" s="738" t="str">
        <f>IFERROR(INDEX(calc!$AY$15:$AY$251,calc!AP60),"")</f>
        <v/>
      </c>
      <c r="Q60" s="737" t="str">
        <f>IFERROR(INDEX(calc!$AZ$15:$AZ$251,calc!AP60),"")</f>
        <v/>
      </c>
      <c r="R60" s="917" t="str">
        <f>IFERROR(INDEX(calc!$BA$15:$BA$251,calc!AP60),"")</f>
        <v/>
      </c>
      <c r="V60" s="157"/>
    </row>
    <row r="61" spans="3:22" ht="20.100000000000001" customHeight="1">
      <c r="C61" s="666">
        <f t="shared" si="4"/>
        <v>47</v>
      </c>
      <c r="D61" s="963" t="str">
        <f>IFERROR(INDEX(calc!$AS$15:$AS$251,calc!AO61),"")</f>
        <v/>
      </c>
      <c r="E61" s="907" t="str">
        <f>IFERROR(IF(calc!AQ61&gt;0,calc!AQ61,""),"")</f>
        <v/>
      </c>
      <c r="F61" s="735" t="str">
        <f>IFERROR(INDEX(calc!$BB$15:$BB$251,calc!AO61),"")</f>
        <v/>
      </c>
      <c r="G61" s="736" t="str">
        <f>IFERROR(INDEX(calc!$AY$15:$AY$251,calc!AO61),"")</f>
        <v/>
      </c>
      <c r="H61" s="737" t="str">
        <f>IFERROR(INDEX(calc!$AZ$15:$AZ$251,calc!AO61),"")</f>
        <v/>
      </c>
      <c r="I61" s="911" t="str">
        <f>IFERROR(INDEX(calc!$BA$15:$BA$251,calc!AO61),"")</f>
        <v/>
      </c>
      <c r="J61" s="157"/>
      <c r="M61" s="965" t="str">
        <f>IFERROR(INDEX(calc!$AS$15:$AS$251,calc!AP61),"")</f>
        <v/>
      </c>
      <c r="N61" s="915" t="str">
        <f>IFERROR(IF(calc!AR61&lt;0,calc!AR61,""),"")</f>
        <v/>
      </c>
      <c r="O61" s="735" t="str">
        <f>IFERROR(INDEX(calc!$BB$15:$BB$251,calc!AP61),"")</f>
        <v/>
      </c>
      <c r="P61" s="738" t="str">
        <f>IFERROR(INDEX(calc!$AY$15:$AY$251,calc!AP61),"")</f>
        <v/>
      </c>
      <c r="Q61" s="737" t="str">
        <f>IFERROR(INDEX(calc!$AZ$15:$AZ$251,calc!AP61),"")</f>
        <v/>
      </c>
      <c r="R61" s="917" t="str">
        <f>IFERROR(INDEX(calc!$BA$15:$BA$251,calc!AP61),"")</f>
        <v/>
      </c>
      <c r="V61" s="157"/>
    </row>
    <row r="62" spans="3:22" ht="20.100000000000001" customHeight="1">
      <c r="C62" s="666">
        <f t="shared" si="4"/>
        <v>48</v>
      </c>
      <c r="D62" s="963" t="str">
        <f>IFERROR(INDEX(calc!$AS$15:$AS$251,calc!AO62),"")</f>
        <v/>
      </c>
      <c r="E62" s="907" t="str">
        <f>IFERROR(IF(calc!AQ62&gt;0,calc!AQ62,""),"")</f>
        <v/>
      </c>
      <c r="F62" s="735" t="str">
        <f>IFERROR(INDEX(calc!$BB$15:$BB$251,calc!AO62),"")</f>
        <v/>
      </c>
      <c r="G62" s="736" t="str">
        <f>IFERROR(INDEX(calc!$AY$15:$AY$251,calc!AO62),"")</f>
        <v/>
      </c>
      <c r="H62" s="737" t="str">
        <f>IFERROR(INDEX(calc!$AZ$15:$AZ$251,calc!AO62),"")</f>
        <v/>
      </c>
      <c r="I62" s="911" t="str">
        <f>IFERROR(INDEX(calc!$BA$15:$BA$251,calc!AO62),"")</f>
        <v/>
      </c>
      <c r="J62" s="157"/>
      <c r="M62" s="965" t="str">
        <f>IFERROR(INDEX(calc!$AS$15:$AS$251,calc!AP62),"")</f>
        <v/>
      </c>
      <c r="N62" s="915" t="str">
        <f>IFERROR(IF(calc!AR62&lt;0,calc!AR62,""),"")</f>
        <v/>
      </c>
      <c r="O62" s="735" t="str">
        <f>IFERROR(INDEX(calc!$BB$15:$BB$251,calc!AP62),"")</f>
        <v/>
      </c>
      <c r="P62" s="738" t="str">
        <f>IFERROR(INDEX(calc!$AY$15:$AY$251,calc!AP62),"")</f>
        <v/>
      </c>
      <c r="Q62" s="737" t="str">
        <f>IFERROR(INDEX(calc!$AZ$15:$AZ$251,calc!AP62),"")</f>
        <v/>
      </c>
      <c r="R62" s="917" t="str">
        <f>IFERROR(INDEX(calc!$BA$15:$BA$251,calc!AP62),"")</f>
        <v/>
      </c>
      <c r="V62" s="157"/>
    </row>
    <row r="63" spans="3:22" ht="20.100000000000001" customHeight="1">
      <c r="C63" s="666">
        <f t="shared" si="4"/>
        <v>49</v>
      </c>
      <c r="D63" s="963" t="str">
        <f>IFERROR(INDEX(calc!$AS$15:$AS$251,calc!AO63),"")</f>
        <v/>
      </c>
      <c r="E63" s="907" t="str">
        <f>IFERROR(IF(calc!AQ63&gt;0,calc!AQ63,""),"")</f>
        <v/>
      </c>
      <c r="F63" s="735" t="str">
        <f>IFERROR(INDEX(calc!$BB$15:$BB$251,calc!AO63),"")</f>
        <v/>
      </c>
      <c r="G63" s="736" t="str">
        <f>IFERROR(INDEX(calc!$AY$15:$AY$251,calc!AO63),"")</f>
        <v/>
      </c>
      <c r="H63" s="737" t="str">
        <f>IFERROR(INDEX(calc!$AZ$15:$AZ$251,calc!AO63),"")</f>
        <v/>
      </c>
      <c r="I63" s="911" t="str">
        <f>IFERROR(INDEX(calc!$BA$15:$BA$251,calc!AO63),"")</f>
        <v/>
      </c>
      <c r="J63" s="157"/>
      <c r="M63" s="965" t="str">
        <f>IFERROR(INDEX(calc!$AS$15:$AS$251,calc!AP63),"")</f>
        <v/>
      </c>
      <c r="N63" s="915" t="str">
        <f>IFERROR(IF(calc!AR63&lt;0,calc!AR63,""),"")</f>
        <v/>
      </c>
      <c r="O63" s="735" t="str">
        <f>IFERROR(INDEX(calc!$BB$15:$BB$251,calc!AP63),"")</f>
        <v/>
      </c>
      <c r="P63" s="738" t="str">
        <f>IFERROR(INDEX(calc!$AY$15:$AY$251,calc!AP63),"")</f>
        <v/>
      </c>
      <c r="Q63" s="737" t="str">
        <f>IFERROR(INDEX(calc!$AZ$15:$AZ$251,calc!AP63),"")</f>
        <v/>
      </c>
      <c r="R63" s="917" t="str">
        <f>IFERROR(INDEX(calc!$BA$15:$BA$251,calc!AP63),"")</f>
        <v/>
      </c>
      <c r="V63" s="157"/>
    </row>
    <row r="64" spans="3:22" ht="20.100000000000001" customHeight="1">
      <c r="C64" s="666">
        <f t="shared" si="4"/>
        <v>50</v>
      </c>
      <c r="D64" s="963" t="str">
        <f>IFERROR(INDEX(calc!$AS$15:$AS$251,calc!AO64),"")</f>
        <v/>
      </c>
      <c r="E64" s="907" t="str">
        <f>IFERROR(IF(calc!AQ64&gt;0,calc!AQ64,""),"")</f>
        <v/>
      </c>
      <c r="F64" s="735" t="str">
        <f>IFERROR(INDEX(calc!$BB$15:$BB$251,calc!AO64),"")</f>
        <v/>
      </c>
      <c r="G64" s="736" t="str">
        <f>IFERROR(INDEX(calc!$AY$15:$AY$251,calc!AO64),"")</f>
        <v/>
      </c>
      <c r="H64" s="737" t="str">
        <f>IFERROR(INDEX(calc!$AZ$15:$AZ$251,calc!AO64),"")</f>
        <v/>
      </c>
      <c r="I64" s="911" t="str">
        <f>IFERROR(INDEX(calc!$BA$15:$BA$251,calc!AO64),"")</f>
        <v/>
      </c>
      <c r="J64" s="157"/>
      <c r="M64" s="965" t="str">
        <f>IFERROR(INDEX(calc!$AS$15:$AS$251,calc!AP64),"")</f>
        <v/>
      </c>
      <c r="N64" s="915" t="str">
        <f>IFERROR(IF(calc!AR64&lt;0,calc!AR64,""),"")</f>
        <v/>
      </c>
      <c r="O64" s="735" t="str">
        <f>IFERROR(INDEX(calc!$BB$15:$BB$251,calc!AP64),"")</f>
        <v/>
      </c>
      <c r="P64" s="738" t="str">
        <f>IFERROR(INDEX(calc!$AY$15:$AY$251,calc!AP64),"")</f>
        <v/>
      </c>
      <c r="Q64" s="737" t="str">
        <f>IFERROR(INDEX(calc!$AZ$15:$AZ$251,calc!AP64),"")</f>
        <v/>
      </c>
      <c r="R64" s="917" t="str">
        <f>IFERROR(INDEX(calc!$BA$15:$BA$251,calc!AP64),"")</f>
        <v/>
      </c>
      <c r="V64" s="157"/>
    </row>
    <row r="65" spans="3:22" ht="20.100000000000001" customHeight="1">
      <c r="C65" s="666">
        <f t="shared" si="4"/>
        <v>51</v>
      </c>
      <c r="D65" s="963" t="str">
        <f>IFERROR(INDEX(calc!$AS$15:$AS$251,calc!AO65),"")</f>
        <v/>
      </c>
      <c r="E65" s="907" t="str">
        <f>IFERROR(IF(calc!AQ65&gt;0,calc!AQ65,""),"")</f>
        <v/>
      </c>
      <c r="F65" s="735" t="str">
        <f>IFERROR(INDEX(calc!$BB$15:$BB$251,calc!AO65),"")</f>
        <v/>
      </c>
      <c r="G65" s="736" t="str">
        <f>IFERROR(INDEX(calc!$AY$15:$AY$251,calc!AO65),"")</f>
        <v/>
      </c>
      <c r="H65" s="737" t="str">
        <f>IFERROR(INDEX(calc!$AZ$15:$AZ$251,calc!AO65),"")</f>
        <v/>
      </c>
      <c r="I65" s="911" t="str">
        <f>IFERROR(INDEX(calc!$BA$15:$BA$251,calc!AO65),"")</f>
        <v/>
      </c>
      <c r="J65" s="157"/>
      <c r="M65" s="965" t="str">
        <f>IFERROR(INDEX(calc!$AS$15:$AS$251,calc!AP65),"")</f>
        <v/>
      </c>
      <c r="N65" s="915" t="str">
        <f>IFERROR(IF(calc!AR65&lt;0,calc!AR65,""),"")</f>
        <v/>
      </c>
      <c r="O65" s="735" t="str">
        <f>IFERROR(INDEX(calc!$BB$15:$BB$251,calc!AP65),"")</f>
        <v/>
      </c>
      <c r="P65" s="738" t="str">
        <f>IFERROR(INDEX(calc!$AY$15:$AY$251,calc!AP65),"")</f>
        <v/>
      </c>
      <c r="Q65" s="737" t="str">
        <f>IFERROR(INDEX(calc!$AZ$15:$AZ$251,calc!AP65),"")</f>
        <v/>
      </c>
      <c r="R65" s="917" t="str">
        <f>IFERROR(INDEX(calc!$BA$15:$BA$251,calc!AP65),"")</f>
        <v/>
      </c>
      <c r="V65" s="157"/>
    </row>
    <row r="66" spans="3:22" ht="20.100000000000001" customHeight="1">
      <c r="C66" s="666">
        <f t="shared" si="4"/>
        <v>52</v>
      </c>
      <c r="D66" s="963" t="str">
        <f>IFERROR(INDEX(calc!$AS$15:$AS$251,calc!AO66),"")</f>
        <v/>
      </c>
      <c r="E66" s="907" t="str">
        <f>IFERROR(IF(calc!AQ66&gt;0,calc!AQ66,""),"")</f>
        <v/>
      </c>
      <c r="F66" s="735" t="str">
        <f>IFERROR(INDEX(calc!$BB$15:$BB$251,calc!AO66),"")</f>
        <v/>
      </c>
      <c r="G66" s="736" t="str">
        <f>IFERROR(INDEX(calc!$AY$15:$AY$251,calc!AO66),"")</f>
        <v/>
      </c>
      <c r="H66" s="737" t="str">
        <f>IFERROR(INDEX(calc!$AZ$15:$AZ$251,calc!AO66),"")</f>
        <v/>
      </c>
      <c r="I66" s="911" t="str">
        <f>IFERROR(INDEX(calc!$BA$15:$BA$251,calc!AO66),"")</f>
        <v/>
      </c>
      <c r="J66" s="157"/>
      <c r="M66" s="965" t="str">
        <f>IFERROR(INDEX(calc!$AS$15:$AS$251,calc!AP66),"")</f>
        <v/>
      </c>
      <c r="N66" s="915" t="str">
        <f>IFERROR(IF(calc!AR66&lt;0,calc!AR66,""),"")</f>
        <v/>
      </c>
      <c r="O66" s="735" t="str">
        <f>IFERROR(INDEX(calc!$BB$15:$BB$251,calc!AP66),"")</f>
        <v/>
      </c>
      <c r="P66" s="738" t="str">
        <f>IFERROR(INDEX(calc!$AY$15:$AY$251,calc!AP66),"")</f>
        <v/>
      </c>
      <c r="Q66" s="737" t="str">
        <f>IFERROR(INDEX(calc!$AZ$15:$AZ$251,calc!AP66),"")</f>
        <v/>
      </c>
      <c r="R66" s="917" t="str">
        <f>IFERROR(INDEX(calc!$BA$15:$BA$251,calc!AP66),"")</f>
        <v/>
      </c>
      <c r="V66" s="157"/>
    </row>
    <row r="67" spans="3:22" ht="20.100000000000001" customHeight="1">
      <c r="C67" s="666">
        <f t="shared" si="4"/>
        <v>53</v>
      </c>
      <c r="D67" s="963" t="str">
        <f>IFERROR(INDEX(calc!$AS$15:$AS$251,calc!AO67),"")</f>
        <v/>
      </c>
      <c r="E67" s="907" t="str">
        <f>IFERROR(IF(calc!AQ67&gt;0,calc!AQ67,""),"")</f>
        <v/>
      </c>
      <c r="F67" s="735" t="str">
        <f>IFERROR(INDEX(calc!$BB$15:$BB$251,calc!AO67),"")</f>
        <v/>
      </c>
      <c r="G67" s="736" t="str">
        <f>IFERROR(INDEX(calc!$AY$15:$AY$251,calc!AO67),"")</f>
        <v/>
      </c>
      <c r="H67" s="737" t="str">
        <f>IFERROR(INDEX(calc!$AZ$15:$AZ$251,calc!AO67),"")</f>
        <v/>
      </c>
      <c r="I67" s="911" t="str">
        <f>IFERROR(INDEX(calc!$BA$15:$BA$251,calc!AO67),"")</f>
        <v/>
      </c>
      <c r="J67" s="157"/>
      <c r="M67" s="965" t="str">
        <f>IFERROR(INDEX(calc!$AS$15:$AS$251,calc!AP67),"")</f>
        <v/>
      </c>
      <c r="N67" s="915" t="str">
        <f>IFERROR(IF(calc!AR67&lt;0,calc!AR67,""),"")</f>
        <v/>
      </c>
      <c r="O67" s="735" t="str">
        <f>IFERROR(INDEX(calc!$BB$15:$BB$251,calc!AP67),"")</f>
        <v/>
      </c>
      <c r="P67" s="738" t="str">
        <f>IFERROR(INDEX(calc!$AY$15:$AY$251,calc!AP67),"")</f>
        <v/>
      </c>
      <c r="Q67" s="737" t="str">
        <f>IFERROR(INDEX(calc!$AZ$15:$AZ$251,calc!AP67),"")</f>
        <v/>
      </c>
      <c r="R67" s="917" t="str">
        <f>IFERROR(INDEX(calc!$BA$15:$BA$251,calc!AP67),"")</f>
        <v/>
      </c>
      <c r="V67" s="157"/>
    </row>
    <row r="68" spans="3:22" ht="20.100000000000001" customHeight="1">
      <c r="C68" s="666">
        <f t="shared" si="4"/>
        <v>54</v>
      </c>
      <c r="D68" s="963" t="str">
        <f>IFERROR(INDEX(calc!$AS$15:$AS$251,calc!AO68),"")</f>
        <v/>
      </c>
      <c r="E68" s="907" t="str">
        <f>IFERROR(IF(calc!AQ68&gt;0,calc!AQ68,""),"")</f>
        <v/>
      </c>
      <c r="F68" s="735" t="str">
        <f>IFERROR(INDEX(calc!$BB$15:$BB$251,calc!AO68),"")</f>
        <v/>
      </c>
      <c r="G68" s="736" t="str">
        <f>IFERROR(INDEX(calc!$AY$15:$AY$251,calc!AO68),"")</f>
        <v/>
      </c>
      <c r="H68" s="737" t="str">
        <f>IFERROR(INDEX(calc!$AZ$15:$AZ$251,calc!AO68),"")</f>
        <v/>
      </c>
      <c r="I68" s="911" t="str">
        <f>IFERROR(INDEX(calc!$BA$15:$BA$251,calc!AO68),"")</f>
        <v/>
      </c>
      <c r="J68" s="157"/>
      <c r="M68" s="965" t="str">
        <f>IFERROR(INDEX(calc!$AS$15:$AS$251,calc!AP68),"")</f>
        <v/>
      </c>
      <c r="N68" s="915" t="str">
        <f>IFERROR(IF(calc!AR68&lt;0,calc!AR68,""),"")</f>
        <v/>
      </c>
      <c r="O68" s="735" t="str">
        <f>IFERROR(INDEX(calc!$BB$15:$BB$251,calc!AP68),"")</f>
        <v/>
      </c>
      <c r="P68" s="738" t="str">
        <f>IFERROR(INDEX(calc!$AY$15:$AY$251,calc!AP68),"")</f>
        <v/>
      </c>
      <c r="Q68" s="737" t="str">
        <f>IFERROR(INDEX(calc!$AZ$15:$AZ$251,calc!AP68),"")</f>
        <v/>
      </c>
      <c r="R68" s="917" t="str">
        <f>IFERROR(INDEX(calc!$BA$15:$BA$251,calc!AP68),"")</f>
        <v/>
      </c>
      <c r="V68" s="157"/>
    </row>
    <row r="69" spans="3:22" ht="20.100000000000001" customHeight="1">
      <c r="C69" s="666">
        <f t="shared" si="4"/>
        <v>55</v>
      </c>
      <c r="D69" s="963" t="str">
        <f>IFERROR(INDEX(calc!$AS$15:$AS$251,calc!AO69),"")</f>
        <v/>
      </c>
      <c r="E69" s="907" t="str">
        <f>IFERROR(IF(calc!AQ69&gt;0,calc!AQ69,""),"")</f>
        <v/>
      </c>
      <c r="F69" s="735" t="str">
        <f>IFERROR(INDEX(calc!$BB$15:$BB$251,calc!AO69),"")</f>
        <v/>
      </c>
      <c r="G69" s="736" t="str">
        <f>IFERROR(INDEX(calc!$AY$15:$AY$251,calc!AO69),"")</f>
        <v/>
      </c>
      <c r="H69" s="737" t="str">
        <f>IFERROR(INDEX(calc!$AZ$15:$AZ$251,calc!AO69),"")</f>
        <v/>
      </c>
      <c r="I69" s="911" t="str">
        <f>IFERROR(INDEX(calc!$BA$15:$BA$251,calc!AO69),"")</f>
        <v/>
      </c>
      <c r="J69" s="157"/>
      <c r="M69" s="965" t="str">
        <f>IFERROR(INDEX(calc!$AS$15:$AS$251,calc!AP69),"")</f>
        <v/>
      </c>
      <c r="N69" s="915" t="str">
        <f>IFERROR(IF(calc!AR69&lt;0,calc!AR69,""),"")</f>
        <v/>
      </c>
      <c r="O69" s="735" t="str">
        <f>IFERROR(INDEX(calc!$BB$15:$BB$251,calc!AP69),"")</f>
        <v/>
      </c>
      <c r="P69" s="738" t="str">
        <f>IFERROR(INDEX(calc!$AY$15:$AY$251,calc!AP69),"")</f>
        <v/>
      </c>
      <c r="Q69" s="737" t="str">
        <f>IFERROR(INDEX(calc!$AZ$15:$AZ$251,calc!AP69),"")</f>
        <v/>
      </c>
      <c r="R69" s="917" t="str">
        <f>IFERROR(INDEX(calc!$BA$15:$BA$251,calc!AP69),"")</f>
        <v/>
      </c>
      <c r="V69" s="157"/>
    </row>
    <row r="70" spans="3:22" ht="20.100000000000001" customHeight="1">
      <c r="C70" s="666">
        <f t="shared" si="4"/>
        <v>56</v>
      </c>
      <c r="D70" s="963" t="str">
        <f>IFERROR(INDEX(calc!$AS$15:$AS$251,calc!AO70),"")</f>
        <v/>
      </c>
      <c r="E70" s="907" t="str">
        <f>IFERROR(IF(calc!AQ70&gt;0,calc!AQ70,""),"")</f>
        <v/>
      </c>
      <c r="F70" s="735" t="str">
        <f>IFERROR(INDEX(calc!$BB$15:$BB$251,calc!AO70),"")</f>
        <v/>
      </c>
      <c r="G70" s="736" t="str">
        <f>IFERROR(INDEX(calc!$AY$15:$AY$251,calc!AO70),"")</f>
        <v/>
      </c>
      <c r="H70" s="737" t="str">
        <f>IFERROR(INDEX(calc!$AZ$15:$AZ$251,calc!AO70),"")</f>
        <v/>
      </c>
      <c r="I70" s="911" t="str">
        <f>IFERROR(INDEX(calc!$BA$15:$BA$251,calc!AO70),"")</f>
        <v/>
      </c>
      <c r="J70" s="157"/>
      <c r="M70" s="965" t="str">
        <f>IFERROR(INDEX(calc!$AS$15:$AS$251,calc!AP70),"")</f>
        <v/>
      </c>
      <c r="N70" s="915" t="str">
        <f>IFERROR(IF(calc!AR70&lt;0,calc!AR70,""),"")</f>
        <v/>
      </c>
      <c r="O70" s="735" t="str">
        <f>IFERROR(INDEX(calc!$BB$15:$BB$251,calc!AP70),"")</f>
        <v/>
      </c>
      <c r="P70" s="738" t="str">
        <f>IFERROR(INDEX(calc!$AY$15:$AY$251,calc!AP70),"")</f>
        <v/>
      </c>
      <c r="Q70" s="737" t="str">
        <f>IFERROR(INDEX(calc!$AZ$15:$AZ$251,calc!AP70),"")</f>
        <v/>
      </c>
      <c r="R70" s="917" t="str">
        <f>IFERROR(INDEX(calc!$BA$15:$BA$251,calc!AP70),"")</f>
        <v/>
      </c>
      <c r="V70" s="157"/>
    </row>
    <row r="71" spans="3:22" ht="20.100000000000001" customHeight="1">
      <c r="C71" s="666">
        <f t="shared" si="4"/>
        <v>57</v>
      </c>
      <c r="D71" s="963" t="str">
        <f>IFERROR(INDEX(calc!$AS$15:$AS$251,calc!AO71),"")</f>
        <v/>
      </c>
      <c r="E71" s="907" t="str">
        <f>IFERROR(IF(calc!AQ71&gt;0,calc!AQ71,""),"")</f>
        <v/>
      </c>
      <c r="F71" s="735" t="str">
        <f>IFERROR(INDEX(calc!$BB$15:$BB$251,calc!AO71),"")</f>
        <v/>
      </c>
      <c r="G71" s="736" t="str">
        <f>IFERROR(INDEX(calc!$AY$15:$AY$251,calc!AO71),"")</f>
        <v/>
      </c>
      <c r="H71" s="737" t="str">
        <f>IFERROR(INDEX(calc!$AZ$15:$AZ$251,calc!AO71),"")</f>
        <v/>
      </c>
      <c r="I71" s="911" t="str">
        <f>IFERROR(INDEX(calc!$BA$15:$BA$251,calc!AO71),"")</f>
        <v/>
      </c>
      <c r="J71" s="157"/>
      <c r="M71" s="965" t="str">
        <f>IFERROR(INDEX(calc!$AS$15:$AS$251,calc!AP71),"")</f>
        <v/>
      </c>
      <c r="N71" s="915" t="str">
        <f>IFERROR(IF(calc!AR71&lt;0,calc!AR71,""),"")</f>
        <v/>
      </c>
      <c r="O71" s="735" t="str">
        <f>IFERROR(INDEX(calc!$BB$15:$BB$251,calc!AP71),"")</f>
        <v/>
      </c>
      <c r="P71" s="738" t="str">
        <f>IFERROR(INDEX(calc!$AY$15:$AY$251,calc!AP71),"")</f>
        <v/>
      </c>
      <c r="Q71" s="737" t="str">
        <f>IFERROR(INDEX(calc!$AZ$15:$AZ$251,calc!AP71),"")</f>
        <v/>
      </c>
      <c r="R71" s="917" t="str">
        <f>IFERROR(INDEX(calc!$BA$15:$BA$251,calc!AP71),"")</f>
        <v/>
      </c>
      <c r="V71" s="157"/>
    </row>
    <row r="72" spans="3:22" ht="20.100000000000001" customHeight="1">
      <c r="C72" s="666">
        <f t="shared" si="4"/>
        <v>58</v>
      </c>
      <c r="D72" s="963" t="str">
        <f>IFERROR(INDEX(calc!$AS$15:$AS$251,calc!AO72),"")</f>
        <v/>
      </c>
      <c r="E72" s="907" t="str">
        <f>IFERROR(IF(calc!AQ72&gt;0,calc!AQ72,""),"")</f>
        <v/>
      </c>
      <c r="F72" s="735" t="str">
        <f>IFERROR(INDEX(calc!$BB$15:$BB$251,calc!AO72),"")</f>
        <v/>
      </c>
      <c r="G72" s="736" t="str">
        <f>IFERROR(INDEX(calc!$AY$15:$AY$251,calc!AO72),"")</f>
        <v/>
      </c>
      <c r="H72" s="737" t="str">
        <f>IFERROR(INDEX(calc!$AZ$15:$AZ$251,calc!AO72),"")</f>
        <v/>
      </c>
      <c r="I72" s="911" t="str">
        <f>IFERROR(INDEX(calc!$BA$15:$BA$251,calc!AO72),"")</f>
        <v/>
      </c>
      <c r="J72" s="157"/>
      <c r="M72" s="965" t="str">
        <f>IFERROR(INDEX(calc!$AS$15:$AS$251,calc!AP72),"")</f>
        <v/>
      </c>
      <c r="N72" s="915" t="str">
        <f>IFERROR(IF(calc!AR72&lt;0,calc!AR72,""),"")</f>
        <v/>
      </c>
      <c r="O72" s="735" t="str">
        <f>IFERROR(INDEX(calc!$BB$15:$BB$251,calc!AP72),"")</f>
        <v/>
      </c>
      <c r="P72" s="738" t="str">
        <f>IFERROR(INDEX(calc!$AY$15:$AY$251,calc!AP72),"")</f>
        <v/>
      </c>
      <c r="Q72" s="737" t="str">
        <f>IFERROR(INDEX(calc!$AZ$15:$AZ$251,calc!AP72),"")</f>
        <v/>
      </c>
      <c r="R72" s="917" t="str">
        <f>IFERROR(INDEX(calc!$BA$15:$BA$251,calc!AP72),"")</f>
        <v/>
      </c>
      <c r="V72" s="157"/>
    </row>
    <row r="73" spans="3:22" ht="20.100000000000001" customHeight="1">
      <c r="C73" s="666">
        <f t="shared" si="4"/>
        <v>59</v>
      </c>
      <c r="D73" s="963" t="str">
        <f>IFERROR(INDEX(calc!$AS$15:$AS$251,calc!AO73),"")</f>
        <v/>
      </c>
      <c r="E73" s="907" t="str">
        <f>IFERROR(IF(calc!AQ73&gt;0,calc!AQ73,""),"")</f>
        <v/>
      </c>
      <c r="F73" s="735" t="str">
        <f>IFERROR(INDEX(calc!$BB$15:$BB$251,calc!AO73),"")</f>
        <v/>
      </c>
      <c r="G73" s="736" t="str">
        <f>IFERROR(INDEX(calc!$AY$15:$AY$251,calc!AO73),"")</f>
        <v/>
      </c>
      <c r="H73" s="737" t="str">
        <f>IFERROR(INDEX(calc!$AZ$15:$AZ$251,calc!AO73),"")</f>
        <v/>
      </c>
      <c r="I73" s="911" t="str">
        <f>IFERROR(INDEX(calc!$BA$15:$BA$251,calc!AO73),"")</f>
        <v/>
      </c>
      <c r="J73" s="157"/>
      <c r="M73" s="965" t="str">
        <f>IFERROR(INDEX(calc!$AS$15:$AS$251,calc!AP73),"")</f>
        <v/>
      </c>
      <c r="N73" s="915" t="str">
        <f>IFERROR(IF(calc!AR73&lt;0,calc!AR73,""),"")</f>
        <v/>
      </c>
      <c r="O73" s="735" t="str">
        <f>IFERROR(INDEX(calc!$BB$15:$BB$251,calc!AP73),"")</f>
        <v/>
      </c>
      <c r="P73" s="738" t="str">
        <f>IFERROR(INDEX(calc!$AY$15:$AY$251,calc!AP73),"")</f>
        <v/>
      </c>
      <c r="Q73" s="737" t="str">
        <f>IFERROR(INDEX(calc!$AZ$15:$AZ$251,calc!AP73),"")</f>
        <v/>
      </c>
      <c r="R73" s="917" t="str">
        <f>IFERROR(INDEX(calc!$BA$15:$BA$251,calc!AP73),"")</f>
        <v/>
      </c>
      <c r="V73" s="157"/>
    </row>
    <row r="74" spans="3:22" ht="20.100000000000001" customHeight="1">
      <c r="C74" s="666">
        <f t="shared" si="4"/>
        <v>60</v>
      </c>
      <c r="D74" s="963" t="str">
        <f>IFERROR(INDEX(calc!$AS$15:$AS$251,calc!AO74),"")</f>
        <v/>
      </c>
      <c r="E74" s="907" t="str">
        <f>IFERROR(IF(calc!AQ74&gt;0,calc!AQ74,""),"")</f>
        <v/>
      </c>
      <c r="F74" s="735" t="str">
        <f>IFERROR(INDEX(calc!$BB$15:$BB$251,calc!AO74),"")</f>
        <v/>
      </c>
      <c r="G74" s="736" t="str">
        <f>IFERROR(INDEX(calc!$AY$15:$AY$251,calc!AO74),"")</f>
        <v/>
      </c>
      <c r="H74" s="737" t="str">
        <f>IFERROR(INDEX(calc!$AZ$15:$AZ$251,calc!AO74),"")</f>
        <v/>
      </c>
      <c r="I74" s="911" t="str">
        <f>IFERROR(INDEX(calc!$BA$15:$BA$251,calc!AO74),"")</f>
        <v/>
      </c>
      <c r="J74" s="157"/>
      <c r="M74" s="965" t="str">
        <f>IFERROR(INDEX(calc!$AS$15:$AS$251,calc!AP74),"")</f>
        <v/>
      </c>
      <c r="N74" s="915" t="str">
        <f>IFERROR(IF(calc!AR74&lt;0,calc!AR74,""),"")</f>
        <v/>
      </c>
      <c r="O74" s="735" t="str">
        <f>IFERROR(INDEX(calc!$BB$15:$BB$251,calc!AP74),"")</f>
        <v/>
      </c>
      <c r="P74" s="738" t="str">
        <f>IFERROR(INDEX(calc!$AY$15:$AY$251,calc!AP74),"")</f>
        <v/>
      </c>
      <c r="Q74" s="737" t="str">
        <f>IFERROR(INDEX(calc!$AZ$15:$AZ$251,calc!AP74),"")</f>
        <v/>
      </c>
      <c r="R74" s="917" t="str">
        <f>IFERROR(INDEX(calc!$BA$15:$BA$251,calc!AP74),"")</f>
        <v/>
      </c>
      <c r="V74" s="157"/>
    </row>
    <row r="75" spans="3:22" ht="20.100000000000001" customHeight="1">
      <c r="C75" s="666">
        <f t="shared" si="4"/>
        <v>61</v>
      </c>
      <c r="D75" s="963" t="str">
        <f>IFERROR(INDEX(calc!$AS$15:$AS$251,calc!AO75),"")</f>
        <v/>
      </c>
      <c r="E75" s="907" t="str">
        <f>IFERROR(IF(calc!AQ75&gt;0,calc!AQ75,""),"")</f>
        <v/>
      </c>
      <c r="F75" s="735" t="str">
        <f>IFERROR(INDEX(calc!$BB$15:$BB$251,calc!AO75),"")</f>
        <v/>
      </c>
      <c r="G75" s="736" t="str">
        <f>IFERROR(INDEX(calc!$AY$15:$AY$251,calc!AO75),"")</f>
        <v/>
      </c>
      <c r="H75" s="737" t="str">
        <f>IFERROR(INDEX(calc!$AZ$15:$AZ$251,calc!AO75),"")</f>
        <v/>
      </c>
      <c r="I75" s="911" t="str">
        <f>IFERROR(INDEX(calc!$BA$15:$BA$251,calc!AO75),"")</f>
        <v/>
      </c>
      <c r="J75" s="157"/>
      <c r="M75" s="965" t="str">
        <f>IFERROR(INDEX(calc!$AS$15:$AS$251,calc!AP75),"")</f>
        <v/>
      </c>
      <c r="N75" s="915" t="str">
        <f>IFERROR(IF(calc!AR75&lt;0,calc!AR75,""),"")</f>
        <v/>
      </c>
      <c r="O75" s="735" t="str">
        <f>IFERROR(INDEX(calc!$BB$15:$BB$251,calc!AP75),"")</f>
        <v/>
      </c>
      <c r="P75" s="738" t="str">
        <f>IFERROR(INDEX(calc!$AY$15:$AY$251,calc!AP75),"")</f>
        <v/>
      </c>
      <c r="Q75" s="737" t="str">
        <f>IFERROR(INDEX(calc!$AZ$15:$AZ$251,calc!AP75),"")</f>
        <v/>
      </c>
      <c r="R75" s="917" t="str">
        <f>IFERROR(INDEX(calc!$BA$15:$BA$251,calc!AP75),"")</f>
        <v/>
      </c>
      <c r="V75" s="157"/>
    </row>
    <row r="76" spans="3:22" ht="20.100000000000001" customHeight="1">
      <c r="C76" s="666">
        <f t="shared" si="4"/>
        <v>62</v>
      </c>
      <c r="D76" s="963" t="str">
        <f>IFERROR(INDEX(calc!$AS$15:$AS$251,calc!AO76),"")</f>
        <v/>
      </c>
      <c r="E76" s="907" t="str">
        <f>IFERROR(IF(calc!AQ76&gt;0,calc!AQ76,""),"")</f>
        <v/>
      </c>
      <c r="F76" s="735" t="str">
        <f>IFERROR(INDEX(calc!$BB$15:$BB$251,calc!AO76),"")</f>
        <v/>
      </c>
      <c r="G76" s="736" t="str">
        <f>IFERROR(INDEX(calc!$AY$15:$AY$251,calc!AO76),"")</f>
        <v/>
      </c>
      <c r="H76" s="737" t="str">
        <f>IFERROR(INDEX(calc!$AZ$15:$AZ$251,calc!AO76),"")</f>
        <v/>
      </c>
      <c r="I76" s="911" t="str">
        <f>IFERROR(INDEX(calc!$BA$15:$BA$251,calc!AO76),"")</f>
        <v/>
      </c>
      <c r="J76" s="157"/>
      <c r="M76" s="965" t="str">
        <f>IFERROR(INDEX(calc!$AS$15:$AS$251,calc!AP76),"")</f>
        <v/>
      </c>
      <c r="N76" s="915" t="str">
        <f>IFERROR(IF(calc!AR76&lt;0,calc!AR76,""),"")</f>
        <v/>
      </c>
      <c r="O76" s="735" t="str">
        <f>IFERROR(INDEX(calc!$BB$15:$BB$251,calc!AP76),"")</f>
        <v/>
      </c>
      <c r="P76" s="738" t="str">
        <f>IFERROR(INDEX(calc!$AY$15:$AY$251,calc!AP76),"")</f>
        <v/>
      </c>
      <c r="Q76" s="737" t="str">
        <f>IFERROR(INDEX(calc!$AZ$15:$AZ$251,calc!AP76),"")</f>
        <v/>
      </c>
      <c r="R76" s="917" t="str">
        <f>IFERROR(INDEX(calc!$BA$15:$BA$251,calc!AP76),"")</f>
        <v/>
      </c>
      <c r="V76" s="157"/>
    </row>
    <row r="77" spans="3:22" ht="20.100000000000001" customHeight="1">
      <c r="C77" s="666">
        <f t="shared" si="4"/>
        <v>63</v>
      </c>
      <c r="D77" s="963" t="str">
        <f>IFERROR(INDEX(calc!$AS$15:$AS$251,calc!AO77),"")</f>
        <v/>
      </c>
      <c r="E77" s="907" t="str">
        <f>IFERROR(IF(calc!AQ77&gt;0,calc!AQ77,""),"")</f>
        <v/>
      </c>
      <c r="F77" s="735" t="str">
        <f>IFERROR(INDEX(calc!$BB$15:$BB$251,calc!AO77),"")</f>
        <v/>
      </c>
      <c r="G77" s="736" t="str">
        <f>IFERROR(INDEX(calc!$AY$15:$AY$251,calc!AO77),"")</f>
        <v/>
      </c>
      <c r="H77" s="737" t="str">
        <f>IFERROR(INDEX(calc!$AZ$15:$AZ$251,calc!AO77),"")</f>
        <v/>
      </c>
      <c r="I77" s="911" t="str">
        <f>IFERROR(INDEX(calc!$BA$15:$BA$251,calc!AO77),"")</f>
        <v/>
      </c>
      <c r="J77" s="157"/>
      <c r="M77" s="965" t="str">
        <f>IFERROR(INDEX(calc!$AS$15:$AS$251,calc!AP77),"")</f>
        <v/>
      </c>
      <c r="N77" s="915" t="str">
        <f>IFERROR(IF(calc!AR77&lt;0,calc!AR77,""),"")</f>
        <v/>
      </c>
      <c r="O77" s="735" t="str">
        <f>IFERROR(INDEX(calc!$BB$15:$BB$251,calc!AP77),"")</f>
        <v/>
      </c>
      <c r="P77" s="738" t="str">
        <f>IFERROR(INDEX(calc!$AY$15:$AY$251,calc!AP77),"")</f>
        <v/>
      </c>
      <c r="Q77" s="737" t="str">
        <f>IFERROR(INDEX(calc!$AZ$15:$AZ$251,calc!AP77),"")</f>
        <v/>
      </c>
      <c r="R77" s="917" t="str">
        <f>IFERROR(INDEX(calc!$BA$15:$BA$251,calc!AP77),"")</f>
        <v/>
      </c>
      <c r="V77" s="157"/>
    </row>
    <row r="78" spans="3:22" ht="20.100000000000001" customHeight="1">
      <c r="C78" s="666">
        <f t="shared" si="4"/>
        <v>64</v>
      </c>
      <c r="D78" s="963" t="str">
        <f>IFERROR(INDEX(calc!$AS$15:$AS$251,calc!AO78),"")</f>
        <v/>
      </c>
      <c r="E78" s="907" t="str">
        <f>IFERROR(IF(calc!AQ78&gt;0,calc!AQ78,""),"")</f>
        <v/>
      </c>
      <c r="F78" s="735" t="str">
        <f>IFERROR(INDEX(calc!$BB$15:$BB$251,calc!AO78),"")</f>
        <v/>
      </c>
      <c r="G78" s="736" t="str">
        <f>IFERROR(INDEX(calc!$AY$15:$AY$251,calc!AO78),"")</f>
        <v/>
      </c>
      <c r="H78" s="737" t="str">
        <f>IFERROR(INDEX(calc!$AZ$15:$AZ$251,calc!AO78),"")</f>
        <v/>
      </c>
      <c r="I78" s="911" t="str">
        <f>IFERROR(INDEX(calc!$BA$15:$BA$251,calc!AO78),"")</f>
        <v/>
      </c>
      <c r="J78" s="157"/>
      <c r="M78" s="965" t="str">
        <f>IFERROR(INDEX(calc!$AS$15:$AS$251,calc!AP78),"")</f>
        <v/>
      </c>
      <c r="N78" s="915" t="str">
        <f>IFERROR(IF(calc!AR78&lt;0,calc!AR78,""),"")</f>
        <v/>
      </c>
      <c r="O78" s="735" t="str">
        <f>IFERROR(INDEX(calc!$BB$15:$BB$251,calc!AP78),"")</f>
        <v/>
      </c>
      <c r="P78" s="738" t="str">
        <f>IFERROR(INDEX(calc!$AY$15:$AY$251,calc!AP78),"")</f>
        <v/>
      </c>
      <c r="Q78" s="737" t="str">
        <f>IFERROR(INDEX(calc!$AZ$15:$AZ$251,calc!AP78),"")</f>
        <v/>
      </c>
      <c r="R78" s="917" t="str">
        <f>IFERROR(INDEX(calc!$BA$15:$BA$251,calc!AP78),"")</f>
        <v/>
      </c>
      <c r="V78" s="157"/>
    </row>
    <row r="79" spans="3:22" ht="20.100000000000001" customHeight="1">
      <c r="C79" s="666">
        <f t="shared" si="4"/>
        <v>65</v>
      </c>
      <c r="D79" s="963" t="str">
        <f>IFERROR(INDEX(calc!$AS$15:$AS$251,calc!AO79),"")</f>
        <v/>
      </c>
      <c r="E79" s="907" t="str">
        <f>IFERROR(IF(calc!AQ79&gt;0,calc!AQ79,""),"")</f>
        <v/>
      </c>
      <c r="F79" s="735" t="str">
        <f>IFERROR(INDEX(calc!$BB$15:$BB$251,calc!AO79),"")</f>
        <v/>
      </c>
      <c r="G79" s="736" t="str">
        <f>IFERROR(INDEX(calc!$AY$15:$AY$251,calc!AO79),"")</f>
        <v/>
      </c>
      <c r="H79" s="737" t="str">
        <f>IFERROR(INDEX(calc!$AZ$15:$AZ$251,calc!AO79),"")</f>
        <v/>
      </c>
      <c r="I79" s="911" t="str">
        <f>IFERROR(INDEX(calc!$BA$15:$BA$251,calc!AO79),"")</f>
        <v/>
      </c>
      <c r="J79" s="157"/>
      <c r="M79" s="965" t="str">
        <f>IFERROR(INDEX(calc!$AS$15:$AS$251,calc!AP79),"")</f>
        <v/>
      </c>
      <c r="N79" s="915" t="str">
        <f>IFERROR(IF(calc!AR79&lt;0,calc!AR79,""),"")</f>
        <v/>
      </c>
      <c r="O79" s="735" t="str">
        <f>IFERROR(INDEX(calc!$BB$15:$BB$251,calc!AP79),"")</f>
        <v/>
      </c>
      <c r="P79" s="738" t="str">
        <f>IFERROR(INDEX(calc!$AY$15:$AY$251,calc!AP79),"")</f>
        <v/>
      </c>
      <c r="Q79" s="737" t="str">
        <f>IFERROR(INDEX(calc!$AZ$15:$AZ$251,calc!AP79),"")</f>
        <v/>
      </c>
      <c r="R79" s="917" t="str">
        <f>IFERROR(INDEX(calc!$BA$15:$BA$251,calc!AP79),"")</f>
        <v/>
      </c>
      <c r="V79" s="157"/>
    </row>
    <row r="80" spans="3:22" ht="20.100000000000001" customHeight="1">
      <c r="C80" s="666">
        <f t="shared" si="4"/>
        <v>66</v>
      </c>
      <c r="D80" s="963" t="str">
        <f>IFERROR(INDEX(calc!$AS$15:$AS$251,calc!AO80),"")</f>
        <v/>
      </c>
      <c r="E80" s="907" t="str">
        <f>IFERROR(IF(calc!AQ80&gt;0,calc!AQ80,""),"")</f>
        <v/>
      </c>
      <c r="F80" s="735" t="str">
        <f>IFERROR(INDEX(calc!$BB$15:$BB$251,calc!AO80),"")</f>
        <v/>
      </c>
      <c r="G80" s="736" t="str">
        <f>IFERROR(INDEX(calc!$AY$15:$AY$251,calc!AO80),"")</f>
        <v/>
      </c>
      <c r="H80" s="737" t="str">
        <f>IFERROR(INDEX(calc!$AZ$15:$AZ$251,calc!AO80),"")</f>
        <v/>
      </c>
      <c r="I80" s="911" t="str">
        <f>IFERROR(INDEX(calc!$BA$15:$BA$251,calc!AO80),"")</f>
        <v/>
      </c>
      <c r="J80" s="157"/>
      <c r="M80" s="965" t="str">
        <f>IFERROR(INDEX(calc!$AS$15:$AS$251,calc!AP80),"")</f>
        <v/>
      </c>
      <c r="N80" s="915" t="str">
        <f>IFERROR(IF(calc!AR80&lt;0,calc!AR80,""),"")</f>
        <v/>
      </c>
      <c r="O80" s="735" t="str">
        <f>IFERROR(INDEX(calc!$BB$15:$BB$251,calc!AP80),"")</f>
        <v/>
      </c>
      <c r="P80" s="738" t="str">
        <f>IFERROR(INDEX(calc!$AY$15:$AY$251,calc!AP80),"")</f>
        <v/>
      </c>
      <c r="Q80" s="737" t="str">
        <f>IFERROR(INDEX(calc!$AZ$15:$AZ$251,calc!AP80),"")</f>
        <v/>
      </c>
      <c r="R80" s="917" t="str">
        <f>IFERROR(INDEX(calc!$BA$15:$BA$251,calc!AP80),"")</f>
        <v/>
      </c>
      <c r="V80" s="157"/>
    </row>
    <row r="81" spans="3:22" ht="20.100000000000001" customHeight="1">
      <c r="C81" s="666">
        <f t="shared" ref="C81:C114" si="5">C80+1</f>
        <v>67</v>
      </c>
      <c r="D81" s="963" t="str">
        <f>IFERROR(INDEX(calc!$AS$15:$AS$251,calc!AO81),"")</f>
        <v/>
      </c>
      <c r="E81" s="907" t="str">
        <f>IFERROR(IF(calc!AQ81&gt;0,calc!AQ81,""),"")</f>
        <v/>
      </c>
      <c r="F81" s="735" t="str">
        <f>IFERROR(INDEX(calc!$BB$15:$BB$251,calc!AO81),"")</f>
        <v/>
      </c>
      <c r="G81" s="736" t="str">
        <f>IFERROR(INDEX(calc!$AY$15:$AY$251,calc!AO81),"")</f>
        <v/>
      </c>
      <c r="H81" s="737" t="str">
        <f>IFERROR(INDEX(calc!$AZ$15:$AZ$251,calc!AO81),"")</f>
        <v/>
      </c>
      <c r="I81" s="911" t="str">
        <f>IFERROR(INDEX(calc!$BA$15:$BA$251,calc!AO81),"")</f>
        <v/>
      </c>
      <c r="J81" s="157"/>
      <c r="M81" s="965" t="str">
        <f>IFERROR(INDEX(calc!$AS$15:$AS$251,calc!AP81),"")</f>
        <v/>
      </c>
      <c r="N81" s="915" t="str">
        <f>IFERROR(IF(calc!AR81&lt;0,calc!AR81,""),"")</f>
        <v/>
      </c>
      <c r="O81" s="735" t="str">
        <f>IFERROR(INDEX(calc!$BB$15:$BB$251,calc!AP81),"")</f>
        <v/>
      </c>
      <c r="P81" s="738" t="str">
        <f>IFERROR(INDEX(calc!$AY$15:$AY$251,calc!AP81),"")</f>
        <v/>
      </c>
      <c r="Q81" s="737" t="str">
        <f>IFERROR(INDEX(calc!$AZ$15:$AZ$251,calc!AP81),"")</f>
        <v/>
      </c>
      <c r="R81" s="917" t="str">
        <f>IFERROR(INDEX(calc!$BA$15:$BA$251,calc!AP81),"")</f>
        <v/>
      </c>
      <c r="V81" s="157"/>
    </row>
    <row r="82" spans="3:22" ht="20.100000000000001" customHeight="1">
      <c r="C82" s="666">
        <f t="shared" si="5"/>
        <v>68</v>
      </c>
      <c r="D82" s="963" t="str">
        <f>IFERROR(INDEX(calc!$AS$15:$AS$251,calc!AO82),"")</f>
        <v/>
      </c>
      <c r="E82" s="907" t="str">
        <f>IFERROR(IF(calc!AQ82&gt;0,calc!AQ82,""),"")</f>
        <v/>
      </c>
      <c r="F82" s="735" t="str">
        <f>IFERROR(INDEX(calc!$BB$15:$BB$251,calc!AO82),"")</f>
        <v/>
      </c>
      <c r="G82" s="736" t="str">
        <f>IFERROR(INDEX(calc!$AY$15:$AY$251,calc!AO82),"")</f>
        <v/>
      </c>
      <c r="H82" s="737" t="str">
        <f>IFERROR(INDEX(calc!$AZ$15:$AZ$251,calc!AO82),"")</f>
        <v/>
      </c>
      <c r="I82" s="911" t="str">
        <f>IFERROR(INDEX(calc!$BA$15:$BA$251,calc!AO82),"")</f>
        <v/>
      </c>
      <c r="J82" s="157"/>
      <c r="M82" s="965" t="str">
        <f>IFERROR(INDEX(calc!$AS$15:$AS$251,calc!AP82),"")</f>
        <v/>
      </c>
      <c r="N82" s="915" t="str">
        <f>IFERROR(IF(calc!AR82&lt;0,calc!AR82,""),"")</f>
        <v/>
      </c>
      <c r="O82" s="735" t="str">
        <f>IFERROR(INDEX(calc!$BB$15:$BB$251,calc!AP82),"")</f>
        <v/>
      </c>
      <c r="P82" s="738" t="str">
        <f>IFERROR(INDEX(calc!$AY$15:$AY$251,calc!AP82),"")</f>
        <v/>
      </c>
      <c r="Q82" s="737" t="str">
        <f>IFERROR(INDEX(calc!$AZ$15:$AZ$251,calc!AP82),"")</f>
        <v/>
      </c>
      <c r="R82" s="917" t="str">
        <f>IFERROR(INDEX(calc!$BA$15:$BA$251,calc!AP82),"")</f>
        <v/>
      </c>
      <c r="V82" s="157"/>
    </row>
    <row r="83" spans="3:22" ht="20.100000000000001" customHeight="1">
      <c r="C83" s="666">
        <f t="shared" si="5"/>
        <v>69</v>
      </c>
      <c r="D83" s="963" t="str">
        <f>IFERROR(INDEX(calc!$AS$15:$AS$251,calc!AO83),"")</f>
        <v/>
      </c>
      <c r="E83" s="907" t="str">
        <f>IFERROR(IF(calc!AQ83&gt;0,calc!AQ83,""),"")</f>
        <v/>
      </c>
      <c r="F83" s="735" t="str">
        <f>IFERROR(INDEX(calc!$BB$15:$BB$251,calc!AO83),"")</f>
        <v/>
      </c>
      <c r="G83" s="736" t="str">
        <f>IFERROR(INDEX(calc!$AY$15:$AY$251,calc!AO83),"")</f>
        <v/>
      </c>
      <c r="H83" s="737" t="str">
        <f>IFERROR(INDEX(calc!$AZ$15:$AZ$251,calc!AO83),"")</f>
        <v/>
      </c>
      <c r="I83" s="911" t="str">
        <f>IFERROR(INDEX(calc!$BA$15:$BA$251,calc!AO83),"")</f>
        <v/>
      </c>
      <c r="J83" s="157"/>
      <c r="M83" s="965" t="str">
        <f>IFERROR(INDEX(calc!$AS$15:$AS$251,calc!AP83),"")</f>
        <v/>
      </c>
      <c r="N83" s="915" t="str">
        <f>IFERROR(IF(calc!AR83&lt;0,calc!AR83,""),"")</f>
        <v/>
      </c>
      <c r="O83" s="735" t="str">
        <f>IFERROR(INDEX(calc!$BB$15:$BB$251,calc!AP83),"")</f>
        <v/>
      </c>
      <c r="P83" s="738" t="str">
        <f>IFERROR(INDEX(calc!$AY$15:$AY$251,calc!AP83),"")</f>
        <v/>
      </c>
      <c r="Q83" s="737" t="str">
        <f>IFERROR(INDEX(calc!$AZ$15:$AZ$251,calc!AP83),"")</f>
        <v/>
      </c>
      <c r="R83" s="917" t="str">
        <f>IFERROR(INDEX(calc!$BA$15:$BA$251,calc!AP83),"")</f>
        <v/>
      </c>
      <c r="V83" s="157"/>
    </row>
    <row r="84" spans="3:22" ht="20.100000000000001" customHeight="1">
      <c r="C84" s="666">
        <f t="shared" si="5"/>
        <v>70</v>
      </c>
      <c r="D84" s="963" t="str">
        <f>IFERROR(INDEX(calc!$AS$15:$AS$251,calc!AO84),"")</f>
        <v/>
      </c>
      <c r="E84" s="907" t="str">
        <f>IFERROR(IF(calc!AQ84&gt;0,calc!AQ84,""),"")</f>
        <v/>
      </c>
      <c r="F84" s="735" t="str">
        <f>IFERROR(INDEX(calc!$BB$15:$BB$251,calc!AO84),"")</f>
        <v/>
      </c>
      <c r="G84" s="736" t="str">
        <f>IFERROR(INDEX(calc!$AY$15:$AY$251,calc!AO84),"")</f>
        <v/>
      </c>
      <c r="H84" s="737" t="str">
        <f>IFERROR(INDEX(calc!$AZ$15:$AZ$251,calc!AO84),"")</f>
        <v/>
      </c>
      <c r="I84" s="911" t="str">
        <f>IFERROR(INDEX(calc!$BA$15:$BA$251,calc!AO84),"")</f>
        <v/>
      </c>
      <c r="J84" s="157"/>
      <c r="M84" s="965" t="str">
        <f>IFERROR(INDEX(calc!$AS$15:$AS$251,calc!AP84),"")</f>
        <v/>
      </c>
      <c r="N84" s="915" t="str">
        <f>IFERROR(IF(calc!AR84&lt;0,calc!AR84,""),"")</f>
        <v/>
      </c>
      <c r="O84" s="735" t="str">
        <f>IFERROR(INDEX(calc!$BB$15:$BB$251,calc!AP84),"")</f>
        <v/>
      </c>
      <c r="P84" s="738" t="str">
        <f>IFERROR(INDEX(calc!$AY$15:$AY$251,calc!AP84),"")</f>
        <v/>
      </c>
      <c r="Q84" s="737" t="str">
        <f>IFERROR(INDEX(calc!$AZ$15:$AZ$251,calc!AP84),"")</f>
        <v/>
      </c>
      <c r="R84" s="917" t="str">
        <f>IFERROR(INDEX(calc!$BA$15:$BA$251,calc!AP84),"")</f>
        <v/>
      </c>
      <c r="V84" s="157"/>
    </row>
    <row r="85" spans="3:22" ht="20.100000000000001" customHeight="1">
      <c r="C85" s="666">
        <f t="shared" si="5"/>
        <v>71</v>
      </c>
      <c r="D85" s="963" t="str">
        <f>IFERROR(INDEX(calc!$AS$15:$AS$251,calc!AO85),"")</f>
        <v/>
      </c>
      <c r="E85" s="907" t="str">
        <f>IFERROR(IF(calc!AQ85&gt;0,calc!AQ85,""),"")</f>
        <v/>
      </c>
      <c r="F85" s="735" t="str">
        <f>IFERROR(INDEX(calc!$BB$15:$BB$251,calc!AO85),"")</f>
        <v/>
      </c>
      <c r="G85" s="736" t="str">
        <f>IFERROR(INDEX(calc!$AY$15:$AY$251,calc!AO85),"")</f>
        <v/>
      </c>
      <c r="H85" s="737" t="str">
        <f>IFERROR(INDEX(calc!$AZ$15:$AZ$251,calc!AO85),"")</f>
        <v/>
      </c>
      <c r="I85" s="911" t="str">
        <f>IFERROR(INDEX(calc!$BA$15:$BA$251,calc!AO85),"")</f>
        <v/>
      </c>
      <c r="J85" s="157"/>
      <c r="M85" s="965" t="str">
        <f>IFERROR(INDEX(calc!$AS$15:$AS$251,calc!AP85),"")</f>
        <v/>
      </c>
      <c r="N85" s="915" t="str">
        <f>IFERROR(IF(calc!AR85&lt;0,calc!AR85,""),"")</f>
        <v/>
      </c>
      <c r="O85" s="735" t="str">
        <f>IFERROR(INDEX(calc!$BB$15:$BB$251,calc!AP85),"")</f>
        <v/>
      </c>
      <c r="P85" s="738" t="str">
        <f>IFERROR(INDEX(calc!$AY$15:$AY$251,calc!AP85),"")</f>
        <v/>
      </c>
      <c r="Q85" s="737" t="str">
        <f>IFERROR(INDEX(calc!$AZ$15:$AZ$251,calc!AP85),"")</f>
        <v/>
      </c>
      <c r="R85" s="917" t="str">
        <f>IFERROR(INDEX(calc!$BA$15:$BA$251,calc!AP85),"")</f>
        <v/>
      </c>
      <c r="V85" s="157"/>
    </row>
    <row r="86" spans="3:22" ht="20.100000000000001" customHeight="1">
      <c r="C86" s="666">
        <f t="shared" si="5"/>
        <v>72</v>
      </c>
      <c r="D86" s="963" t="str">
        <f>IFERROR(INDEX(calc!$AS$15:$AS$251,calc!AO86),"")</f>
        <v/>
      </c>
      <c r="E86" s="907" t="str">
        <f>IFERROR(IF(calc!AQ86&gt;0,calc!AQ86,""),"")</f>
        <v/>
      </c>
      <c r="F86" s="735" t="str">
        <f>IFERROR(INDEX(calc!$BB$15:$BB$251,calc!AO86),"")</f>
        <v/>
      </c>
      <c r="G86" s="736" t="str">
        <f>IFERROR(INDEX(calc!$AY$15:$AY$251,calc!AO86),"")</f>
        <v/>
      </c>
      <c r="H86" s="737" t="str">
        <f>IFERROR(INDEX(calc!$AZ$15:$AZ$251,calc!AO86),"")</f>
        <v/>
      </c>
      <c r="I86" s="911" t="str">
        <f>IFERROR(INDEX(calc!$BA$15:$BA$251,calc!AO86),"")</f>
        <v/>
      </c>
      <c r="J86" s="157"/>
      <c r="M86" s="965" t="str">
        <f>IFERROR(INDEX(calc!$AS$15:$AS$251,calc!AP86),"")</f>
        <v/>
      </c>
      <c r="N86" s="915" t="str">
        <f>IFERROR(IF(calc!AR86&lt;0,calc!AR86,""),"")</f>
        <v/>
      </c>
      <c r="O86" s="735" t="str">
        <f>IFERROR(INDEX(calc!$BB$15:$BB$251,calc!AP86),"")</f>
        <v/>
      </c>
      <c r="P86" s="738" t="str">
        <f>IFERROR(INDEX(calc!$AY$15:$AY$251,calc!AP86),"")</f>
        <v/>
      </c>
      <c r="Q86" s="737" t="str">
        <f>IFERROR(INDEX(calc!$AZ$15:$AZ$251,calc!AP86),"")</f>
        <v/>
      </c>
      <c r="R86" s="917" t="str">
        <f>IFERROR(INDEX(calc!$BA$15:$BA$251,calc!AP86),"")</f>
        <v/>
      </c>
      <c r="V86" s="157"/>
    </row>
    <row r="87" spans="3:22" ht="20.100000000000001" customHeight="1">
      <c r="C87" s="666">
        <f t="shared" si="5"/>
        <v>73</v>
      </c>
      <c r="D87" s="963" t="str">
        <f>IFERROR(INDEX(calc!$AS$15:$AS$251,calc!AO87),"")</f>
        <v/>
      </c>
      <c r="E87" s="907" t="str">
        <f>IFERROR(IF(calc!AQ87&gt;0,calc!AQ87,""),"")</f>
        <v/>
      </c>
      <c r="F87" s="735" t="str">
        <f>IFERROR(INDEX(calc!$BB$15:$BB$251,calc!AO87),"")</f>
        <v/>
      </c>
      <c r="G87" s="736" t="str">
        <f>IFERROR(INDEX(calc!$AY$15:$AY$251,calc!AO87),"")</f>
        <v/>
      </c>
      <c r="H87" s="737" t="str">
        <f>IFERROR(INDEX(calc!$AZ$15:$AZ$251,calc!AO87),"")</f>
        <v/>
      </c>
      <c r="I87" s="911" t="str">
        <f>IFERROR(INDEX(calc!$BA$15:$BA$251,calc!AO87),"")</f>
        <v/>
      </c>
      <c r="J87" s="157"/>
      <c r="M87" s="965" t="str">
        <f>IFERROR(INDEX(calc!$AS$15:$AS$251,calc!AP87),"")</f>
        <v/>
      </c>
      <c r="N87" s="915" t="str">
        <f>IFERROR(IF(calc!AR87&lt;0,calc!AR87,""),"")</f>
        <v/>
      </c>
      <c r="O87" s="735" t="str">
        <f>IFERROR(INDEX(calc!$BB$15:$BB$251,calc!AP87),"")</f>
        <v/>
      </c>
      <c r="P87" s="738" t="str">
        <f>IFERROR(INDEX(calc!$AY$15:$AY$251,calc!AP87),"")</f>
        <v/>
      </c>
      <c r="Q87" s="737" t="str">
        <f>IFERROR(INDEX(calc!$AZ$15:$AZ$251,calc!AP87),"")</f>
        <v/>
      </c>
      <c r="R87" s="917" t="str">
        <f>IFERROR(INDEX(calc!$BA$15:$BA$251,calc!AP87),"")</f>
        <v/>
      </c>
      <c r="V87" s="157"/>
    </row>
    <row r="88" spans="3:22" ht="20.100000000000001" customHeight="1">
      <c r="C88" s="666">
        <f t="shared" si="5"/>
        <v>74</v>
      </c>
      <c r="D88" s="963" t="str">
        <f>IFERROR(INDEX(calc!$AS$15:$AS$251,calc!AO88),"")</f>
        <v/>
      </c>
      <c r="E88" s="907" t="str">
        <f>IFERROR(IF(calc!AQ88&gt;0,calc!AQ88,""),"")</f>
        <v/>
      </c>
      <c r="F88" s="735" t="str">
        <f>IFERROR(INDEX(calc!$BB$15:$BB$251,calc!AO88),"")</f>
        <v/>
      </c>
      <c r="G88" s="736" t="str">
        <f>IFERROR(INDEX(calc!$AY$15:$AY$251,calc!AO88),"")</f>
        <v/>
      </c>
      <c r="H88" s="737" t="str">
        <f>IFERROR(INDEX(calc!$AZ$15:$AZ$251,calc!AO88),"")</f>
        <v/>
      </c>
      <c r="I88" s="911" t="str">
        <f>IFERROR(INDEX(calc!$BA$15:$BA$251,calc!AO88),"")</f>
        <v/>
      </c>
      <c r="J88" s="157"/>
      <c r="M88" s="965" t="str">
        <f>IFERROR(INDEX(calc!$AS$15:$AS$251,calc!AP88),"")</f>
        <v/>
      </c>
      <c r="N88" s="915" t="str">
        <f>IFERROR(IF(calc!AR88&lt;0,calc!AR88,""),"")</f>
        <v/>
      </c>
      <c r="O88" s="735" t="str">
        <f>IFERROR(INDEX(calc!$BB$15:$BB$251,calc!AP88),"")</f>
        <v/>
      </c>
      <c r="P88" s="738" t="str">
        <f>IFERROR(INDEX(calc!$AY$15:$AY$251,calc!AP88),"")</f>
        <v/>
      </c>
      <c r="Q88" s="737" t="str">
        <f>IFERROR(INDEX(calc!$AZ$15:$AZ$251,calc!AP88),"")</f>
        <v/>
      </c>
      <c r="R88" s="917" t="str">
        <f>IFERROR(INDEX(calc!$BA$15:$BA$251,calc!AP88),"")</f>
        <v/>
      </c>
      <c r="V88" s="157"/>
    </row>
    <row r="89" spans="3:22" ht="20.100000000000001" customHeight="1">
      <c r="C89" s="666">
        <f t="shared" si="5"/>
        <v>75</v>
      </c>
      <c r="D89" s="963" t="str">
        <f>IFERROR(INDEX(calc!$AS$15:$AS$251,calc!AO89),"")</f>
        <v/>
      </c>
      <c r="E89" s="907" t="str">
        <f>IFERROR(IF(calc!AQ89&gt;0,calc!AQ89,""),"")</f>
        <v/>
      </c>
      <c r="F89" s="735" t="str">
        <f>IFERROR(INDEX(calc!$BB$15:$BB$251,calc!AO89),"")</f>
        <v/>
      </c>
      <c r="G89" s="736" t="str">
        <f>IFERROR(INDEX(calc!$AY$15:$AY$251,calc!AO89),"")</f>
        <v/>
      </c>
      <c r="H89" s="737" t="str">
        <f>IFERROR(INDEX(calc!$AZ$15:$AZ$251,calc!AO89),"")</f>
        <v/>
      </c>
      <c r="I89" s="911" t="str">
        <f>IFERROR(INDEX(calc!$BA$15:$BA$251,calc!AO89),"")</f>
        <v/>
      </c>
      <c r="J89" s="157"/>
      <c r="M89" s="965" t="str">
        <f>IFERROR(INDEX(calc!$AS$15:$AS$251,calc!AP89),"")</f>
        <v/>
      </c>
      <c r="N89" s="915" t="str">
        <f>IFERROR(IF(calc!AR89&lt;0,calc!AR89,""),"")</f>
        <v/>
      </c>
      <c r="O89" s="735" t="str">
        <f>IFERROR(INDEX(calc!$BB$15:$BB$251,calc!AP89),"")</f>
        <v/>
      </c>
      <c r="P89" s="738" t="str">
        <f>IFERROR(INDEX(calc!$AY$15:$AY$251,calc!AP89),"")</f>
        <v/>
      </c>
      <c r="Q89" s="737" t="str">
        <f>IFERROR(INDEX(calc!$AZ$15:$AZ$251,calc!AP89),"")</f>
        <v/>
      </c>
      <c r="R89" s="917" t="str">
        <f>IFERROR(INDEX(calc!$BA$15:$BA$251,calc!AP89),"")</f>
        <v/>
      </c>
      <c r="V89" s="157"/>
    </row>
    <row r="90" spans="3:22" ht="20.100000000000001" customHeight="1">
      <c r="C90" s="666">
        <f t="shared" si="5"/>
        <v>76</v>
      </c>
      <c r="D90" s="963" t="str">
        <f>IFERROR(INDEX(calc!$AS$15:$AS$251,calc!AO90),"")</f>
        <v/>
      </c>
      <c r="E90" s="907" t="str">
        <f>IFERROR(IF(calc!AQ90&gt;0,calc!AQ90,""),"")</f>
        <v/>
      </c>
      <c r="F90" s="735" t="str">
        <f>IFERROR(INDEX(calc!$BB$15:$BB$251,calc!AO90),"")</f>
        <v/>
      </c>
      <c r="G90" s="736" t="str">
        <f>IFERROR(INDEX(calc!$AY$15:$AY$251,calc!AO90),"")</f>
        <v/>
      </c>
      <c r="H90" s="737" t="str">
        <f>IFERROR(INDEX(calc!$AZ$15:$AZ$251,calc!AO90),"")</f>
        <v/>
      </c>
      <c r="I90" s="911" t="str">
        <f>IFERROR(INDEX(calc!$BA$15:$BA$251,calc!AO90),"")</f>
        <v/>
      </c>
      <c r="J90" s="157"/>
      <c r="M90" s="965" t="str">
        <f>IFERROR(INDEX(calc!$AS$15:$AS$251,calc!AP90),"")</f>
        <v/>
      </c>
      <c r="N90" s="915" t="str">
        <f>IFERROR(IF(calc!AR90&lt;0,calc!AR90,""),"")</f>
        <v/>
      </c>
      <c r="O90" s="735" t="str">
        <f>IFERROR(INDEX(calc!$BB$15:$BB$251,calc!AP90),"")</f>
        <v/>
      </c>
      <c r="P90" s="738" t="str">
        <f>IFERROR(INDEX(calc!$AY$15:$AY$251,calc!AP90),"")</f>
        <v/>
      </c>
      <c r="Q90" s="737" t="str">
        <f>IFERROR(INDEX(calc!$AZ$15:$AZ$251,calc!AP90),"")</f>
        <v/>
      </c>
      <c r="R90" s="917" t="str">
        <f>IFERROR(INDEX(calc!$BA$15:$BA$251,calc!AP90),"")</f>
        <v/>
      </c>
      <c r="V90" s="157"/>
    </row>
    <row r="91" spans="3:22" ht="20.100000000000001" customHeight="1">
      <c r="C91" s="666">
        <f t="shared" si="5"/>
        <v>77</v>
      </c>
      <c r="D91" s="963" t="str">
        <f>IFERROR(INDEX(calc!$AS$15:$AS$251,calc!AO91),"")</f>
        <v/>
      </c>
      <c r="E91" s="907" t="str">
        <f>IFERROR(IF(calc!AQ91&gt;0,calc!AQ91,""),"")</f>
        <v/>
      </c>
      <c r="F91" s="735" t="str">
        <f>IFERROR(INDEX(calc!$BB$15:$BB$251,calc!AO91),"")</f>
        <v/>
      </c>
      <c r="G91" s="736" t="str">
        <f>IFERROR(INDEX(calc!$AY$15:$AY$251,calc!AO91),"")</f>
        <v/>
      </c>
      <c r="H91" s="737" t="str">
        <f>IFERROR(INDEX(calc!$AZ$15:$AZ$251,calc!AO91),"")</f>
        <v/>
      </c>
      <c r="I91" s="911" t="str">
        <f>IFERROR(INDEX(calc!$BA$15:$BA$251,calc!AO91),"")</f>
        <v/>
      </c>
      <c r="J91" s="157"/>
      <c r="M91" s="965" t="str">
        <f>IFERROR(INDEX(calc!$AS$15:$AS$251,calc!AP91),"")</f>
        <v/>
      </c>
      <c r="N91" s="915" t="str">
        <f>IFERROR(IF(calc!AR91&lt;0,calc!AR91,""),"")</f>
        <v/>
      </c>
      <c r="O91" s="735" t="str">
        <f>IFERROR(INDEX(calc!$BB$15:$BB$251,calc!AP91),"")</f>
        <v/>
      </c>
      <c r="P91" s="738" t="str">
        <f>IFERROR(INDEX(calc!$AY$15:$AY$251,calc!AP91),"")</f>
        <v/>
      </c>
      <c r="Q91" s="737" t="str">
        <f>IFERROR(INDEX(calc!$AZ$15:$AZ$251,calc!AP91),"")</f>
        <v/>
      </c>
      <c r="R91" s="917" t="str">
        <f>IFERROR(INDEX(calc!$BA$15:$BA$251,calc!AP91),"")</f>
        <v/>
      </c>
      <c r="V91" s="157"/>
    </row>
    <row r="92" spans="3:22" ht="20.100000000000001" customHeight="1">
      <c r="C92" s="666">
        <f t="shared" si="5"/>
        <v>78</v>
      </c>
      <c r="D92" s="963" t="str">
        <f>IFERROR(INDEX(calc!$AS$15:$AS$251,calc!AO92),"")</f>
        <v/>
      </c>
      <c r="E92" s="907" t="str">
        <f>IFERROR(IF(calc!AQ92&gt;0,calc!AQ92,""),"")</f>
        <v/>
      </c>
      <c r="F92" s="735" t="str">
        <f>IFERROR(INDEX(calc!$BB$15:$BB$251,calc!AO92),"")</f>
        <v/>
      </c>
      <c r="G92" s="736" t="str">
        <f>IFERROR(INDEX(calc!$AY$15:$AY$251,calc!AO92),"")</f>
        <v/>
      </c>
      <c r="H92" s="737" t="str">
        <f>IFERROR(INDEX(calc!$AZ$15:$AZ$251,calc!AO92),"")</f>
        <v/>
      </c>
      <c r="I92" s="911" t="str">
        <f>IFERROR(INDEX(calc!$BA$15:$BA$251,calc!AO92),"")</f>
        <v/>
      </c>
      <c r="J92" s="157"/>
      <c r="M92" s="965" t="str">
        <f>IFERROR(INDEX(calc!$AS$15:$AS$251,calc!AP92),"")</f>
        <v/>
      </c>
      <c r="N92" s="915" t="str">
        <f>IFERROR(IF(calc!AR92&lt;0,calc!AR92,""),"")</f>
        <v/>
      </c>
      <c r="O92" s="735" t="str">
        <f>IFERROR(INDEX(calc!$BB$15:$BB$251,calc!AP92),"")</f>
        <v/>
      </c>
      <c r="P92" s="738" t="str">
        <f>IFERROR(INDEX(calc!$AY$15:$AY$251,calc!AP92),"")</f>
        <v/>
      </c>
      <c r="Q92" s="737" t="str">
        <f>IFERROR(INDEX(calc!$AZ$15:$AZ$251,calc!AP92),"")</f>
        <v/>
      </c>
      <c r="R92" s="917" t="str">
        <f>IFERROR(INDEX(calc!$BA$15:$BA$251,calc!AP92),"")</f>
        <v/>
      </c>
      <c r="V92" s="157"/>
    </row>
    <row r="93" spans="3:22" ht="20.100000000000001" customHeight="1">
      <c r="C93" s="666">
        <f t="shared" si="5"/>
        <v>79</v>
      </c>
      <c r="D93" s="963" t="str">
        <f>IFERROR(INDEX(calc!$AS$15:$AS$251,calc!AO93),"")</f>
        <v/>
      </c>
      <c r="E93" s="907" t="str">
        <f>IFERROR(IF(calc!AQ93&gt;0,calc!AQ93,""),"")</f>
        <v/>
      </c>
      <c r="F93" s="735" t="str">
        <f>IFERROR(INDEX(calc!$BB$15:$BB$251,calc!AO93),"")</f>
        <v/>
      </c>
      <c r="G93" s="736" t="str">
        <f>IFERROR(INDEX(calc!$AY$15:$AY$251,calc!AO93),"")</f>
        <v/>
      </c>
      <c r="H93" s="737" t="str">
        <f>IFERROR(INDEX(calc!$AZ$15:$AZ$251,calc!AO93),"")</f>
        <v/>
      </c>
      <c r="I93" s="911" t="str">
        <f>IFERROR(INDEX(calc!$BA$15:$BA$251,calc!AO93),"")</f>
        <v/>
      </c>
      <c r="J93" s="157"/>
      <c r="M93" s="965" t="str">
        <f>IFERROR(INDEX(calc!$AS$15:$AS$251,calc!AP93),"")</f>
        <v/>
      </c>
      <c r="N93" s="915" t="str">
        <f>IFERROR(IF(calc!AR93&lt;0,calc!AR93,""),"")</f>
        <v/>
      </c>
      <c r="O93" s="735" t="str">
        <f>IFERROR(INDEX(calc!$BB$15:$BB$251,calc!AP93),"")</f>
        <v/>
      </c>
      <c r="P93" s="738" t="str">
        <f>IFERROR(INDEX(calc!$AY$15:$AY$251,calc!AP93),"")</f>
        <v/>
      </c>
      <c r="Q93" s="737" t="str">
        <f>IFERROR(INDEX(calc!$AZ$15:$AZ$251,calc!AP93),"")</f>
        <v/>
      </c>
      <c r="R93" s="917" t="str">
        <f>IFERROR(INDEX(calc!$BA$15:$BA$251,calc!AP93),"")</f>
        <v/>
      </c>
      <c r="V93" s="157"/>
    </row>
    <row r="94" spans="3:22" ht="20.100000000000001" customHeight="1">
      <c r="C94" s="666">
        <f t="shared" si="5"/>
        <v>80</v>
      </c>
      <c r="D94" s="963" t="str">
        <f>IFERROR(INDEX(calc!$AS$15:$AS$251,calc!AO94),"")</f>
        <v/>
      </c>
      <c r="E94" s="907" t="str">
        <f>IFERROR(IF(calc!AQ94&gt;0,calc!AQ94,""),"")</f>
        <v/>
      </c>
      <c r="F94" s="735" t="str">
        <f>IFERROR(INDEX(calc!$BB$15:$BB$251,calc!AO94),"")</f>
        <v/>
      </c>
      <c r="G94" s="736" t="str">
        <f>IFERROR(INDEX(calc!$AY$15:$AY$251,calc!AO94),"")</f>
        <v/>
      </c>
      <c r="H94" s="737" t="str">
        <f>IFERROR(INDEX(calc!$AZ$15:$AZ$251,calc!AO94),"")</f>
        <v/>
      </c>
      <c r="I94" s="911" t="str">
        <f>IFERROR(INDEX(calc!$BA$15:$BA$251,calc!AO94),"")</f>
        <v/>
      </c>
      <c r="J94" s="157"/>
      <c r="M94" s="965" t="str">
        <f>IFERROR(INDEX(calc!$AS$15:$AS$251,calc!AP94),"")</f>
        <v/>
      </c>
      <c r="N94" s="915" t="str">
        <f>IFERROR(IF(calc!AR94&lt;0,calc!AR94,""),"")</f>
        <v/>
      </c>
      <c r="O94" s="735" t="str">
        <f>IFERROR(INDEX(calc!$BB$15:$BB$251,calc!AP94),"")</f>
        <v/>
      </c>
      <c r="P94" s="738" t="str">
        <f>IFERROR(INDEX(calc!$AY$15:$AY$251,calc!AP94),"")</f>
        <v/>
      </c>
      <c r="Q94" s="737" t="str">
        <f>IFERROR(INDEX(calc!$AZ$15:$AZ$251,calc!AP94),"")</f>
        <v/>
      </c>
      <c r="R94" s="917" t="str">
        <f>IFERROR(INDEX(calc!$BA$15:$BA$251,calc!AP94),"")</f>
        <v/>
      </c>
      <c r="V94" s="157"/>
    </row>
    <row r="95" spans="3:22" ht="20.100000000000001" customHeight="1">
      <c r="C95" s="666">
        <f t="shared" si="5"/>
        <v>81</v>
      </c>
      <c r="D95" s="963" t="str">
        <f>IFERROR(INDEX(calc!$AS$15:$AS$251,calc!AO95),"")</f>
        <v/>
      </c>
      <c r="E95" s="907" t="str">
        <f>IFERROR(IF(calc!AQ95&gt;0,calc!AQ95,""),"")</f>
        <v/>
      </c>
      <c r="F95" s="735" t="str">
        <f>IFERROR(INDEX(calc!$BB$15:$BB$251,calc!AO95),"")</f>
        <v/>
      </c>
      <c r="G95" s="736" t="str">
        <f>IFERROR(INDEX(calc!$AY$15:$AY$251,calc!AO95),"")</f>
        <v/>
      </c>
      <c r="H95" s="737" t="str">
        <f>IFERROR(INDEX(calc!$AZ$15:$AZ$251,calc!AO95),"")</f>
        <v/>
      </c>
      <c r="I95" s="911" t="str">
        <f>IFERROR(INDEX(calc!$BA$15:$BA$251,calc!AO95),"")</f>
        <v/>
      </c>
      <c r="J95" s="157"/>
      <c r="M95" s="965" t="str">
        <f>IFERROR(INDEX(calc!$AS$15:$AS$251,calc!AP95),"")</f>
        <v/>
      </c>
      <c r="N95" s="915" t="str">
        <f>IFERROR(IF(calc!AR95&lt;0,calc!AR95,""),"")</f>
        <v/>
      </c>
      <c r="O95" s="735" t="str">
        <f>IFERROR(INDEX(calc!$BB$15:$BB$251,calc!AP95),"")</f>
        <v/>
      </c>
      <c r="P95" s="738" t="str">
        <f>IFERROR(INDEX(calc!$AY$15:$AY$251,calc!AP95),"")</f>
        <v/>
      </c>
      <c r="Q95" s="737" t="str">
        <f>IFERROR(INDEX(calc!$AZ$15:$AZ$251,calc!AP95),"")</f>
        <v/>
      </c>
      <c r="R95" s="917" t="str">
        <f>IFERROR(INDEX(calc!$BA$15:$BA$251,calc!AP95),"")</f>
        <v/>
      </c>
      <c r="V95" s="157"/>
    </row>
    <row r="96" spans="3:22" ht="20.100000000000001" customHeight="1">
      <c r="C96" s="666">
        <f t="shared" si="5"/>
        <v>82</v>
      </c>
      <c r="D96" s="963" t="str">
        <f>IFERROR(INDEX(calc!$AS$15:$AS$251,calc!AO96),"")</f>
        <v/>
      </c>
      <c r="E96" s="907" t="str">
        <f>IFERROR(IF(calc!AQ96&gt;0,calc!AQ96,""),"")</f>
        <v/>
      </c>
      <c r="F96" s="735" t="str">
        <f>IFERROR(INDEX(calc!$BB$15:$BB$251,calc!AO96),"")</f>
        <v/>
      </c>
      <c r="G96" s="736" t="str">
        <f>IFERROR(INDEX(calc!$AY$15:$AY$251,calc!AO96),"")</f>
        <v/>
      </c>
      <c r="H96" s="737" t="str">
        <f>IFERROR(INDEX(calc!$AZ$15:$AZ$251,calc!AO96),"")</f>
        <v/>
      </c>
      <c r="I96" s="911" t="str">
        <f>IFERROR(INDEX(calc!$BA$15:$BA$251,calc!AO96),"")</f>
        <v/>
      </c>
      <c r="J96" s="157"/>
      <c r="M96" s="965" t="str">
        <f>IFERROR(INDEX(calc!$AS$15:$AS$251,calc!AP96),"")</f>
        <v/>
      </c>
      <c r="N96" s="915" t="str">
        <f>IFERROR(IF(calc!AR96&lt;0,calc!AR96,""),"")</f>
        <v/>
      </c>
      <c r="O96" s="735" t="str">
        <f>IFERROR(INDEX(calc!$BB$15:$BB$251,calc!AP96),"")</f>
        <v/>
      </c>
      <c r="P96" s="738" t="str">
        <f>IFERROR(INDEX(calc!$AY$15:$AY$251,calc!AP96),"")</f>
        <v/>
      </c>
      <c r="Q96" s="737" t="str">
        <f>IFERROR(INDEX(calc!$AZ$15:$AZ$251,calc!AP96),"")</f>
        <v/>
      </c>
      <c r="R96" s="917" t="str">
        <f>IFERROR(INDEX(calc!$BA$15:$BA$251,calc!AP96),"")</f>
        <v/>
      </c>
      <c r="V96" s="157"/>
    </row>
    <row r="97" spans="3:22" ht="20.100000000000001" customHeight="1">
      <c r="C97" s="666">
        <f t="shared" si="5"/>
        <v>83</v>
      </c>
      <c r="D97" s="963" t="str">
        <f>IFERROR(INDEX(calc!$AS$15:$AS$251,calc!AO97),"")</f>
        <v/>
      </c>
      <c r="E97" s="907" t="str">
        <f>IFERROR(IF(calc!AQ97&gt;0,calc!AQ97,""),"")</f>
        <v/>
      </c>
      <c r="F97" s="735" t="str">
        <f>IFERROR(INDEX(calc!$BB$15:$BB$251,calc!AO97),"")</f>
        <v/>
      </c>
      <c r="G97" s="736" t="str">
        <f>IFERROR(INDEX(calc!$AY$15:$AY$251,calc!AO97),"")</f>
        <v/>
      </c>
      <c r="H97" s="737" t="str">
        <f>IFERROR(INDEX(calc!$AZ$15:$AZ$251,calc!AO97),"")</f>
        <v/>
      </c>
      <c r="I97" s="911" t="str">
        <f>IFERROR(INDEX(calc!$BA$15:$BA$251,calc!AO97),"")</f>
        <v/>
      </c>
      <c r="J97" s="157"/>
      <c r="M97" s="965" t="str">
        <f>IFERROR(INDEX(calc!$AS$15:$AS$251,calc!AP97),"")</f>
        <v/>
      </c>
      <c r="N97" s="915" t="str">
        <f>IFERROR(IF(calc!AR97&lt;0,calc!AR97,""),"")</f>
        <v/>
      </c>
      <c r="O97" s="735" t="str">
        <f>IFERROR(INDEX(calc!$BB$15:$BB$251,calc!AP97),"")</f>
        <v/>
      </c>
      <c r="P97" s="738" t="str">
        <f>IFERROR(INDEX(calc!$AY$15:$AY$251,calc!AP97),"")</f>
        <v/>
      </c>
      <c r="Q97" s="737" t="str">
        <f>IFERROR(INDEX(calc!$AZ$15:$AZ$251,calc!AP97),"")</f>
        <v/>
      </c>
      <c r="R97" s="917" t="str">
        <f>IFERROR(INDEX(calc!$BA$15:$BA$251,calc!AP97),"")</f>
        <v/>
      </c>
      <c r="V97" s="157"/>
    </row>
    <row r="98" spans="3:22" ht="20.100000000000001" customHeight="1">
      <c r="C98" s="666">
        <f t="shared" si="5"/>
        <v>84</v>
      </c>
      <c r="D98" s="963" t="str">
        <f>IFERROR(INDEX(calc!$AS$15:$AS$251,calc!AO98),"")</f>
        <v/>
      </c>
      <c r="E98" s="907" t="str">
        <f>IFERROR(IF(calc!AQ98&gt;0,calc!AQ98,""),"")</f>
        <v/>
      </c>
      <c r="F98" s="735" t="str">
        <f>IFERROR(INDEX(calc!$BB$15:$BB$251,calc!AO98),"")</f>
        <v/>
      </c>
      <c r="G98" s="736" t="str">
        <f>IFERROR(INDEX(calc!$AY$15:$AY$251,calc!AO98),"")</f>
        <v/>
      </c>
      <c r="H98" s="737" t="str">
        <f>IFERROR(INDEX(calc!$AZ$15:$AZ$251,calc!AO98),"")</f>
        <v/>
      </c>
      <c r="I98" s="911" t="str">
        <f>IFERROR(INDEX(calc!$BA$15:$BA$251,calc!AO98),"")</f>
        <v/>
      </c>
      <c r="J98" s="157"/>
      <c r="M98" s="965" t="str">
        <f>IFERROR(INDEX(calc!$AS$15:$AS$251,calc!AP98),"")</f>
        <v/>
      </c>
      <c r="N98" s="915" t="str">
        <f>IFERROR(IF(calc!AR98&lt;0,calc!AR98,""),"")</f>
        <v/>
      </c>
      <c r="O98" s="735" t="str">
        <f>IFERROR(INDEX(calc!$BB$15:$BB$251,calc!AP98),"")</f>
        <v/>
      </c>
      <c r="P98" s="738" t="str">
        <f>IFERROR(INDEX(calc!$AY$15:$AY$251,calc!AP98),"")</f>
        <v/>
      </c>
      <c r="Q98" s="737" t="str">
        <f>IFERROR(INDEX(calc!$AZ$15:$AZ$251,calc!AP98),"")</f>
        <v/>
      </c>
      <c r="R98" s="917" t="str">
        <f>IFERROR(INDEX(calc!$BA$15:$BA$251,calc!AP98),"")</f>
        <v/>
      </c>
      <c r="V98" s="157"/>
    </row>
    <row r="99" spans="3:22" ht="20.100000000000001" customHeight="1">
      <c r="C99" s="666">
        <f t="shared" si="5"/>
        <v>85</v>
      </c>
      <c r="D99" s="963" t="str">
        <f>IFERROR(INDEX(calc!$AS$15:$AS$251,calc!AO99),"")</f>
        <v/>
      </c>
      <c r="E99" s="907" t="str">
        <f>IFERROR(IF(calc!AQ99&gt;0,calc!AQ99,""),"")</f>
        <v/>
      </c>
      <c r="F99" s="735" t="str">
        <f>IFERROR(INDEX(calc!$BB$15:$BB$251,calc!AO99),"")</f>
        <v/>
      </c>
      <c r="G99" s="736" t="str">
        <f>IFERROR(INDEX(calc!$AY$15:$AY$251,calc!AO99),"")</f>
        <v/>
      </c>
      <c r="H99" s="737" t="str">
        <f>IFERROR(INDEX(calc!$AZ$15:$AZ$251,calc!AO99),"")</f>
        <v/>
      </c>
      <c r="I99" s="911" t="str">
        <f>IFERROR(INDEX(calc!$BA$15:$BA$251,calc!AO99),"")</f>
        <v/>
      </c>
      <c r="J99" s="157"/>
      <c r="M99" s="965" t="str">
        <f>IFERROR(INDEX(calc!$AS$15:$AS$251,calc!AP99),"")</f>
        <v/>
      </c>
      <c r="N99" s="915" t="str">
        <f>IFERROR(IF(calc!AR99&lt;0,calc!AR99,""),"")</f>
        <v/>
      </c>
      <c r="O99" s="735" t="str">
        <f>IFERROR(INDEX(calc!$BB$15:$BB$251,calc!AP99),"")</f>
        <v/>
      </c>
      <c r="P99" s="738" t="str">
        <f>IFERROR(INDEX(calc!$AY$15:$AY$251,calc!AP99),"")</f>
        <v/>
      </c>
      <c r="Q99" s="737" t="str">
        <f>IFERROR(INDEX(calc!$AZ$15:$AZ$251,calc!AP99),"")</f>
        <v/>
      </c>
      <c r="R99" s="917" t="str">
        <f>IFERROR(INDEX(calc!$BA$15:$BA$251,calc!AP99),"")</f>
        <v/>
      </c>
      <c r="V99" s="157"/>
    </row>
    <row r="100" spans="3:22" ht="20.100000000000001" customHeight="1">
      <c r="C100" s="666">
        <f t="shared" si="5"/>
        <v>86</v>
      </c>
      <c r="D100" s="963" t="str">
        <f>IFERROR(INDEX(calc!$AS$15:$AS$251,calc!AO100),"")</f>
        <v/>
      </c>
      <c r="E100" s="907" t="str">
        <f>IFERROR(IF(calc!AQ100&gt;0,calc!AQ100,""),"")</f>
        <v/>
      </c>
      <c r="F100" s="735" t="str">
        <f>IFERROR(INDEX(calc!$BB$15:$BB$251,calc!AO100),"")</f>
        <v/>
      </c>
      <c r="G100" s="736" t="str">
        <f>IFERROR(INDEX(calc!$AY$15:$AY$251,calc!AO100),"")</f>
        <v/>
      </c>
      <c r="H100" s="737" t="str">
        <f>IFERROR(INDEX(calc!$AZ$15:$AZ$251,calc!AO100),"")</f>
        <v/>
      </c>
      <c r="I100" s="911" t="str">
        <f>IFERROR(INDEX(calc!$BA$15:$BA$251,calc!AO100),"")</f>
        <v/>
      </c>
      <c r="J100" s="157"/>
      <c r="M100" s="965" t="str">
        <f>IFERROR(INDEX(calc!$AS$15:$AS$251,calc!AP100),"")</f>
        <v/>
      </c>
      <c r="N100" s="915" t="str">
        <f>IFERROR(IF(calc!AR100&lt;0,calc!AR100,""),"")</f>
        <v/>
      </c>
      <c r="O100" s="735" t="str">
        <f>IFERROR(INDEX(calc!$BB$15:$BB$251,calc!AP100),"")</f>
        <v/>
      </c>
      <c r="P100" s="738" t="str">
        <f>IFERROR(INDEX(calc!$AY$15:$AY$251,calc!AP100),"")</f>
        <v/>
      </c>
      <c r="Q100" s="737" t="str">
        <f>IFERROR(INDEX(calc!$AZ$15:$AZ$251,calc!AP100),"")</f>
        <v/>
      </c>
      <c r="R100" s="917" t="str">
        <f>IFERROR(INDEX(calc!$BA$15:$BA$251,calc!AP100),"")</f>
        <v/>
      </c>
      <c r="V100" s="157"/>
    </row>
    <row r="101" spans="3:22" ht="20.100000000000001" customHeight="1">
      <c r="C101" s="666">
        <f t="shared" si="5"/>
        <v>87</v>
      </c>
      <c r="D101" s="963" t="str">
        <f>IFERROR(INDEX(calc!$AS$15:$AS$251,calc!AO101),"")</f>
        <v/>
      </c>
      <c r="E101" s="907" t="str">
        <f>IFERROR(IF(calc!AQ101&gt;0,calc!AQ101,""),"")</f>
        <v/>
      </c>
      <c r="F101" s="735" t="str">
        <f>IFERROR(INDEX(calc!$BB$15:$BB$251,calc!AO101),"")</f>
        <v/>
      </c>
      <c r="G101" s="736" t="str">
        <f>IFERROR(INDEX(calc!$AY$15:$AY$251,calc!AO101),"")</f>
        <v/>
      </c>
      <c r="H101" s="737" t="str">
        <f>IFERROR(INDEX(calc!$AZ$15:$AZ$251,calc!AO101),"")</f>
        <v/>
      </c>
      <c r="I101" s="911" t="str">
        <f>IFERROR(INDEX(calc!$BA$15:$BA$251,calc!AO101),"")</f>
        <v/>
      </c>
      <c r="J101" s="157"/>
      <c r="M101" s="965" t="str">
        <f>IFERROR(INDEX(calc!$AS$15:$AS$251,calc!AP101),"")</f>
        <v/>
      </c>
      <c r="N101" s="915" t="str">
        <f>IFERROR(IF(calc!AR101&lt;0,calc!AR101,""),"")</f>
        <v/>
      </c>
      <c r="O101" s="735" t="str">
        <f>IFERROR(INDEX(calc!$BB$15:$BB$251,calc!AP101),"")</f>
        <v/>
      </c>
      <c r="P101" s="738" t="str">
        <f>IFERROR(INDEX(calc!$AY$15:$AY$251,calc!AP101),"")</f>
        <v/>
      </c>
      <c r="Q101" s="737" t="str">
        <f>IFERROR(INDEX(calc!$AZ$15:$AZ$251,calc!AP101),"")</f>
        <v/>
      </c>
      <c r="R101" s="917" t="str">
        <f>IFERROR(INDEX(calc!$BA$15:$BA$251,calc!AP101),"")</f>
        <v/>
      </c>
      <c r="V101" s="157"/>
    </row>
    <row r="102" spans="3:22" ht="20.100000000000001" customHeight="1">
      <c r="C102" s="666">
        <f t="shared" si="5"/>
        <v>88</v>
      </c>
      <c r="D102" s="963" t="str">
        <f>IFERROR(INDEX(calc!$AS$15:$AS$251,calc!AO102),"")</f>
        <v/>
      </c>
      <c r="E102" s="907" t="str">
        <f>IFERROR(IF(calc!AQ102&gt;0,calc!AQ102,""),"")</f>
        <v/>
      </c>
      <c r="F102" s="735" t="str">
        <f>IFERROR(INDEX(calc!$BB$15:$BB$251,calc!AO102),"")</f>
        <v/>
      </c>
      <c r="G102" s="736" t="str">
        <f>IFERROR(INDEX(calc!$AY$15:$AY$251,calc!AO102),"")</f>
        <v/>
      </c>
      <c r="H102" s="737" t="str">
        <f>IFERROR(INDEX(calc!$AZ$15:$AZ$251,calc!AO102),"")</f>
        <v/>
      </c>
      <c r="I102" s="911" t="str">
        <f>IFERROR(INDEX(calc!$BA$15:$BA$251,calc!AO102),"")</f>
        <v/>
      </c>
      <c r="J102" s="157"/>
      <c r="M102" s="965" t="str">
        <f>IFERROR(INDEX(calc!$AS$15:$AS$251,calc!AP102),"")</f>
        <v/>
      </c>
      <c r="N102" s="915" t="str">
        <f>IFERROR(IF(calc!AR102&lt;0,calc!AR102,""),"")</f>
        <v/>
      </c>
      <c r="O102" s="735" t="str">
        <f>IFERROR(INDEX(calc!$BB$15:$BB$251,calc!AP102),"")</f>
        <v/>
      </c>
      <c r="P102" s="738" t="str">
        <f>IFERROR(INDEX(calc!$AY$15:$AY$251,calc!AP102),"")</f>
        <v/>
      </c>
      <c r="Q102" s="737" t="str">
        <f>IFERROR(INDEX(calc!$AZ$15:$AZ$251,calc!AP102),"")</f>
        <v/>
      </c>
      <c r="R102" s="917" t="str">
        <f>IFERROR(INDEX(calc!$BA$15:$BA$251,calc!AP102),"")</f>
        <v/>
      </c>
      <c r="V102" s="157"/>
    </row>
    <row r="103" spans="3:22" ht="20.100000000000001" customHeight="1">
      <c r="C103" s="666">
        <f t="shared" si="5"/>
        <v>89</v>
      </c>
      <c r="D103" s="963" t="str">
        <f>IFERROR(INDEX(calc!$AS$15:$AS$251,calc!AO103),"")</f>
        <v/>
      </c>
      <c r="E103" s="907" t="str">
        <f>IFERROR(IF(calc!AQ103&gt;0,calc!AQ103,""),"")</f>
        <v/>
      </c>
      <c r="F103" s="735" t="str">
        <f>IFERROR(INDEX(calc!$BB$15:$BB$251,calc!AO103),"")</f>
        <v/>
      </c>
      <c r="G103" s="736" t="str">
        <f>IFERROR(INDEX(calc!$AY$15:$AY$251,calc!AO103),"")</f>
        <v/>
      </c>
      <c r="H103" s="737" t="str">
        <f>IFERROR(INDEX(calc!$AZ$15:$AZ$251,calc!AO103),"")</f>
        <v/>
      </c>
      <c r="I103" s="911" t="str">
        <f>IFERROR(INDEX(calc!$BA$15:$BA$251,calc!AO103),"")</f>
        <v/>
      </c>
      <c r="J103" s="157"/>
      <c r="M103" s="965" t="str">
        <f>IFERROR(INDEX(calc!$AS$15:$AS$251,calc!AP103),"")</f>
        <v/>
      </c>
      <c r="N103" s="915" t="str">
        <f>IFERROR(IF(calc!AR103&lt;0,calc!AR103,""),"")</f>
        <v/>
      </c>
      <c r="O103" s="735" t="str">
        <f>IFERROR(INDEX(calc!$BB$15:$BB$251,calc!AP103),"")</f>
        <v/>
      </c>
      <c r="P103" s="738" t="str">
        <f>IFERROR(INDEX(calc!$AY$15:$AY$251,calc!AP103),"")</f>
        <v/>
      </c>
      <c r="Q103" s="737" t="str">
        <f>IFERROR(INDEX(calc!$AZ$15:$AZ$251,calc!AP103),"")</f>
        <v/>
      </c>
      <c r="R103" s="917" t="str">
        <f>IFERROR(INDEX(calc!$BA$15:$BA$251,calc!AP103),"")</f>
        <v/>
      </c>
      <c r="V103" s="157"/>
    </row>
    <row r="104" spans="3:22" ht="20.100000000000001" customHeight="1">
      <c r="C104" s="666">
        <f t="shared" si="5"/>
        <v>90</v>
      </c>
      <c r="D104" s="963" t="str">
        <f>IFERROR(INDEX(calc!$AS$15:$AS$251,calc!AO104),"")</f>
        <v/>
      </c>
      <c r="E104" s="907" t="str">
        <f>IFERROR(IF(calc!AQ104&gt;0,calc!AQ104,""),"")</f>
        <v/>
      </c>
      <c r="F104" s="735" t="str">
        <f>IFERROR(INDEX(calc!$BB$15:$BB$251,calc!AO104),"")</f>
        <v/>
      </c>
      <c r="G104" s="736" t="str">
        <f>IFERROR(INDEX(calc!$AY$15:$AY$251,calc!AO104),"")</f>
        <v/>
      </c>
      <c r="H104" s="737" t="str">
        <f>IFERROR(INDEX(calc!$AZ$15:$AZ$251,calc!AO104),"")</f>
        <v/>
      </c>
      <c r="I104" s="911" t="str">
        <f>IFERROR(INDEX(calc!$BA$15:$BA$251,calc!AO104),"")</f>
        <v/>
      </c>
      <c r="J104" s="157"/>
      <c r="M104" s="965" t="str">
        <f>IFERROR(INDEX(calc!$AS$15:$AS$251,calc!AP104),"")</f>
        <v/>
      </c>
      <c r="N104" s="915" t="str">
        <f>IFERROR(IF(calc!AR104&lt;0,calc!AR104,""),"")</f>
        <v/>
      </c>
      <c r="O104" s="735" t="str">
        <f>IFERROR(INDEX(calc!$BB$15:$BB$251,calc!AP104),"")</f>
        <v/>
      </c>
      <c r="P104" s="738" t="str">
        <f>IFERROR(INDEX(calc!$AY$15:$AY$251,calc!AP104),"")</f>
        <v/>
      </c>
      <c r="Q104" s="737" t="str">
        <f>IFERROR(INDEX(calc!$AZ$15:$AZ$251,calc!AP104),"")</f>
        <v/>
      </c>
      <c r="R104" s="917" t="str">
        <f>IFERROR(INDEX(calc!$BA$15:$BA$251,calc!AP104),"")</f>
        <v/>
      </c>
      <c r="V104" s="157"/>
    </row>
    <row r="105" spans="3:22" ht="20.100000000000001" customHeight="1">
      <c r="C105" s="666">
        <f t="shared" si="5"/>
        <v>91</v>
      </c>
      <c r="D105" s="963" t="str">
        <f>IFERROR(INDEX(calc!$AS$15:$AS$251,calc!AO105),"")</f>
        <v/>
      </c>
      <c r="E105" s="907" t="str">
        <f>IFERROR(IF(calc!AQ105&gt;0,calc!AQ105,""),"")</f>
        <v/>
      </c>
      <c r="F105" s="735" t="str">
        <f>IFERROR(INDEX(calc!$BB$15:$BB$251,calc!AO105),"")</f>
        <v/>
      </c>
      <c r="G105" s="736" t="str">
        <f>IFERROR(INDEX(calc!$AY$15:$AY$251,calc!AO105),"")</f>
        <v/>
      </c>
      <c r="H105" s="737" t="str">
        <f>IFERROR(INDEX(calc!$AZ$15:$AZ$251,calc!AO105),"")</f>
        <v/>
      </c>
      <c r="I105" s="911" t="str">
        <f>IFERROR(INDEX(calc!$BA$15:$BA$251,calc!AO105),"")</f>
        <v/>
      </c>
      <c r="J105" s="157"/>
      <c r="M105" s="965" t="str">
        <f>IFERROR(INDEX(calc!$AS$15:$AS$251,calc!AP105),"")</f>
        <v/>
      </c>
      <c r="N105" s="915" t="str">
        <f>IFERROR(IF(calc!AR105&lt;0,calc!AR105,""),"")</f>
        <v/>
      </c>
      <c r="O105" s="735" t="str">
        <f>IFERROR(INDEX(calc!$BB$15:$BB$251,calc!AP105),"")</f>
        <v/>
      </c>
      <c r="P105" s="738" t="str">
        <f>IFERROR(INDEX(calc!$AY$15:$AY$251,calc!AP105),"")</f>
        <v/>
      </c>
      <c r="Q105" s="737" t="str">
        <f>IFERROR(INDEX(calc!$AZ$15:$AZ$251,calc!AP105),"")</f>
        <v/>
      </c>
      <c r="R105" s="917" t="str">
        <f>IFERROR(INDEX(calc!$BA$15:$BA$251,calc!AP105),"")</f>
        <v/>
      </c>
      <c r="V105" s="157"/>
    </row>
    <row r="106" spans="3:22" ht="20.100000000000001" customHeight="1">
      <c r="C106" s="666">
        <f t="shared" si="5"/>
        <v>92</v>
      </c>
      <c r="D106" s="963" t="str">
        <f>IFERROR(INDEX(calc!$AS$15:$AS$251,calc!AO106),"")</f>
        <v/>
      </c>
      <c r="E106" s="907" t="str">
        <f>IFERROR(IF(calc!AQ106&gt;0,calc!AQ106,""),"")</f>
        <v/>
      </c>
      <c r="F106" s="735" t="str">
        <f>IFERROR(INDEX(calc!$BB$15:$BB$251,calc!AO106),"")</f>
        <v/>
      </c>
      <c r="G106" s="736" t="str">
        <f>IFERROR(INDEX(calc!$AY$15:$AY$251,calc!AO106),"")</f>
        <v/>
      </c>
      <c r="H106" s="737" t="str">
        <f>IFERROR(INDEX(calc!$AZ$15:$AZ$251,calc!AO106),"")</f>
        <v/>
      </c>
      <c r="I106" s="911" t="str">
        <f>IFERROR(INDEX(calc!$BA$15:$BA$251,calc!AO106),"")</f>
        <v/>
      </c>
      <c r="J106" s="157"/>
      <c r="M106" s="965" t="str">
        <f>IFERROR(INDEX(calc!$AS$15:$AS$251,calc!AP106),"")</f>
        <v/>
      </c>
      <c r="N106" s="915" t="str">
        <f>IFERROR(IF(calc!AR106&lt;0,calc!AR106,""),"")</f>
        <v/>
      </c>
      <c r="O106" s="735" t="str">
        <f>IFERROR(INDEX(calc!$BB$15:$BB$251,calc!AP106),"")</f>
        <v/>
      </c>
      <c r="P106" s="738" t="str">
        <f>IFERROR(INDEX(calc!$AY$15:$AY$251,calc!AP106),"")</f>
        <v/>
      </c>
      <c r="Q106" s="737" t="str">
        <f>IFERROR(INDEX(calc!$AZ$15:$AZ$251,calc!AP106),"")</f>
        <v/>
      </c>
      <c r="R106" s="917" t="str">
        <f>IFERROR(INDEX(calc!$BA$15:$BA$251,calc!AP106),"")</f>
        <v/>
      </c>
      <c r="V106" s="157"/>
    </row>
    <row r="107" spans="3:22" ht="20.100000000000001" customHeight="1">
      <c r="C107" s="666">
        <f t="shared" si="5"/>
        <v>93</v>
      </c>
      <c r="D107" s="963" t="str">
        <f>IFERROR(INDEX(calc!$AS$15:$AS$251,calc!AO107),"")</f>
        <v/>
      </c>
      <c r="E107" s="907" t="str">
        <f>IFERROR(IF(calc!AQ107&gt;0,calc!AQ107,""),"")</f>
        <v/>
      </c>
      <c r="F107" s="735" t="str">
        <f>IFERROR(INDEX(calc!$BB$15:$BB$251,calc!AO107),"")</f>
        <v/>
      </c>
      <c r="G107" s="736" t="str">
        <f>IFERROR(INDEX(calc!$AY$15:$AY$251,calc!AO107),"")</f>
        <v/>
      </c>
      <c r="H107" s="737" t="str">
        <f>IFERROR(INDEX(calc!$AZ$15:$AZ$251,calc!AO107),"")</f>
        <v/>
      </c>
      <c r="I107" s="911" t="str">
        <f>IFERROR(INDEX(calc!$BA$15:$BA$251,calc!AO107),"")</f>
        <v/>
      </c>
      <c r="J107" s="157"/>
      <c r="M107" s="965" t="str">
        <f>IFERROR(INDEX(calc!$AS$15:$AS$251,calc!AP107),"")</f>
        <v/>
      </c>
      <c r="N107" s="915" t="str">
        <f>IFERROR(IF(calc!AR107&lt;0,calc!AR107,""),"")</f>
        <v/>
      </c>
      <c r="O107" s="735" t="str">
        <f>IFERROR(INDEX(calc!$BB$15:$BB$251,calc!AP107),"")</f>
        <v/>
      </c>
      <c r="P107" s="738" t="str">
        <f>IFERROR(INDEX(calc!$AY$15:$AY$251,calc!AP107),"")</f>
        <v/>
      </c>
      <c r="Q107" s="737" t="str">
        <f>IFERROR(INDEX(calc!$AZ$15:$AZ$251,calc!AP107),"")</f>
        <v/>
      </c>
      <c r="R107" s="917" t="str">
        <f>IFERROR(INDEX(calc!$BA$15:$BA$251,calc!AP107),"")</f>
        <v/>
      </c>
      <c r="V107" s="157"/>
    </row>
    <row r="108" spans="3:22" ht="20.100000000000001" customHeight="1">
      <c r="C108" s="666">
        <f t="shared" si="5"/>
        <v>94</v>
      </c>
      <c r="D108" s="963" t="str">
        <f>IFERROR(INDEX(calc!$AS$15:$AS$251,calc!AO108),"")</f>
        <v/>
      </c>
      <c r="E108" s="907" t="str">
        <f>IFERROR(IF(calc!AQ108&gt;0,calc!AQ108,""),"")</f>
        <v/>
      </c>
      <c r="F108" s="735" t="str">
        <f>IFERROR(INDEX(calc!$BB$15:$BB$251,calc!AO108),"")</f>
        <v/>
      </c>
      <c r="G108" s="736" t="str">
        <f>IFERROR(INDEX(calc!$AY$15:$AY$251,calc!AO108),"")</f>
        <v/>
      </c>
      <c r="H108" s="737" t="str">
        <f>IFERROR(INDEX(calc!$AZ$15:$AZ$251,calc!AO108),"")</f>
        <v/>
      </c>
      <c r="I108" s="911" t="str">
        <f>IFERROR(INDEX(calc!$BA$15:$BA$251,calc!AO108),"")</f>
        <v/>
      </c>
      <c r="J108" s="157"/>
      <c r="M108" s="965" t="str">
        <f>IFERROR(INDEX(calc!$AS$15:$AS$251,calc!AP108),"")</f>
        <v/>
      </c>
      <c r="N108" s="915" t="str">
        <f>IFERROR(IF(calc!AR108&lt;0,calc!AR108,""),"")</f>
        <v/>
      </c>
      <c r="O108" s="735" t="str">
        <f>IFERROR(INDEX(calc!$BB$15:$BB$251,calc!AP108),"")</f>
        <v/>
      </c>
      <c r="P108" s="738" t="str">
        <f>IFERROR(INDEX(calc!$AY$15:$AY$251,calc!AP108),"")</f>
        <v/>
      </c>
      <c r="Q108" s="737" t="str">
        <f>IFERROR(INDEX(calc!$AZ$15:$AZ$251,calc!AP108),"")</f>
        <v/>
      </c>
      <c r="R108" s="917" t="str">
        <f>IFERROR(INDEX(calc!$BA$15:$BA$251,calc!AP108),"")</f>
        <v/>
      </c>
      <c r="V108" s="157"/>
    </row>
    <row r="109" spans="3:22" ht="20.100000000000001" customHeight="1">
      <c r="C109" s="666">
        <f t="shared" si="5"/>
        <v>95</v>
      </c>
      <c r="D109" s="963" t="str">
        <f>IFERROR(INDEX(calc!$AS$15:$AS$251,calc!AO109),"")</f>
        <v/>
      </c>
      <c r="E109" s="907" t="str">
        <f>IFERROR(IF(calc!AQ109&gt;0,calc!AQ109,""),"")</f>
        <v/>
      </c>
      <c r="F109" s="735" t="str">
        <f>IFERROR(INDEX(calc!$BB$15:$BB$251,calc!AO109),"")</f>
        <v/>
      </c>
      <c r="G109" s="736" t="str">
        <f>IFERROR(INDEX(calc!$AY$15:$AY$251,calc!AO109),"")</f>
        <v/>
      </c>
      <c r="H109" s="737" t="str">
        <f>IFERROR(INDEX(calc!$AZ$15:$AZ$251,calc!AO109),"")</f>
        <v/>
      </c>
      <c r="I109" s="911" t="str">
        <f>IFERROR(INDEX(calc!$BA$15:$BA$251,calc!AO109),"")</f>
        <v/>
      </c>
      <c r="J109" s="157"/>
      <c r="M109" s="965" t="str">
        <f>IFERROR(INDEX(calc!$AS$15:$AS$251,calc!AP109),"")</f>
        <v/>
      </c>
      <c r="N109" s="915" t="str">
        <f>IFERROR(IF(calc!AR109&lt;0,calc!AR109,""),"")</f>
        <v/>
      </c>
      <c r="O109" s="735" t="str">
        <f>IFERROR(INDEX(calc!$BB$15:$BB$251,calc!AP109),"")</f>
        <v/>
      </c>
      <c r="P109" s="738" t="str">
        <f>IFERROR(INDEX(calc!$AY$15:$AY$251,calc!AP109),"")</f>
        <v/>
      </c>
      <c r="Q109" s="737" t="str">
        <f>IFERROR(INDEX(calc!$AZ$15:$AZ$251,calc!AP109),"")</f>
        <v/>
      </c>
      <c r="R109" s="917" t="str">
        <f>IFERROR(INDEX(calc!$BA$15:$BA$251,calc!AP109),"")</f>
        <v/>
      </c>
      <c r="V109" s="157"/>
    </row>
    <row r="110" spans="3:22" ht="20.100000000000001" customHeight="1">
      <c r="C110" s="666">
        <f t="shared" si="5"/>
        <v>96</v>
      </c>
      <c r="D110" s="963" t="str">
        <f>IFERROR(INDEX(calc!$AS$15:$AS$251,calc!AO110),"")</f>
        <v/>
      </c>
      <c r="E110" s="907" t="str">
        <f>IFERROR(IF(calc!AQ110&gt;0,calc!AQ110,""),"")</f>
        <v/>
      </c>
      <c r="F110" s="735" t="str">
        <f>IFERROR(INDEX(calc!$BB$15:$BB$251,calc!AO110),"")</f>
        <v/>
      </c>
      <c r="G110" s="736" t="str">
        <f>IFERROR(INDEX(calc!$AY$15:$AY$251,calc!AO110),"")</f>
        <v/>
      </c>
      <c r="H110" s="737" t="str">
        <f>IFERROR(INDEX(calc!$AZ$15:$AZ$251,calc!AO110),"")</f>
        <v/>
      </c>
      <c r="I110" s="911" t="str">
        <f>IFERROR(INDEX(calc!$BA$15:$BA$251,calc!AO110),"")</f>
        <v/>
      </c>
      <c r="J110" s="157"/>
      <c r="M110" s="965" t="str">
        <f>IFERROR(INDEX(calc!$AS$15:$AS$251,calc!AP110),"")</f>
        <v/>
      </c>
      <c r="N110" s="915" t="str">
        <f>IFERROR(IF(calc!AR110&lt;0,calc!AR110,""),"")</f>
        <v/>
      </c>
      <c r="O110" s="735" t="str">
        <f>IFERROR(INDEX(calc!$BB$15:$BB$251,calc!AP110),"")</f>
        <v/>
      </c>
      <c r="P110" s="738" t="str">
        <f>IFERROR(INDEX(calc!$AY$15:$AY$251,calc!AP110),"")</f>
        <v/>
      </c>
      <c r="Q110" s="737" t="str">
        <f>IFERROR(INDEX(calc!$AZ$15:$AZ$251,calc!AP110),"")</f>
        <v/>
      </c>
      <c r="R110" s="917" t="str">
        <f>IFERROR(INDEX(calc!$BA$15:$BA$251,calc!AP110),"")</f>
        <v/>
      </c>
      <c r="V110" s="157"/>
    </row>
    <row r="111" spans="3:22" ht="20.100000000000001" customHeight="1">
      <c r="C111" s="666">
        <f t="shared" si="5"/>
        <v>97</v>
      </c>
      <c r="D111" s="963" t="str">
        <f>IFERROR(INDEX(calc!$AS$15:$AS$251,calc!AO111),"")</f>
        <v/>
      </c>
      <c r="E111" s="907" t="str">
        <f>IFERROR(IF(calc!AQ111&gt;0,calc!AQ111,""),"")</f>
        <v/>
      </c>
      <c r="F111" s="735" t="str">
        <f>IFERROR(INDEX(calc!$BB$15:$BB$251,calc!AO111),"")</f>
        <v/>
      </c>
      <c r="G111" s="736" t="str">
        <f>IFERROR(INDEX(calc!$AY$15:$AY$251,calc!AO111),"")</f>
        <v/>
      </c>
      <c r="H111" s="737" t="str">
        <f>IFERROR(INDEX(calc!$AZ$15:$AZ$251,calc!AO111),"")</f>
        <v/>
      </c>
      <c r="I111" s="911" t="str">
        <f>IFERROR(INDEX(calc!$BA$15:$BA$251,calc!AO111),"")</f>
        <v/>
      </c>
      <c r="J111" s="157"/>
      <c r="M111" s="965" t="str">
        <f>IFERROR(INDEX(calc!$AS$15:$AS$251,calc!AP111),"")</f>
        <v/>
      </c>
      <c r="N111" s="915" t="str">
        <f>IFERROR(IF(calc!AR111&lt;0,calc!AR111,""),"")</f>
        <v/>
      </c>
      <c r="O111" s="735" t="str">
        <f>IFERROR(INDEX(calc!$BB$15:$BB$251,calc!AP111),"")</f>
        <v/>
      </c>
      <c r="P111" s="738" t="str">
        <f>IFERROR(INDEX(calc!$AY$15:$AY$251,calc!AP111),"")</f>
        <v/>
      </c>
      <c r="Q111" s="737" t="str">
        <f>IFERROR(INDEX(calc!$AZ$15:$AZ$251,calc!AP111),"")</f>
        <v/>
      </c>
      <c r="R111" s="917" t="str">
        <f>IFERROR(INDEX(calc!$BA$15:$BA$251,calc!AP111),"")</f>
        <v/>
      </c>
      <c r="V111" s="157"/>
    </row>
    <row r="112" spans="3:22" ht="20.100000000000001" customHeight="1">
      <c r="C112" s="666">
        <f t="shared" si="5"/>
        <v>98</v>
      </c>
      <c r="D112" s="963" t="str">
        <f>IFERROR(INDEX(calc!$AS$15:$AS$251,calc!AO112),"")</f>
        <v/>
      </c>
      <c r="E112" s="907" t="str">
        <f>IFERROR(IF(calc!AQ112&gt;0,calc!AQ112,""),"")</f>
        <v/>
      </c>
      <c r="F112" s="735" t="str">
        <f>IFERROR(INDEX(calc!$BB$15:$BB$251,calc!AO112),"")</f>
        <v/>
      </c>
      <c r="G112" s="736" t="str">
        <f>IFERROR(INDEX(calc!$AY$15:$AY$251,calc!AO112),"")</f>
        <v/>
      </c>
      <c r="H112" s="737" t="str">
        <f>IFERROR(INDEX(calc!$AZ$15:$AZ$251,calc!AO112),"")</f>
        <v/>
      </c>
      <c r="I112" s="911" t="str">
        <f>IFERROR(INDEX(calc!$BA$15:$BA$251,calc!AO112),"")</f>
        <v/>
      </c>
      <c r="J112" s="157"/>
      <c r="M112" s="965" t="str">
        <f>IFERROR(INDEX(calc!$AS$15:$AS$251,calc!AP112),"")</f>
        <v/>
      </c>
      <c r="N112" s="915" t="str">
        <f>IFERROR(IF(calc!AR112&lt;0,calc!AR112,""),"")</f>
        <v/>
      </c>
      <c r="O112" s="735" t="str">
        <f>IFERROR(INDEX(calc!$BB$15:$BB$251,calc!AP112),"")</f>
        <v/>
      </c>
      <c r="P112" s="738" t="str">
        <f>IFERROR(INDEX(calc!$AY$15:$AY$251,calc!AP112),"")</f>
        <v/>
      </c>
      <c r="Q112" s="737" t="str">
        <f>IFERROR(INDEX(calc!$AZ$15:$AZ$251,calc!AP112),"")</f>
        <v/>
      </c>
      <c r="R112" s="917" t="str">
        <f>IFERROR(INDEX(calc!$BA$15:$BA$251,calc!AP112),"")</f>
        <v/>
      </c>
      <c r="V112" s="157"/>
    </row>
    <row r="113" spans="3:22" ht="20.100000000000001" customHeight="1">
      <c r="C113" s="666">
        <f t="shared" si="5"/>
        <v>99</v>
      </c>
      <c r="D113" s="963" t="str">
        <f>IFERROR(INDEX(calc!$AS$15:$AS$251,calc!AO113),"")</f>
        <v/>
      </c>
      <c r="E113" s="907" t="str">
        <f>IFERROR(IF(calc!AQ113&gt;0,calc!AQ113,""),"")</f>
        <v/>
      </c>
      <c r="F113" s="735" t="str">
        <f>IFERROR(INDEX(calc!$BB$15:$BB$251,calc!AO113),"")</f>
        <v/>
      </c>
      <c r="G113" s="736" t="str">
        <f>IFERROR(INDEX(calc!$AY$15:$AY$251,calc!AO113),"")</f>
        <v/>
      </c>
      <c r="H113" s="737" t="str">
        <f>IFERROR(INDEX(calc!$AZ$15:$AZ$251,calc!AO113),"")</f>
        <v/>
      </c>
      <c r="I113" s="911" t="str">
        <f>IFERROR(INDEX(calc!$BA$15:$BA$251,calc!AO113),"")</f>
        <v/>
      </c>
      <c r="J113" s="157"/>
      <c r="M113" s="965" t="str">
        <f>IFERROR(INDEX(calc!$AS$15:$AS$251,calc!AP113),"")</f>
        <v/>
      </c>
      <c r="N113" s="915" t="str">
        <f>IFERROR(IF(calc!AR113&lt;0,calc!AR113,""),"")</f>
        <v/>
      </c>
      <c r="O113" s="735" t="str">
        <f>IFERROR(INDEX(calc!$BB$15:$BB$251,calc!AP113),"")</f>
        <v/>
      </c>
      <c r="P113" s="738" t="str">
        <f>IFERROR(INDEX(calc!$AY$15:$AY$251,calc!AP113),"")</f>
        <v/>
      </c>
      <c r="Q113" s="737" t="str">
        <f>IFERROR(INDEX(calc!$AZ$15:$AZ$251,calc!AP113),"")</f>
        <v/>
      </c>
      <c r="R113" s="917" t="str">
        <f>IFERROR(INDEX(calc!$BA$15:$BA$251,calc!AP113),"")</f>
        <v/>
      </c>
      <c r="V113" s="157"/>
    </row>
    <row r="114" spans="3:22" ht="20.100000000000001" customHeight="1">
      <c r="C114" s="666">
        <f t="shared" si="5"/>
        <v>100</v>
      </c>
      <c r="D114" s="963" t="str">
        <f>IFERROR(INDEX(calc!$AS$15:$AS$251,calc!AO114),"")</f>
        <v/>
      </c>
      <c r="E114" s="907" t="str">
        <f>IFERROR(IF(calc!AQ114&gt;0,calc!AQ114,""),"")</f>
        <v/>
      </c>
      <c r="F114" s="735" t="str">
        <f>IFERROR(INDEX(calc!$BB$15:$BB$251,calc!AO114),"")</f>
        <v/>
      </c>
      <c r="G114" s="736" t="str">
        <f>IFERROR(INDEX(calc!$AY$15:$AY$251,calc!AO114),"")</f>
        <v/>
      </c>
      <c r="H114" s="737" t="str">
        <f>IFERROR(INDEX(calc!$AZ$15:$AZ$251,calc!AO114),"")</f>
        <v/>
      </c>
      <c r="I114" s="911" t="str">
        <f>IFERROR(INDEX(calc!$BA$15:$BA$251,calc!AO114),"")</f>
        <v/>
      </c>
      <c r="J114" s="157"/>
      <c r="M114" s="965" t="str">
        <f>IFERROR(INDEX(calc!$AS$15:$AS$251,calc!AP114),"")</f>
        <v/>
      </c>
      <c r="N114" s="915" t="str">
        <f>IFERROR(IF(calc!AR114&lt;0,calc!AR114,""),"")</f>
        <v/>
      </c>
      <c r="O114" s="735" t="str">
        <f>IFERROR(INDEX(calc!$BB$15:$BB$251,calc!AP114),"")</f>
        <v/>
      </c>
      <c r="P114" s="738" t="str">
        <f>IFERROR(INDEX(calc!$AY$15:$AY$251,calc!AP114),"")</f>
        <v/>
      </c>
      <c r="Q114" s="737" t="str">
        <f>IFERROR(INDEX(calc!$AZ$15:$AZ$251,calc!AP114),"")</f>
        <v/>
      </c>
      <c r="R114" s="917" t="str">
        <f>IFERROR(INDEX(calc!$BA$15:$BA$251,calc!AP114),"")</f>
        <v/>
      </c>
      <c r="V114" s="157"/>
    </row>
    <row r="115" spans="3:22" ht="20.100000000000001" hidden="1" customHeight="1">
      <c r="C115" s="78"/>
      <c r="D115" s="667"/>
      <c r="E115" s="908"/>
      <c r="F115" s="664"/>
      <c r="G115" s="664"/>
      <c r="H115" s="665"/>
      <c r="I115" s="912"/>
      <c r="J115" s="57"/>
      <c r="M115" s="663"/>
      <c r="N115" s="908"/>
      <c r="O115" s="664"/>
      <c r="P115" s="664"/>
      <c r="Q115" s="665"/>
      <c r="R115" s="918"/>
      <c r="V115" s="157"/>
    </row>
    <row r="116" spans="3:22" ht="20.100000000000001" hidden="1" customHeight="1">
      <c r="C116" s="130"/>
      <c r="D116" s="124"/>
      <c r="E116" s="909"/>
      <c r="F116" s="152"/>
      <c r="G116" s="152"/>
      <c r="H116" s="153"/>
      <c r="I116" s="913"/>
      <c r="J116" s="123"/>
      <c r="M116" s="154"/>
      <c r="N116" s="909"/>
      <c r="O116" s="152"/>
      <c r="P116" s="152"/>
      <c r="Q116" s="153"/>
      <c r="R116" s="919"/>
      <c r="V116" s="157"/>
    </row>
    <row r="117" spans="3:22" ht="20.100000000000001" customHeight="1">
      <c r="C117" s="157"/>
      <c r="D117" s="157"/>
      <c r="E117" s="157"/>
      <c r="F117" s="157"/>
      <c r="G117" s="157"/>
      <c r="H117" s="157"/>
      <c r="I117" s="157"/>
      <c r="J117" s="157"/>
      <c r="K117" s="157"/>
      <c r="L117" s="157"/>
      <c r="M117" s="157"/>
      <c r="N117" s="157"/>
      <c r="O117" s="157"/>
      <c r="P117" s="157"/>
      <c r="Q117" s="157"/>
      <c r="R117" s="157"/>
      <c r="S117" s="157"/>
      <c r="T117" s="157"/>
      <c r="U117" s="157"/>
      <c r="V117" s="157"/>
    </row>
    <row r="118" spans="3:22">
      <c r="C118" s="157"/>
      <c r="D118" s="157"/>
      <c r="E118" s="157"/>
      <c r="F118" s="157"/>
      <c r="G118" s="157"/>
      <c r="H118" s="157"/>
      <c r="I118" s="157"/>
      <c r="J118" s="157"/>
      <c r="K118" s="157"/>
      <c r="L118" s="157"/>
      <c r="M118" s="157"/>
      <c r="N118" s="157"/>
      <c r="O118" s="157"/>
      <c r="P118" s="157"/>
      <c r="Q118" s="157"/>
      <c r="R118" s="157"/>
      <c r="S118" s="157"/>
      <c r="T118" s="157"/>
      <c r="U118" s="157"/>
      <c r="V118" s="157"/>
    </row>
    <row r="119" spans="3:22">
      <c r="C119" s="157"/>
      <c r="D119" s="157"/>
      <c r="E119" s="157"/>
      <c r="F119" s="157"/>
      <c r="G119" s="157"/>
      <c r="H119" s="157"/>
      <c r="I119" s="157"/>
      <c r="J119" s="157"/>
      <c r="K119" s="157"/>
      <c r="L119" s="157"/>
      <c r="M119" s="157"/>
      <c r="N119" s="157"/>
      <c r="O119" s="157"/>
      <c r="P119" s="157"/>
      <c r="Q119" s="157"/>
      <c r="R119" s="157"/>
      <c r="S119" s="157"/>
      <c r="T119" s="157"/>
      <c r="U119" s="157"/>
      <c r="V119" s="157"/>
    </row>
    <row r="120" spans="3:22">
      <c r="C120" s="157"/>
      <c r="D120" s="157"/>
      <c r="E120" s="157"/>
      <c r="F120" s="157"/>
      <c r="G120" s="157"/>
      <c r="H120" s="157"/>
      <c r="I120" s="157"/>
      <c r="J120" s="157"/>
      <c r="K120" s="157"/>
      <c r="L120" s="157"/>
      <c r="M120" s="157"/>
      <c r="N120" s="157"/>
      <c r="O120" s="157"/>
      <c r="P120" s="157"/>
      <c r="Q120" s="157"/>
      <c r="R120" s="157"/>
      <c r="S120" s="157"/>
      <c r="T120" s="157"/>
      <c r="U120" s="157"/>
      <c r="V120" s="157"/>
    </row>
    <row r="121" spans="3:22">
      <c r="C121" s="157"/>
      <c r="D121" s="157"/>
      <c r="E121" s="157"/>
      <c r="F121" s="157"/>
      <c r="G121" s="157"/>
      <c r="H121" s="157"/>
      <c r="I121" s="157"/>
      <c r="J121" s="157"/>
      <c r="K121" s="157"/>
      <c r="L121" s="157"/>
      <c r="M121" s="157"/>
      <c r="N121" s="157"/>
      <c r="O121" s="157"/>
      <c r="P121" s="157"/>
      <c r="Q121" s="157"/>
      <c r="R121" s="157"/>
      <c r="S121" s="157"/>
      <c r="T121" s="157"/>
      <c r="U121" s="157"/>
      <c r="V121" s="157"/>
    </row>
    <row r="122" spans="3:22">
      <c r="C122" s="157"/>
      <c r="D122" s="157"/>
      <c r="E122" s="157"/>
      <c r="F122" s="157"/>
      <c r="G122" s="157"/>
      <c r="H122" s="157"/>
      <c r="I122" s="157"/>
      <c r="J122" s="157"/>
      <c r="K122" s="157"/>
      <c r="L122" s="157"/>
      <c r="M122" s="157"/>
      <c r="N122" s="157"/>
      <c r="O122" s="157"/>
      <c r="P122" s="157"/>
      <c r="Q122" s="157"/>
      <c r="R122" s="157"/>
      <c r="S122" s="157"/>
      <c r="T122" s="157"/>
      <c r="U122" s="157"/>
      <c r="V122" s="157"/>
    </row>
    <row r="123" spans="3:22">
      <c r="C123" s="157"/>
      <c r="D123" s="157"/>
      <c r="E123" s="157"/>
      <c r="F123" s="157"/>
      <c r="G123" s="157"/>
      <c r="H123" s="157"/>
      <c r="I123" s="157"/>
      <c r="J123" s="157"/>
      <c r="K123" s="157"/>
      <c r="L123" s="157"/>
      <c r="M123" s="157"/>
      <c r="N123" s="157"/>
      <c r="O123" s="157"/>
      <c r="P123" s="157"/>
      <c r="Q123" s="157"/>
      <c r="R123" s="157"/>
      <c r="S123" s="157"/>
      <c r="T123" s="157"/>
      <c r="U123" s="157"/>
      <c r="V123" s="157"/>
    </row>
    <row r="124" spans="3:22">
      <c r="C124" s="157"/>
      <c r="D124" s="157"/>
      <c r="E124" s="157"/>
      <c r="F124" s="157"/>
      <c r="G124" s="157"/>
      <c r="H124" s="157"/>
      <c r="I124" s="157"/>
      <c r="J124" s="157"/>
      <c r="K124" s="157"/>
      <c r="L124" s="157"/>
      <c r="M124" s="157"/>
      <c r="N124" s="157"/>
      <c r="O124" s="157"/>
      <c r="P124" s="157"/>
      <c r="Q124" s="157"/>
      <c r="R124" s="157"/>
      <c r="S124" s="157"/>
      <c r="T124" s="157"/>
      <c r="U124" s="157"/>
      <c r="V124" s="157"/>
    </row>
    <row r="125" spans="3:22">
      <c r="C125" s="157"/>
      <c r="D125" s="157"/>
      <c r="E125" s="157"/>
      <c r="F125" s="157"/>
      <c r="G125" s="157"/>
      <c r="H125" s="157"/>
      <c r="I125" s="157"/>
      <c r="J125" s="157"/>
      <c r="K125" s="157"/>
      <c r="L125" s="157"/>
      <c r="M125" s="157"/>
      <c r="N125" s="157"/>
      <c r="O125" s="157"/>
      <c r="P125" s="157"/>
      <c r="Q125" s="157"/>
      <c r="R125" s="157"/>
      <c r="S125" s="157"/>
      <c r="T125" s="157"/>
      <c r="U125" s="157"/>
      <c r="V125" s="157"/>
    </row>
    <row r="126" spans="3:22">
      <c r="C126" s="157"/>
      <c r="D126" s="157"/>
      <c r="E126" s="157"/>
      <c r="F126" s="157"/>
      <c r="G126" s="157"/>
      <c r="H126" s="157"/>
      <c r="I126" s="157"/>
      <c r="J126" s="157"/>
      <c r="K126" s="157"/>
      <c r="L126" s="157"/>
      <c r="M126" s="157"/>
      <c r="N126" s="157"/>
      <c r="O126" s="157"/>
      <c r="P126" s="157"/>
      <c r="Q126" s="157"/>
      <c r="R126" s="157"/>
      <c r="S126" s="157"/>
      <c r="T126" s="157"/>
      <c r="U126" s="157"/>
      <c r="V126" s="157"/>
    </row>
    <row r="127" spans="3:22">
      <c r="C127" s="157"/>
      <c r="D127" s="157"/>
      <c r="E127" s="157"/>
      <c r="F127" s="157"/>
      <c r="G127" s="157"/>
      <c r="H127" s="157"/>
      <c r="I127" s="157"/>
      <c r="J127" s="157"/>
      <c r="K127" s="157"/>
      <c r="L127" s="157"/>
      <c r="M127" s="157"/>
      <c r="N127" s="157"/>
      <c r="O127" s="157"/>
      <c r="P127" s="157"/>
      <c r="Q127" s="157"/>
      <c r="R127" s="157"/>
      <c r="S127" s="157"/>
      <c r="T127" s="157"/>
      <c r="U127" s="157"/>
      <c r="V127" s="157"/>
    </row>
  </sheetData>
  <sheetProtection algorithmName="SHA-512" hashValue="S1/6bT8X1qF0Nfc1CR0YkzE1Nhacc+zvODvKZa/WzUmFEG3z2thRnEOMB0+VnfPDLYFuAXS3l9gXWN0FpccQpQ==" saltValue="h7pAFhl+tHccuYI8k3pZig==" spinCount="100000" sheet="1" objects="1" scenarios="1" formatCells="0"/>
  <protectedRanges>
    <protectedRange sqref="G5:Q5 D14:R14 D4" name="text"/>
    <protectedRange sqref="W13" name="Range1"/>
  </protectedRanges>
  <conditionalFormatting sqref="H6:H10">
    <cfRule type="cellIs" dxfId="29" priority="21" operator="lessThan">
      <formula>0</formula>
    </cfRule>
  </conditionalFormatting>
  <conditionalFormatting sqref="E15:E114">
    <cfRule type="dataBar" priority="2">
      <dataBar>
        <cfvo type="min"/>
        <cfvo type="max"/>
        <color rgb="FF173630"/>
      </dataBar>
      <extLst>
        <ext xmlns:x14="http://schemas.microsoft.com/office/spreadsheetml/2009/9/main" uri="{B025F937-C7B1-47D3-B67F-A62EFF666E3E}">
          <x14:id>{E58014DC-467E-462C-8B56-D0DD985B8F15}</x14:id>
        </ext>
      </extLst>
    </cfRule>
  </conditionalFormatting>
  <conditionalFormatting sqref="N15:N114">
    <cfRule type="dataBar" priority="1">
      <dataBar>
        <cfvo type="min"/>
        <cfvo type="max"/>
        <color rgb="FF3C242C"/>
      </dataBar>
      <extLst>
        <ext xmlns:x14="http://schemas.microsoft.com/office/spreadsheetml/2009/9/main" uri="{B025F937-C7B1-47D3-B67F-A62EFF666E3E}">
          <x14:id>{63D323C4-452E-4D00-BDF6-BE2C0DED029E}</x14:id>
        </ext>
      </extLst>
    </cfRule>
  </conditionalFormatting>
  <pageMargins left="0.7" right="0.7" top="0.75" bottom="0.75" header="0.3" footer="0.3"/>
  <pageSetup orientation="landscape" verticalDpi="12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E58014DC-467E-462C-8B56-D0DD985B8F15}">
            <x14:dataBar minLength="0" maxLength="100" gradient="0">
              <x14:cfvo type="autoMin"/>
              <x14:cfvo type="autoMax"/>
              <x14:negativeFillColor rgb="FF3C242C"/>
              <x14:axisColor theme="0" tint="-0.14999847407452621"/>
            </x14:dataBar>
          </x14:cfRule>
          <xm:sqref>E15:E114</xm:sqref>
        </x14:conditionalFormatting>
        <x14:conditionalFormatting xmlns:xm="http://schemas.microsoft.com/office/excel/2006/main">
          <x14:cfRule type="dataBar" id="{63D323C4-452E-4D00-BDF6-BE2C0DED029E}">
            <x14:dataBar minLength="0" maxLength="100" gradient="0">
              <x14:cfvo type="autoMin"/>
              <x14:cfvo type="autoMax"/>
              <x14:negativeFillColor rgb="FF3C242C"/>
              <x14:axisColor theme="0" tint="-0.14999847407452621"/>
            </x14:dataBar>
          </x14:cfRule>
          <xm:sqref>N15:N114</xm:sqref>
        </x14:conditionalFormatting>
      </x14:conditionalFormattings>
    </ex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Dividends">
    <tabColor theme="6"/>
  </sheetPr>
  <dimension ref="A1:AN274"/>
  <sheetViews>
    <sheetView showGridLines="0" showRowColHeaders="0" topLeftCell="C1" zoomScaleNormal="100" workbookViewId="0">
      <pane ySplit="14" topLeftCell="A15" activePane="bottomLeft" state="frozen"/>
      <selection activeCell="D17" sqref="D17"/>
      <selection pane="bottomLeft" activeCell="H20" sqref="H20:J20"/>
    </sheetView>
  </sheetViews>
  <sheetFormatPr defaultColWidth="0" defaultRowHeight="15"/>
  <cols>
    <col min="1" max="2" width="3.42578125" hidden="1" customWidth="1"/>
    <col min="3" max="3" width="4.28515625" customWidth="1"/>
    <col min="4" max="6" width="19.140625" customWidth="1"/>
    <col min="7" max="7" width="20.5703125" customWidth="1"/>
    <col min="8" max="8" width="14.28515625" customWidth="1"/>
    <col min="9" max="9" width="19.5703125" customWidth="1"/>
    <col min="10" max="10" width="72.28515625" customWidth="1"/>
    <col min="11" max="11" width="90.7109375" customWidth="1"/>
    <col min="12" max="12" width="10.42578125" hidden="1" customWidth="1"/>
    <col min="13" max="15" width="8" hidden="1" customWidth="1"/>
    <col min="16" max="16" width="13" hidden="1" customWidth="1"/>
    <col min="17" max="16384" width="8" hidden="1"/>
  </cols>
  <sheetData>
    <row r="1" spans="1:40" ht="24.95" customHeight="1">
      <c r="A1" s="157"/>
      <c r="B1" s="157"/>
      <c r="C1" s="701"/>
      <c r="D1" s="675"/>
      <c r="E1" s="675"/>
      <c r="F1" s="676"/>
      <c r="G1" s="676"/>
      <c r="H1" s="676"/>
      <c r="I1" s="676"/>
      <c r="J1" s="676"/>
      <c r="K1" s="698"/>
    </row>
    <row r="2" spans="1:40" ht="3.75" customHeight="1">
      <c r="A2" s="157"/>
      <c r="B2" s="157"/>
      <c r="C2" s="702"/>
      <c r="D2" s="675"/>
      <c r="E2" s="675"/>
      <c r="F2" s="676"/>
      <c r="G2" s="676"/>
      <c r="H2" s="676"/>
      <c r="I2" s="676"/>
      <c r="J2" s="676"/>
      <c r="K2" s="698"/>
    </row>
    <row r="3" spans="1:40" ht="14.1" hidden="1" customHeight="1">
      <c r="A3" s="157"/>
      <c r="B3" s="157"/>
      <c r="C3" s="702"/>
      <c r="D3" s="12"/>
      <c r="E3" s="12"/>
      <c r="F3" s="13"/>
      <c r="G3" s="13"/>
      <c r="H3" s="13"/>
      <c r="I3" s="13"/>
      <c r="K3" s="698"/>
    </row>
    <row r="4" spans="1:40" ht="15" customHeight="1">
      <c r="A4" s="157"/>
      <c r="B4" s="157"/>
      <c r="C4" s="858"/>
      <c r="D4" s="681"/>
      <c r="E4" s="289"/>
      <c r="F4" s="289"/>
      <c r="G4" s="1013" t="s">
        <v>371</v>
      </c>
      <c r="H4" s="1013" t="s">
        <v>519</v>
      </c>
      <c r="I4" s="1013" t="s">
        <v>520</v>
      </c>
      <c r="J4" s="289"/>
      <c r="K4" s="157"/>
    </row>
    <row r="5" spans="1:40" ht="18" customHeight="1">
      <c r="A5" s="157"/>
      <c r="B5" s="157"/>
      <c r="C5" s="858" t="str">
        <f>"d"&amp;COUNT(G15:G1472)+15</f>
        <v>d16</v>
      </c>
      <c r="D5" s="681"/>
      <c r="E5" s="289"/>
      <c r="F5" s="289"/>
      <c r="G5" s="856" t="s">
        <v>518</v>
      </c>
      <c r="H5" s="706">
        <f>COUNTA(D15:D174)</f>
        <v>1</v>
      </c>
      <c r="I5" s="938">
        <f>SUMIF(E15:E274,"cash",G15:G274)</f>
        <v>5555</v>
      </c>
      <c r="J5" s="289"/>
      <c r="K5" s="157"/>
      <c r="L5" t="s">
        <v>42</v>
      </c>
      <c r="AN5" t="str">
        <f>Settings!T3</f>
        <v>Php</v>
      </c>
    </row>
    <row r="6" spans="1:40" ht="18" customHeight="1">
      <c r="A6" s="157"/>
      <c r="B6" s="157"/>
      <c r="C6" s="702"/>
      <c r="D6" s="707"/>
      <c r="E6" s="289"/>
      <c r="F6" s="289"/>
      <c r="G6" s="857" t="str">
        <f>IFERROR(INDEX($D$15:$D$174,T15),"")</f>
        <v>X</v>
      </c>
      <c r="H6" s="708">
        <f>IF(G6="","",COUNTIF($D$15:$D$174,G6))</f>
        <v>1</v>
      </c>
      <c r="I6" s="939">
        <f>IFERROR(INDEX($Q$15:$Q$174,T15),"")</f>
        <v>5555</v>
      </c>
      <c r="J6" s="289"/>
      <c r="K6" s="673"/>
      <c r="L6" t="s">
        <v>4</v>
      </c>
    </row>
    <row r="7" spans="1:40" ht="18" customHeight="1">
      <c r="A7" s="157"/>
      <c r="B7" s="157"/>
      <c r="C7" s="702"/>
      <c r="D7" s="289"/>
      <c r="E7" s="289"/>
      <c r="F7" s="289"/>
      <c r="G7" s="857" t="str">
        <f>IFERROR(INDEX($D$15:$D$174,T16),"")</f>
        <v/>
      </c>
      <c r="H7" s="708" t="str">
        <f>IF(G7="","",COUNTIF($D$15:$D$174,G7))</f>
        <v/>
      </c>
      <c r="I7" s="939" t="str">
        <f>IFERROR(INDEX($Q$15:$Q$174,T16),"")</f>
        <v/>
      </c>
      <c r="J7" s="289"/>
      <c r="K7" s="673"/>
    </row>
    <row r="8" spans="1:40" ht="18" customHeight="1">
      <c r="A8" s="157"/>
      <c r="B8" s="157"/>
      <c r="C8" s="702"/>
      <c r="D8" s="681"/>
      <c r="E8" s="289"/>
      <c r="F8" s="289"/>
      <c r="G8" s="857" t="str">
        <f>IFERROR(INDEX($D$15:$D$174,T17),"")</f>
        <v/>
      </c>
      <c r="H8" s="708" t="str">
        <f>IF(G8="","",COUNTIF($D$15:$D$174,G8))</f>
        <v/>
      </c>
      <c r="I8" s="939" t="str">
        <f>IFERROR(INDEX($Q$15:$Q$174,T17),"")</f>
        <v/>
      </c>
      <c r="J8" s="289"/>
      <c r="K8" s="673"/>
    </row>
    <row r="9" spans="1:40" ht="18" customHeight="1">
      <c r="A9" s="157"/>
      <c r="B9" s="157"/>
      <c r="C9" s="702"/>
      <c r="D9" s="681"/>
      <c r="E9" s="289"/>
      <c r="F9" s="289"/>
      <c r="G9" s="857" t="str">
        <f>IFERROR(INDEX($D$15:$D$174,T18),"")</f>
        <v/>
      </c>
      <c r="H9" s="708" t="str">
        <f>IF(G9="","",COUNTIF($D$15:$D$174,G9))</f>
        <v/>
      </c>
      <c r="I9" s="939" t="str">
        <f>IFERROR(INDEX($Q$15:$Q$174,T18),"")</f>
        <v/>
      </c>
      <c r="J9" s="289"/>
      <c r="K9" s="712"/>
    </row>
    <row r="10" spans="1:40" ht="18" customHeight="1">
      <c r="A10" s="157"/>
      <c r="B10" s="157"/>
      <c r="C10" s="702"/>
      <c r="D10" s="687"/>
      <c r="E10" s="289"/>
      <c r="F10" s="289"/>
      <c r="G10" s="857" t="str">
        <f>IFERROR(INDEX($D$15:$D$174,T19),"")</f>
        <v/>
      </c>
      <c r="H10" s="708" t="str">
        <f>IF(G10="","",COUNTIF($D$15:$D$174,G10))</f>
        <v/>
      </c>
      <c r="I10" s="939" t="str">
        <f>IFERROR(INDEX($Q$15:$Q$174,T19),"")</f>
        <v/>
      </c>
      <c r="J10" s="289"/>
      <c r="K10" s="712"/>
    </row>
    <row r="11" spans="1:40" ht="6" customHeight="1">
      <c r="A11" s="157"/>
      <c r="B11" s="157"/>
      <c r="C11" s="702"/>
      <c r="D11" s="689"/>
      <c r="E11" s="709"/>
      <c r="F11" s="710"/>
      <c r="G11" s="711"/>
      <c r="H11" s="711"/>
      <c r="I11" s="711"/>
      <c r="J11" s="688"/>
      <c r="K11" s="712"/>
    </row>
    <row r="12" spans="1:40" ht="5.25" hidden="1" customHeight="1">
      <c r="A12" s="157"/>
      <c r="B12" s="157"/>
      <c r="C12" s="703"/>
      <c r="D12" s="8"/>
      <c r="E12" s="8"/>
      <c r="F12" s="9"/>
      <c r="G12" s="8"/>
      <c r="H12" s="8"/>
      <c r="I12" s="8"/>
      <c r="J12" s="8"/>
      <c r="K12" s="712"/>
    </row>
    <row r="13" spans="1:40" ht="5.0999999999999996" customHeight="1">
      <c r="A13" s="157"/>
      <c r="B13" s="157"/>
      <c r="C13" s="704"/>
      <c r="D13" s="699"/>
      <c r="E13" s="699"/>
      <c r="F13" s="699"/>
      <c r="G13" s="699"/>
      <c r="H13" s="699"/>
      <c r="I13" s="699"/>
      <c r="J13" s="699"/>
      <c r="K13" s="712"/>
    </row>
    <row r="14" spans="1:40" ht="21.95" customHeight="1">
      <c r="A14" s="157"/>
      <c r="B14" s="157"/>
      <c r="C14" s="705"/>
      <c r="D14" s="975" t="s">
        <v>371</v>
      </c>
      <c r="E14" s="975" t="s">
        <v>416</v>
      </c>
      <c r="F14" s="975" t="s">
        <v>516</v>
      </c>
      <c r="G14" s="975" t="s">
        <v>517</v>
      </c>
      <c r="H14" s="1115" t="s">
        <v>417</v>
      </c>
      <c r="I14" s="1115"/>
      <c r="J14" s="1115"/>
      <c r="K14" s="700"/>
      <c r="L14">
        <f>'Bank Transfers'!D15</f>
        <v>42981</v>
      </c>
      <c r="N14" t="s">
        <v>149</v>
      </c>
      <c r="Q14" t="s">
        <v>213</v>
      </c>
      <c r="R14" t="s">
        <v>514</v>
      </c>
      <c r="S14" t="s">
        <v>515</v>
      </c>
      <c r="T14" t="s">
        <v>489</v>
      </c>
    </row>
    <row r="15" spans="1:40" ht="20.100000000000001" customHeight="1">
      <c r="C15" s="666">
        <v>1</v>
      </c>
      <c r="D15" s="696" t="s">
        <v>0</v>
      </c>
      <c r="E15" s="696" t="s">
        <v>42</v>
      </c>
      <c r="F15" s="697">
        <v>43038</v>
      </c>
      <c r="G15" s="935">
        <v>5555</v>
      </c>
      <c r="H15" s="1112"/>
      <c r="I15" s="1112"/>
      <c r="J15" s="1112"/>
      <c r="K15" s="713"/>
      <c r="L15">
        <f t="shared" ref="L15:L16" si="0">DATE(YEAR(F15),MONTH(F15),DAY(1))</f>
        <v>43009</v>
      </c>
      <c r="M15">
        <f>COUNTIFS('Trade Log'!$D$14:$D$25863,"&lt;"&amp;F15,'Trade Log'!$D$14:$D$25863,"&gt;="&amp;L14)</f>
        <v>47</v>
      </c>
      <c r="N15">
        <f>M15</f>
        <v>47</v>
      </c>
      <c r="O15">
        <f>IF(D15="","",COUNTIF($D$15:D15,"="&amp;D15))</f>
        <v>1</v>
      </c>
      <c r="P15">
        <v>1.0000000000000001E-5</v>
      </c>
      <c r="Q15">
        <f t="shared" ref="Q15:Q46" si="1">SUMIF($D$15:$D$174,D15,$G$15:$G$174)</f>
        <v>5555</v>
      </c>
      <c r="R15">
        <f t="shared" ref="R15:R17" si="2">IF(O15&gt;1,"",Q15+P15)</f>
        <v>5555.0000099999997</v>
      </c>
      <c r="S15">
        <f t="shared" ref="S15:S46" si="3">LARGE($R$15:$R$174,C15)</f>
        <v>5555.0000099999997</v>
      </c>
      <c r="T15">
        <f>MATCH(S15,$R$15:$R$174,0)</f>
        <v>1</v>
      </c>
    </row>
    <row r="16" spans="1:40" ht="20.100000000000001" customHeight="1">
      <c r="C16" s="666">
        <f>C15+1</f>
        <v>2</v>
      </c>
      <c r="D16" s="696"/>
      <c r="E16" s="696"/>
      <c r="F16" s="697"/>
      <c r="G16" s="935"/>
      <c r="H16" s="1112"/>
      <c r="I16" s="1112"/>
      <c r="J16" s="1112"/>
      <c r="K16" s="713"/>
      <c r="L16">
        <f t="shared" si="0"/>
        <v>1</v>
      </c>
      <c r="M16">
        <f>COUNTIFS('Trade Log'!$D$14:$D$25863,"&lt;"&amp;F16,'Trade Log'!$D$14:$D$25863,"&gt;="&amp;F15)</f>
        <v>0</v>
      </c>
      <c r="N16">
        <f>M16+N15</f>
        <v>47</v>
      </c>
      <c r="O16" t="str">
        <f>IF(D16="","",COUNTIF($D$15:D16,"="&amp;D16))</f>
        <v/>
      </c>
      <c r="P16">
        <f>P15+0.00001</f>
        <v>2.0000000000000002E-5</v>
      </c>
      <c r="Q16">
        <f t="shared" si="1"/>
        <v>0</v>
      </c>
      <c r="R16" t="str">
        <f t="shared" si="2"/>
        <v/>
      </c>
      <c r="S16" t="e">
        <f t="shared" si="3"/>
        <v>#NUM!</v>
      </c>
      <c r="T16" t="e">
        <f t="shared" ref="T16:T79" si="4">MATCH(S16,$R$15:$R$174,0)</f>
        <v>#NUM!</v>
      </c>
    </row>
    <row r="17" spans="3:20" ht="20.100000000000001" customHeight="1">
      <c r="C17" s="666">
        <f t="shared" ref="C17:C80" si="5">C16+1</f>
        <v>3</v>
      </c>
      <c r="D17" s="696"/>
      <c r="E17" s="696"/>
      <c r="F17" s="697"/>
      <c r="G17" s="935"/>
      <c r="H17" s="1112"/>
      <c r="I17" s="1112"/>
      <c r="J17" s="1112"/>
      <c r="K17" s="713"/>
      <c r="L17">
        <f>DATE(YEAR(F17),MONTH(F17),DAY(1))</f>
        <v>1</v>
      </c>
      <c r="M17">
        <f>COUNTIFS('Trade Log'!$D$14:$D$25863,"&lt;"&amp;F17,'Trade Log'!$D$14:$D$25863,"&gt;="&amp;F16)</f>
        <v>0</v>
      </c>
      <c r="N17">
        <f t="shared" ref="N17:N80" si="6">M17+N16</f>
        <v>47</v>
      </c>
      <c r="O17" t="str">
        <f>IF(D17="","",COUNTIF($D$15:D17,"="&amp;D17))</f>
        <v/>
      </c>
      <c r="P17">
        <f t="shared" ref="P17:P80" si="7">P16+0.00001</f>
        <v>3.0000000000000004E-5</v>
      </c>
      <c r="Q17">
        <f t="shared" si="1"/>
        <v>0</v>
      </c>
      <c r="R17" t="str">
        <f t="shared" si="2"/>
        <v/>
      </c>
      <c r="S17" t="e">
        <f t="shared" si="3"/>
        <v>#NUM!</v>
      </c>
      <c r="T17" t="e">
        <f t="shared" si="4"/>
        <v>#NUM!</v>
      </c>
    </row>
    <row r="18" spans="3:20" ht="20.100000000000001" customHeight="1">
      <c r="C18" s="666">
        <f t="shared" si="5"/>
        <v>4</v>
      </c>
      <c r="D18" s="696"/>
      <c r="E18" s="696"/>
      <c r="F18" s="697"/>
      <c r="G18" s="935"/>
      <c r="H18" s="1112"/>
      <c r="I18" s="1112"/>
      <c r="J18" s="1112"/>
      <c r="K18" s="713"/>
      <c r="L18">
        <f t="shared" ref="L18:L81" si="8">DATE(YEAR(F18),MONTH(F18),DAY(1))</f>
        <v>1</v>
      </c>
      <c r="M18">
        <f>COUNTIFS('Trade Log'!$D$14:$D$25863,"&lt;"&amp;F18,'Trade Log'!$D$14:$D$25863,"&gt;="&amp;F17)</f>
        <v>0</v>
      </c>
      <c r="N18">
        <f t="shared" si="6"/>
        <v>47</v>
      </c>
      <c r="O18" t="str">
        <f>IF(D18="","",COUNTIF($D$15:D18,"="&amp;D18))</f>
        <v/>
      </c>
      <c r="P18">
        <f t="shared" si="7"/>
        <v>4.0000000000000003E-5</v>
      </c>
      <c r="Q18">
        <f t="shared" si="1"/>
        <v>0</v>
      </c>
      <c r="R18" t="str">
        <f>IF(O18&gt;1,"",Q18+P18)</f>
        <v/>
      </c>
      <c r="S18" t="e">
        <f t="shared" si="3"/>
        <v>#NUM!</v>
      </c>
      <c r="T18" t="e">
        <f t="shared" si="4"/>
        <v>#NUM!</v>
      </c>
    </row>
    <row r="19" spans="3:20" ht="20.100000000000001" customHeight="1">
      <c r="C19" s="666">
        <f t="shared" si="5"/>
        <v>5</v>
      </c>
      <c r="D19" s="696"/>
      <c r="E19" s="696"/>
      <c r="F19" s="697"/>
      <c r="G19" s="935"/>
      <c r="H19" s="1112"/>
      <c r="I19" s="1112"/>
      <c r="J19" s="1112"/>
      <c r="K19" s="713"/>
      <c r="L19">
        <f t="shared" si="8"/>
        <v>1</v>
      </c>
      <c r="M19">
        <f>COUNTIFS('Trade Log'!$D$14:$D$25863,"&lt;"&amp;F19,'Trade Log'!$D$14:$D$25863,"&gt;="&amp;F18)</f>
        <v>0</v>
      </c>
      <c r="N19">
        <f t="shared" si="6"/>
        <v>47</v>
      </c>
      <c r="O19" t="str">
        <f>IF(D19="","",COUNTIF($D$15:D19,"="&amp;D19))</f>
        <v/>
      </c>
      <c r="P19">
        <f t="shared" si="7"/>
        <v>5.0000000000000002E-5</v>
      </c>
      <c r="Q19">
        <f t="shared" si="1"/>
        <v>0</v>
      </c>
      <c r="R19" t="str">
        <f t="shared" ref="R19:R82" si="9">IF(O19&gt;1,"",Q19+P19)</f>
        <v/>
      </c>
      <c r="S19" t="e">
        <f t="shared" si="3"/>
        <v>#NUM!</v>
      </c>
      <c r="T19" t="e">
        <f t="shared" si="4"/>
        <v>#NUM!</v>
      </c>
    </row>
    <row r="20" spans="3:20" ht="20.100000000000001" customHeight="1">
      <c r="C20" s="666">
        <f t="shared" si="5"/>
        <v>6</v>
      </c>
      <c r="D20" s="696"/>
      <c r="E20" s="696"/>
      <c r="F20" s="697"/>
      <c r="G20" s="935"/>
      <c r="H20" s="1112"/>
      <c r="I20" s="1112"/>
      <c r="J20" s="1112"/>
      <c r="K20" s="713"/>
      <c r="L20">
        <f t="shared" si="8"/>
        <v>1</v>
      </c>
      <c r="M20">
        <f>COUNTIFS('Trade Log'!$D$14:$D$25863,"&lt;"&amp;F20,'Trade Log'!$D$14:$D$25863,"&gt;="&amp;F19)</f>
        <v>0</v>
      </c>
      <c r="N20">
        <f t="shared" si="6"/>
        <v>47</v>
      </c>
      <c r="O20" t="str">
        <f>IF(D20="","",COUNTIF($D$15:D20,"="&amp;D20))</f>
        <v/>
      </c>
      <c r="P20">
        <f t="shared" si="7"/>
        <v>6.0000000000000002E-5</v>
      </c>
      <c r="Q20">
        <f t="shared" si="1"/>
        <v>0</v>
      </c>
      <c r="R20" t="str">
        <f t="shared" si="9"/>
        <v/>
      </c>
      <c r="S20" t="e">
        <f t="shared" si="3"/>
        <v>#NUM!</v>
      </c>
      <c r="T20" t="e">
        <f t="shared" si="4"/>
        <v>#NUM!</v>
      </c>
    </row>
    <row r="21" spans="3:20" ht="20.100000000000001" customHeight="1">
      <c r="C21" s="666">
        <f t="shared" si="5"/>
        <v>7</v>
      </c>
      <c r="D21" s="696"/>
      <c r="E21" s="696"/>
      <c r="F21" s="697"/>
      <c r="G21" s="935"/>
      <c r="H21" s="1112"/>
      <c r="I21" s="1112"/>
      <c r="J21" s="1112"/>
      <c r="K21" s="713"/>
      <c r="L21">
        <f t="shared" si="8"/>
        <v>1</v>
      </c>
      <c r="M21">
        <f>COUNTIFS('Trade Log'!$D$14:$D$25863,"&lt;"&amp;F21,'Trade Log'!$D$14:$D$25863,"&gt;="&amp;F20)</f>
        <v>0</v>
      </c>
      <c r="N21">
        <f t="shared" si="6"/>
        <v>47</v>
      </c>
      <c r="O21" t="str">
        <f>IF(D21="","",COUNTIF($D$15:D21,"="&amp;D21))</f>
        <v/>
      </c>
      <c r="P21">
        <f t="shared" si="7"/>
        <v>7.0000000000000007E-5</v>
      </c>
      <c r="Q21">
        <f t="shared" si="1"/>
        <v>0</v>
      </c>
      <c r="R21" t="str">
        <f t="shared" si="9"/>
        <v/>
      </c>
      <c r="S21" t="e">
        <f t="shared" si="3"/>
        <v>#NUM!</v>
      </c>
      <c r="T21" t="e">
        <f t="shared" si="4"/>
        <v>#NUM!</v>
      </c>
    </row>
    <row r="22" spans="3:20" ht="20.100000000000001" customHeight="1">
      <c r="C22" s="666">
        <f t="shared" si="5"/>
        <v>8</v>
      </c>
      <c r="D22" s="696"/>
      <c r="E22" s="696"/>
      <c r="F22" s="697"/>
      <c r="G22" s="935"/>
      <c r="H22" s="1112"/>
      <c r="I22" s="1112"/>
      <c r="J22" s="1112"/>
      <c r="K22" s="713"/>
      <c r="L22">
        <f t="shared" si="8"/>
        <v>1</v>
      </c>
      <c r="M22">
        <f>COUNTIFS('Trade Log'!$D$14:$D$25863,"&lt;"&amp;F22,'Trade Log'!$D$14:$D$25863,"&gt;="&amp;F21)</f>
        <v>0</v>
      </c>
      <c r="N22">
        <f t="shared" si="6"/>
        <v>47</v>
      </c>
      <c r="O22" t="str">
        <f>IF(D22="","",COUNTIF($D$15:D22,"="&amp;D22))</f>
        <v/>
      </c>
      <c r="P22">
        <f t="shared" si="7"/>
        <v>8.0000000000000007E-5</v>
      </c>
      <c r="Q22">
        <f t="shared" si="1"/>
        <v>0</v>
      </c>
      <c r="R22" t="str">
        <f t="shared" si="9"/>
        <v/>
      </c>
      <c r="S22" t="e">
        <f t="shared" si="3"/>
        <v>#NUM!</v>
      </c>
      <c r="T22" t="e">
        <f t="shared" si="4"/>
        <v>#NUM!</v>
      </c>
    </row>
    <row r="23" spans="3:20" ht="20.100000000000001" customHeight="1">
      <c r="C23" s="666">
        <f t="shared" si="5"/>
        <v>9</v>
      </c>
      <c r="D23" s="696"/>
      <c r="E23" s="696"/>
      <c r="F23" s="697"/>
      <c r="G23" s="935"/>
      <c r="H23" s="1112"/>
      <c r="I23" s="1112"/>
      <c r="J23" s="1112"/>
      <c r="K23" s="713"/>
      <c r="L23">
        <f t="shared" si="8"/>
        <v>1</v>
      </c>
      <c r="M23">
        <f>COUNTIFS('Trade Log'!$D$14:$D$25863,"&lt;"&amp;F23,'Trade Log'!$D$14:$D$25863,"&gt;="&amp;F22)</f>
        <v>0</v>
      </c>
      <c r="N23">
        <f t="shared" si="6"/>
        <v>47</v>
      </c>
      <c r="O23" t="str">
        <f>IF(D23="","",COUNTIF($D$15:D23,"="&amp;D23))</f>
        <v/>
      </c>
      <c r="P23">
        <f t="shared" si="7"/>
        <v>9.0000000000000006E-5</v>
      </c>
      <c r="Q23">
        <f t="shared" si="1"/>
        <v>0</v>
      </c>
      <c r="R23" t="str">
        <f t="shared" si="9"/>
        <v/>
      </c>
      <c r="S23" t="e">
        <f t="shared" si="3"/>
        <v>#NUM!</v>
      </c>
      <c r="T23" t="e">
        <f t="shared" si="4"/>
        <v>#NUM!</v>
      </c>
    </row>
    <row r="24" spans="3:20" ht="20.100000000000001" customHeight="1">
      <c r="C24" s="666">
        <f t="shared" si="5"/>
        <v>10</v>
      </c>
      <c r="D24" s="696"/>
      <c r="E24" s="696"/>
      <c r="F24" s="697"/>
      <c r="G24" s="935"/>
      <c r="H24" s="1112"/>
      <c r="I24" s="1112"/>
      <c r="J24" s="1112"/>
      <c r="K24" s="713"/>
      <c r="L24">
        <f t="shared" si="8"/>
        <v>1</v>
      </c>
      <c r="M24">
        <f>COUNTIFS('Trade Log'!$D$14:$D$25863,"&lt;"&amp;F24,'Trade Log'!$D$14:$D$25863,"&gt;="&amp;F23)</f>
        <v>0</v>
      </c>
      <c r="N24">
        <f t="shared" si="6"/>
        <v>47</v>
      </c>
      <c r="O24" t="str">
        <f>IF(D24="","",COUNTIF($D$15:D24,"="&amp;D24))</f>
        <v/>
      </c>
      <c r="P24">
        <f t="shared" si="7"/>
        <v>1E-4</v>
      </c>
      <c r="Q24">
        <f t="shared" si="1"/>
        <v>0</v>
      </c>
      <c r="R24" t="str">
        <f t="shared" si="9"/>
        <v/>
      </c>
      <c r="S24" t="e">
        <f t="shared" si="3"/>
        <v>#NUM!</v>
      </c>
      <c r="T24" t="e">
        <f t="shared" si="4"/>
        <v>#NUM!</v>
      </c>
    </row>
    <row r="25" spans="3:20" ht="20.100000000000001" customHeight="1">
      <c r="C25" s="666">
        <f t="shared" si="5"/>
        <v>11</v>
      </c>
      <c r="D25" s="696"/>
      <c r="E25" s="696"/>
      <c r="F25" s="697"/>
      <c r="G25" s="935"/>
      <c r="H25" s="1112"/>
      <c r="I25" s="1112"/>
      <c r="J25" s="1112"/>
      <c r="K25" s="713"/>
      <c r="L25">
        <f t="shared" si="8"/>
        <v>1</v>
      </c>
      <c r="M25">
        <f>COUNTIFS('Trade Log'!$D$14:$D$25863,"&lt;"&amp;F25,'Trade Log'!$D$14:$D$25863,"&gt;="&amp;F24)</f>
        <v>0</v>
      </c>
      <c r="N25">
        <f t="shared" si="6"/>
        <v>47</v>
      </c>
      <c r="O25" t="str">
        <f>IF(D25="","",COUNTIF($D$15:D25,"="&amp;D25))</f>
        <v/>
      </c>
      <c r="P25">
        <f t="shared" si="7"/>
        <v>1.1E-4</v>
      </c>
      <c r="Q25">
        <f t="shared" si="1"/>
        <v>0</v>
      </c>
      <c r="R25" t="str">
        <f t="shared" si="9"/>
        <v/>
      </c>
      <c r="S25" t="e">
        <f t="shared" si="3"/>
        <v>#NUM!</v>
      </c>
      <c r="T25" t="e">
        <f t="shared" si="4"/>
        <v>#NUM!</v>
      </c>
    </row>
    <row r="26" spans="3:20" ht="20.100000000000001" customHeight="1">
      <c r="C26" s="666">
        <f t="shared" si="5"/>
        <v>12</v>
      </c>
      <c r="D26" s="696"/>
      <c r="E26" s="696"/>
      <c r="F26" s="697"/>
      <c r="G26" s="935"/>
      <c r="H26" s="1112"/>
      <c r="I26" s="1112"/>
      <c r="J26" s="1112"/>
      <c r="K26" s="713"/>
      <c r="L26">
        <f t="shared" si="8"/>
        <v>1</v>
      </c>
      <c r="M26">
        <f>COUNTIFS('Trade Log'!$D$14:$D$25863,"&lt;"&amp;F26,'Trade Log'!$D$14:$D$25863,"&gt;="&amp;F25)</f>
        <v>0</v>
      </c>
      <c r="N26">
        <f t="shared" si="6"/>
        <v>47</v>
      </c>
      <c r="O26" t="str">
        <f>IF(D26="","",COUNTIF($D$15:D26,"="&amp;D26))</f>
        <v/>
      </c>
      <c r="P26">
        <f t="shared" si="7"/>
        <v>1.2E-4</v>
      </c>
      <c r="Q26">
        <f t="shared" si="1"/>
        <v>0</v>
      </c>
      <c r="R26" t="str">
        <f t="shared" si="9"/>
        <v/>
      </c>
      <c r="S26" t="e">
        <f t="shared" si="3"/>
        <v>#NUM!</v>
      </c>
      <c r="T26" t="e">
        <f t="shared" si="4"/>
        <v>#NUM!</v>
      </c>
    </row>
    <row r="27" spans="3:20" ht="20.100000000000001" customHeight="1">
      <c r="C27" s="666">
        <f t="shared" si="5"/>
        <v>13</v>
      </c>
      <c r="D27" s="696"/>
      <c r="E27" s="696"/>
      <c r="F27" s="697"/>
      <c r="G27" s="935"/>
      <c r="H27" s="1112"/>
      <c r="I27" s="1112"/>
      <c r="J27" s="1112"/>
      <c r="K27" s="713"/>
      <c r="L27">
        <f t="shared" si="8"/>
        <v>1</v>
      </c>
      <c r="M27">
        <f>COUNTIFS('Trade Log'!$D$14:$D$25863,"&lt;"&amp;F27,'Trade Log'!$D$14:$D$25863,"&gt;="&amp;F26)</f>
        <v>0</v>
      </c>
      <c r="N27">
        <f t="shared" si="6"/>
        <v>47</v>
      </c>
      <c r="O27" t="str">
        <f>IF(D27="","",COUNTIF($D$15:D27,"="&amp;D27))</f>
        <v/>
      </c>
      <c r="P27">
        <f t="shared" si="7"/>
        <v>1.3000000000000002E-4</v>
      </c>
      <c r="Q27">
        <f t="shared" si="1"/>
        <v>0</v>
      </c>
      <c r="R27" t="str">
        <f t="shared" si="9"/>
        <v/>
      </c>
      <c r="S27" t="e">
        <f t="shared" si="3"/>
        <v>#NUM!</v>
      </c>
      <c r="T27" t="e">
        <f t="shared" si="4"/>
        <v>#NUM!</v>
      </c>
    </row>
    <row r="28" spans="3:20" ht="20.100000000000001" customHeight="1">
      <c r="C28" s="666">
        <f t="shared" si="5"/>
        <v>14</v>
      </c>
      <c r="D28" s="696"/>
      <c r="E28" s="696"/>
      <c r="F28" s="697"/>
      <c r="G28" s="935"/>
      <c r="H28" s="1112"/>
      <c r="I28" s="1112"/>
      <c r="J28" s="1112"/>
      <c r="K28" s="713"/>
      <c r="L28">
        <f t="shared" si="8"/>
        <v>1</v>
      </c>
      <c r="M28">
        <f>COUNTIFS('Trade Log'!$D$14:$D$25863,"&lt;"&amp;F28,'Trade Log'!$D$14:$D$25863,"&gt;="&amp;F27)</f>
        <v>0</v>
      </c>
      <c r="N28">
        <f t="shared" si="6"/>
        <v>47</v>
      </c>
      <c r="O28" t="str">
        <f>IF(D28="","",COUNTIF($D$15:D28,"="&amp;D28))</f>
        <v/>
      </c>
      <c r="P28">
        <f t="shared" si="7"/>
        <v>1.4000000000000001E-4</v>
      </c>
      <c r="Q28">
        <f t="shared" si="1"/>
        <v>0</v>
      </c>
      <c r="R28" t="str">
        <f t="shared" si="9"/>
        <v/>
      </c>
      <c r="S28" t="e">
        <f t="shared" si="3"/>
        <v>#NUM!</v>
      </c>
      <c r="T28" t="e">
        <f t="shared" si="4"/>
        <v>#NUM!</v>
      </c>
    </row>
    <row r="29" spans="3:20" ht="20.100000000000001" customHeight="1">
      <c r="C29" s="666">
        <f t="shared" si="5"/>
        <v>15</v>
      </c>
      <c r="D29" s="696"/>
      <c r="E29" s="696"/>
      <c r="F29" s="697"/>
      <c r="G29" s="935"/>
      <c r="H29" s="1112"/>
      <c r="I29" s="1112"/>
      <c r="J29" s="1112"/>
      <c r="K29" s="713"/>
      <c r="L29">
        <f t="shared" si="8"/>
        <v>1</v>
      </c>
      <c r="M29">
        <f>COUNTIFS('Trade Log'!$D$14:$D$25863,"&lt;"&amp;F29,'Trade Log'!$D$14:$D$25863,"&gt;="&amp;F28)</f>
        <v>0</v>
      </c>
      <c r="N29">
        <f t="shared" si="6"/>
        <v>47</v>
      </c>
      <c r="O29" t="str">
        <f>IF(D29="","",COUNTIF($D$15:D29,"="&amp;D29))</f>
        <v/>
      </c>
      <c r="P29">
        <f t="shared" si="7"/>
        <v>1.5000000000000001E-4</v>
      </c>
      <c r="Q29">
        <f t="shared" si="1"/>
        <v>0</v>
      </c>
      <c r="R29" t="str">
        <f t="shared" si="9"/>
        <v/>
      </c>
      <c r="S29" t="e">
        <f t="shared" si="3"/>
        <v>#NUM!</v>
      </c>
      <c r="T29" t="e">
        <f t="shared" si="4"/>
        <v>#NUM!</v>
      </c>
    </row>
    <row r="30" spans="3:20" ht="20.100000000000001" customHeight="1">
      <c r="C30" s="666">
        <f t="shared" si="5"/>
        <v>16</v>
      </c>
      <c r="D30" s="696"/>
      <c r="E30" s="696"/>
      <c r="F30" s="697"/>
      <c r="G30" s="935"/>
      <c r="H30" s="1112"/>
      <c r="I30" s="1112"/>
      <c r="J30" s="1112"/>
      <c r="K30" s="713"/>
      <c r="L30">
        <f t="shared" si="8"/>
        <v>1</v>
      </c>
      <c r="M30">
        <f>COUNTIFS('Trade Log'!$D$14:$D$25863,"&lt;"&amp;F30,'Trade Log'!$D$14:$D$25863,"&gt;="&amp;F29)</f>
        <v>0</v>
      </c>
      <c r="N30">
        <f t="shared" si="6"/>
        <v>47</v>
      </c>
      <c r="O30" t="str">
        <f>IF(D30="","",COUNTIF($D$15:D30,"="&amp;D30))</f>
        <v/>
      </c>
      <c r="P30">
        <f t="shared" si="7"/>
        <v>1.6000000000000001E-4</v>
      </c>
      <c r="Q30">
        <f t="shared" si="1"/>
        <v>0</v>
      </c>
      <c r="R30" t="str">
        <f t="shared" si="9"/>
        <v/>
      </c>
      <c r="S30" t="e">
        <f t="shared" si="3"/>
        <v>#NUM!</v>
      </c>
      <c r="T30" t="e">
        <f t="shared" si="4"/>
        <v>#NUM!</v>
      </c>
    </row>
    <row r="31" spans="3:20" ht="20.100000000000001" customHeight="1">
      <c r="C31" s="666">
        <f t="shared" si="5"/>
        <v>17</v>
      </c>
      <c r="D31" s="696"/>
      <c r="E31" s="696"/>
      <c r="F31" s="697"/>
      <c r="G31" s="935"/>
      <c r="H31" s="1112"/>
      <c r="I31" s="1112"/>
      <c r="J31" s="1112"/>
      <c r="K31" s="713"/>
      <c r="L31">
        <f t="shared" si="8"/>
        <v>1</v>
      </c>
      <c r="M31">
        <f>COUNTIFS('Trade Log'!$D$14:$D$25863,"&lt;"&amp;F31,'Trade Log'!$D$14:$D$25863,"&gt;="&amp;F30)</f>
        <v>0</v>
      </c>
      <c r="N31">
        <f t="shared" si="6"/>
        <v>47</v>
      </c>
      <c r="O31" t="str">
        <f>IF(D31="","",COUNTIF($D$15:D31,"="&amp;D31))</f>
        <v/>
      </c>
      <c r="P31">
        <f t="shared" si="7"/>
        <v>1.7000000000000001E-4</v>
      </c>
      <c r="Q31">
        <f t="shared" si="1"/>
        <v>0</v>
      </c>
      <c r="R31" t="str">
        <f t="shared" si="9"/>
        <v/>
      </c>
      <c r="S31" t="e">
        <f t="shared" si="3"/>
        <v>#NUM!</v>
      </c>
      <c r="T31" t="e">
        <f t="shared" si="4"/>
        <v>#NUM!</v>
      </c>
    </row>
    <row r="32" spans="3:20" ht="20.100000000000001" customHeight="1">
      <c r="C32" s="666">
        <f t="shared" si="5"/>
        <v>18</v>
      </c>
      <c r="D32" s="696"/>
      <c r="E32" s="696"/>
      <c r="F32" s="697"/>
      <c r="G32" s="935"/>
      <c r="H32" s="1112"/>
      <c r="I32" s="1112"/>
      <c r="J32" s="1112"/>
      <c r="K32" s="713"/>
      <c r="L32">
        <f t="shared" si="8"/>
        <v>1</v>
      </c>
      <c r="M32">
        <f>COUNTIFS('Trade Log'!$D$14:$D$25863,"&lt;"&amp;F32,'Trade Log'!$D$14:$D$25863,"&gt;="&amp;F31)</f>
        <v>0</v>
      </c>
      <c r="N32">
        <f t="shared" si="6"/>
        <v>47</v>
      </c>
      <c r="O32" t="str">
        <f>IF(D32="","",COUNTIF($D$15:D32,"="&amp;D32))</f>
        <v/>
      </c>
      <c r="P32">
        <f t="shared" si="7"/>
        <v>1.8000000000000001E-4</v>
      </c>
      <c r="Q32">
        <f t="shared" si="1"/>
        <v>0</v>
      </c>
      <c r="R32" t="str">
        <f t="shared" si="9"/>
        <v/>
      </c>
      <c r="S32" t="e">
        <f t="shared" si="3"/>
        <v>#NUM!</v>
      </c>
      <c r="T32" t="e">
        <f t="shared" si="4"/>
        <v>#NUM!</v>
      </c>
    </row>
    <row r="33" spans="3:20" ht="20.100000000000001" customHeight="1">
      <c r="C33" s="666">
        <f t="shared" si="5"/>
        <v>19</v>
      </c>
      <c r="D33" s="696"/>
      <c r="E33" s="696"/>
      <c r="F33" s="697"/>
      <c r="G33" s="935"/>
      <c r="H33" s="1112"/>
      <c r="I33" s="1112"/>
      <c r="J33" s="1112"/>
      <c r="K33" s="713"/>
      <c r="L33">
        <f t="shared" si="8"/>
        <v>1</v>
      </c>
      <c r="M33">
        <f>COUNTIFS('Trade Log'!$D$14:$D$25863,"&lt;"&amp;F33,'Trade Log'!$D$14:$D$25863,"&gt;="&amp;F32)</f>
        <v>0</v>
      </c>
      <c r="N33">
        <f t="shared" si="6"/>
        <v>47</v>
      </c>
      <c r="O33" t="str">
        <f>IF(D33="","",COUNTIF($D$15:D33,"="&amp;D33))</f>
        <v/>
      </c>
      <c r="P33">
        <f t="shared" si="7"/>
        <v>1.9000000000000001E-4</v>
      </c>
      <c r="Q33">
        <f t="shared" si="1"/>
        <v>0</v>
      </c>
      <c r="R33" t="str">
        <f t="shared" si="9"/>
        <v/>
      </c>
      <c r="S33" t="e">
        <f t="shared" si="3"/>
        <v>#NUM!</v>
      </c>
      <c r="T33" t="e">
        <f t="shared" si="4"/>
        <v>#NUM!</v>
      </c>
    </row>
    <row r="34" spans="3:20" ht="20.100000000000001" customHeight="1">
      <c r="C34" s="666">
        <f t="shared" si="5"/>
        <v>20</v>
      </c>
      <c r="D34" s="696"/>
      <c r="E34" s="696"/>
      <c r="F34" s="697"/>
      <c r="G34" s="935"/>
      <c r="H34" s="1112"/>
      <c r="I34" s="1112"/>
      <c r="J34" s="1112"/>
      <c r="K34" s="713"/>
      <c r="L34">
        <f t="shared" si="8"/>
        <v>1</v>
      </c>
      <c r="M34">
        <f>COUNTIFS('Trade Log'!$D$14:$D$25863,"&lt;"&amp;F34,'Trade Log'!$D$14:$D$25863,"&gt;="&amp;F33)</f>
        <v>0</v>
      </c>
      <c r="N34">
        <f t="shared" si="6"/>
        <v>47</v>
      </c>
      <c r="O34" t="str">
        <f>IF(D34="","",COUNTIF($D$15:D34,"="&amp;D34))</f>
        <v/>
      </c>
      <c r="P34">
        <f t="shared" si="7"/>
        <v>2.0000000000000001E-4</v>
      </c>
      <c r="Q34">
        <f t="shared" si="1"/>
        <v>0</v>
      </c>
      <c r="R34" t="str">
        <f t="shared" si="9"/>
        <v/>
      </c>
      <c r="S34" t="e">
        <f t="shared" si="3"/>
        <v>#NUM!</v>
      </c>
      <c r="T34" t="e">
        <f t="shared" si="4"/>
        <v>#NUM!</v>
      </c>
    </row>
    <row r="35" spans="3:20" ht="20.100000000000001" customHeight="1">
      <c r="C35" s="666">
        <f t="shared" si="5"/>
        <v>21</v>
      </c>
      <c r="D35" s="696"/>
      <c r="E35" s="696"/>
      <c r="F35" s="697"/>
      <c r="G35" s="935"/>
      <c r="H35" s="1112"/>
      <c r="I35" s="1112"/>
      <c r="J35" s="1112"/>
      <c r="K35" s="713"/>
      <c r="L35">
        <f t="shared" si="8"/>
        <v>1</v>
      </c>
      <c r="M35">
        <f>COUNTIFS('Trade Log'!$D$14:$D$25863,"&lt;"&amp;F35,'Trade Log'!$D$14:$D$25863,"&gt;="&amp;F34)</f>
        <v>0</v>
      </c>
      <c r="N35">
        <f t="shared" si="6"/>
        <v>47</v>
      </c>
      <c r="O35" t="str">
        <f>IF(D35="","",COUNTIF($D$15:D35,"="&amp;D35))</f>
        <v/>
      </c>
      <c r="P35">
        <f t="shared" si="7"/>
        <v>2.1000000000000001E-4</v>
      </c>
      <c r="Q35">
        <f t="shared" si="1"/>
        <v>0</v>
      </c>
      <c r="R35" t="str">
        <f t="shared" si="9"/>
        <v/>
      </c>
      <c r="S35" t="e">
        <f t="shared" si="3"/>
        <v>#NUM!</v>
      </c>
      <c r="T35" t="e">
        <f t="shared" si="4"/>
        <v>#NUM!</v>
      </c>
    </row>
    <row r="36" spans="3:20" ht="20.100000000000001" customHeight="1">
      <c r="C36" s="666">
        <f t="shared" si="5"/>
        <v>22</v>
      </c>
      <c r="D36" s="696"/>
      <c r="E36" s="696"/>
      <c r="F36" s="697"/>
      <c r="G36" s="935"/>
      <c r="H36" s="1112"/>
      <c r="I36" s="1112"/>
      <c r="J36" s="1112"/>
      <c r="K36" s="713"/>
      <c r="L36">
        <f t="shared" si="8"/>
        <v>1</v>
      </c>
      <c r="M36">
        <f>COUNTIFS('Trade Log'!$D$14:$D$25863,"&lt;"&amp;F36,'Trade Log'!$D$14:$D$25863,"&gt;="&amp;F35)</f>
        <v>0</v>
      </c>
      <c r="N36">
        <f t="shared" si="6"/>
        <v>47</v>
      </c>
      <c r="O36" t="str">
        <f>IF(D36="","",COUNTIF($D$15:D36,"="&amp;D36))</f>
        <v/>
      </c>
      <c r="P36">
        <f t="shared" si="7"/>
        <v>2.2000000000000001E-4</v>
      </c>
      <c r="Q36">
        <f t="shared" si="1"/>
        <v>0</v>
      </c>
      <c r="R36" t="str">
        <f t="shared" si="9"/>
        <v/>
      </c>
      <c r="S36" t="e">
        <f t="shared" si="3"/>
        <v>#NUM!</v>
      </c>
      <c r="T36" t="e">
        <f t="shared" si="4"/>
        <v>#NUM!</v>
      </c>
    </row>
    <row r="37" spans="3:20" ht="20.100000000000001" customHeight="1">
      <c r="C37" s="666">
        <f t="shared" si="5"/>
        <v>23</v>
      </c>
      <c r="D37" s="696"/>
      <c r="E37" s="696"/>
      <c r="F37" s="697"/>
      <c r="G37" s="935"/>
      <c r="H37" s="1112"/>
      <c r="I37" s="1112"/>
      <c r="J37" s="1112"/>
      <c r="K37" s="713"/>
      <c r="L37">
        <f t="shared" si="8"/>
        <v>1</v>
      </c>
      <c r="M37">
        <f>COUNTIFS('Trade Log'!$D$14:$D$25863,"&lt;"&amp;F37,'Trade Log'!$D$14:$D$25863,"&gt;="&amp;F36)</f>
        <v>0</v>
      </c>
      <c r="N37">
        <f t="shared" si="6"/>
        <v>47</v>
      </c>
      <c r="O37" t="str">
        <f>IF(D37="","",COUNTIF($D$15:D37,"="&amp;D37))</f>
        <v/>
      </c>
      <c r="P37">
        <f t="shared" si="7"/>
        <v>2.3000000000000001E-4</v>
      </c>
      <c r="Q37">
        <f t="shared" si="1"/>
        <v>0</v>
      </c>
      <c r="R37" t="str">
        <f t="shared" si="9"/>
        <v/>
      </c>
      <c r="S37" t="e">
        <f t="shared" si="3"/>
        <v>#NUM!</v>
      </c>
      <c r="T37" t="e">
        <f t="shared" si="4"/>
        <v>#NUM!</v>
      </c>
    </row>
    <row r="38" spans="3:20" ht="20.100000000000001" customHeight="1">
      <c r="C38" s="666">
        <f t="shared" si="5"/>
        <v>24</v>
      </c>
      <c r="D38" s="696"/>
      <c r="E38" s="696"/>
      <c r="F38" s="697"/>
      <c r="G38" s="935"/>
      <c r="H38" s="1112"/>
      <c r="I38" s="1112"/>
      <c r="J38" s="1112"/>
      <c r="K38" s="713"/>
      <c r="L38">
        <f t="shared" si="8"/>
        <v>1</v>
      </c>
      <c r="M38">
        <f>COUNTIFS('Trade Log'!$D$14:$D$25863,"&lt;"&amp;F38,'Trade Log'!$D$14:$D$25863,"&gt;="&amp;F37)</f>
        <v>0</v>
      </c>
      <c r="N38">
        <f t="shared" si="6"/>
        <v>47</v>
      </c>
      <c r="O38" t="str">
        <f>IF(D38="","",COUNTIF($D$15:D38,"="&amp;D38))</f>
        <v/>
      </c>
      <c r="P38">
        <f t="shared" si="7"/>
        <v>2.4000000000000001E-4</v>
      </c>
      <c r="Q38">
        <f t="shared" si="1"/>
        <v>0</v>
      </c>
      <c r="R38" t="str">
        <f t="shared" si="9"/>
        <v/>
      </c>
      <c r="S38" t="e">
        <f t="shared" si="3"/>
        <v>#NUM!</v>
      </c>
      <c r="T38" t="e">
        <f t="shared" si="4"/>
        <v>#NUM!</v>
      </c>
    </row>
    <row r="39" spans="3:20" ht="20.100000000000001" customHeight="1">
      <c r="C39" s="666">
        <f t="shared" si="5"/>
        <v>25</v>
      </c>
      <c r="D39" s="696"/>
      <c r="E39" s="696"/>
      <c r="F39" s="697"/>
      <c r="G39" s="935"/>
      <c r="H39" s="1112"/>
      <c r="I39" s="1112"/>
      <c r="J39" s="1112"/>
      <c r="K39" s="713"/>
      <c r="L39">
        <f t="shared" si="8"/>
        <v>1</v>
      </c>
      <c r="M39">
        <f>COUNTIFS('Trade Log'!$D$14:$D$25863,"&lt;"&amp;F39,'Trade Log'!$D$14:$D$25863,"&gt;="&amp;F38)</f>
        <v>0</v>
      </c>
      <c r="N39">
        <f t="shared" si="6"/>
        <v>47</v>
      </c>
      <c r="O39" t="str">
        <f>IF(D39="","",COUNTIF($D$15:D39,"="&amp;D39))</f>
        <v/>
      </c>
      <c r="P39">
        <f t="shared" si="7"/>
        <v>2.5000000000000001E-4</v>
      </c>
      <c r="Q39">
        <f t="shared" si="1"/>
        <v>0</v>
      </c>
      <c r="R39" t="str">
        <f t="shared" si="9"/>
        <v/>
      </c>
      <c r="S39" t="e">
        <f t="shared" si="3"/>
        <v>#NUM!</v>
      </c>
      <c r="T39" t="e">
        <f t="shared" si="4"/>
        <v>#NUM!</v>
      </c>
    </row>
    <row r="40" spans="3:20" ht="20.100000000000001" customHeight="1">
      <c r="C40" s="666">
        <f t="shared" si="5"/>
        <v>26</v>
      </c>
      <c r="D40" s="696"/>
      <c r="E40" s="696"/>
      <c r="F40" s="697"/>
      <c r="G40" s="935"/>
      <c r="H40" s="1112"/>
      <c r="I40" s="1112"/>
      <c r="J40" s="1112"/>
      <c r="K40" s="713"/>
      <c r="L40">
        <f t="shared" si="8"/>
        <v>1</v>
      </c>
      <c r="M40">
        <f>COUNTIFS('Trade Log'!$D$14:$D$25863,"&lt;"&amp;F40,'Trade Log'!$D$14:$D$25863,"&gt;="&amp;F39)</f>
        <v>0</v>
      </c>
      <c r="N40">
        <f t="shared" si="6"/>
        <v>47</v>
      </c>
      <c r="O40" t="str">
        <f>IF(D40="","",COUNTIF($D$15:D40,"="&amp;D40))</f>
        <v/>
      </c>
      <c r="P40">
        <f t="shared" si="7"/>
        <v>2.6000000000000003E-4</v>
      </c>
      <c r="Q40">
        <f t="shared" si="1"/>
        <v>0</v>
      </c>
      <c r="R40" t="str">
        <f t="shared" si="9"/>
        <v/>
      </c>
      <c r="S40" t="e">
        <f t="shared" si="3"/>
        <v>#NUM!</v>
      </c>
      <c r="T40" t="e">
        <f t="shared" si="4"/>
        <v>#NUM!</v>
      </c>
    </row>
    <row r="41" spans="3:20" ht="20.100000000000001" customHeight="1">
      <c r="C41" s="666">
        <f t="shared" si="5"/>
        <v>27</v>
      </c>
      <c r="D41" s="696"/>
      <c r="E41" s="696"/>
      <c r="F41" s="697"/>
      <c r="G41" s="935"/>
      <c r="H41" s="1112"/>
      <c r="I41" s="1112"/>
      <c r="J41" s="1112"/>
      <c r="K41" s="713"/>
      <c r="L41">
        <f t="shared" si="8"/>
        <v>1</v>
      </c>
      <c r="M41">
        <f>COUNTIFS('Trade Log'!$D$14:$D$25863,"&lt;"&amp;F41,'Trade Log'!$D$14:$D$25863,"&gt;="&amp;F40)</f>
        <v>0</v>
      </c>
      <c r="N41">
        <f t="shared" si="6"/>
        <v>47</v>
      </c>
      <c r="O41" t="str">
        <f>IF(D41="","",COUNTIF($D$15:D41,"="&amp;D41))</f>
        <v/>
      </c>
      <c r="P41">
        <f t="shared" si="7"/>
        <v>2.7000000000000006E-4</v>
      </c>
      <c r="Q41">
        <f t="shared" si="1"/>
        <v>0</v>
      </c>
      <c r="R41" t="str">
        <f t="shared" si="9"/>
        <v/>
      </c>
      <c r="S41" t="e">
        <f t="shared" si="3"/>
        <v>#NUM!</v>
      </c>
      <c r="T41" t="e">
        <f t="shared" si="4"/>
        <v>#NUM!</v>
      </c>
    </row>
    <row r="42" spans="3:20" ht="20.100000000000001" customHeight="1">
      <c r="C42" s="666">
        <f t="shared" si="5"/>
        <v>28</v>
      </c>
      <c r="D42" s="696"/>
      <c r="E42" s="696"/>
      <c r="F42" s="697"/>
      <c r="G42" s="935"/>
      <c r="H42" s="1112"/>
      <c r="I42" s="1112"/>
      <c r="J42" s="1112"/>
      <c r="K42" s="713"/>
      <c r="L42">
        <f t="shared" si="8"/>
        <v>1</v>
      </c>
      <c r="M42">
        <f>COUNTIFS('Trade Log'!$D$14:$D$25863,"&lt;"&amp;F42,'Trade Log'!$D$14:$D$25863,"&gt;="&amp;F41)</f>
        <v>0</v>
      </c>
      <c r="N42">
        <f t="shared" si="6"/>
        <v>47</v>
      </c>
      <c r="O42" t="str">
        <f>IF(D42="","",COUNTIF($D$15:D42,"="&amp;D42))</f>
        <v/>
      </c>
      <c r="P42">
        <f t="shared" si="7"/>
        <v>2.8000000000000008E-4</v>
      </c>
      <c r="Q42">
        <f t="shared" si="1"/>
        <v>0</v>
      </c>
      <c r="R42" t="str">
        <f t="shared" si="9"/>
        <v/>
      </c>
      <c r="S42" t="e">
        <f t="shared" si="3"/>
        <v>#NUM!</v>
      </c>
      <c r="T42" t="e">
        <f t="shared" si="4"/>
        <v>#NUM!</v>
      </c>
    </row>
    <row r="43" spans="3:20" ht="20.100000000000001" customHeight="1">
      <c r="C43" s="666">
        <f t="shared" si="5"/>
        <v>29</v>
      </c>
      <c r="D43" s="696"/>
      <c r="E43" s="696"/>
      <c r="F43" s="697"/>
      <c r="G43" s="935"/>
      <c r="H43" s="1112"/>
      <c r="I43" s="1112"/>
      <c r="J43" s="1112"/>
      <c r="K43" s="713"/>
      <c r="L43">
        <f t="shared" si="8"/>
        <v>1</v>
      </c>
      <c r="M43">
        <f>COUNTIFS('Trade Log'!$D$14:$D$25863,"&lt;"&amp;F43,'Trade Log'!$D$14:$D$25863,"&gt;="&amp;F42)</f>
        <v>0</v>
      </c>
      <c r="N43">
        <f t="shared" si="6"/>
        <v>47</v>
      </c>
      <c r="O43" t="str">
        <f>IF(D43="","",COUNTIF($D$15:D43,"="&amp;D43))</f>
        <v/>
      </c>
      <c r="P43">
        <f t="shared" si="7"/>
        <v>2.9000000000000011E-4</v>
      </c>
      <c r="Q43">
        <f t="shared" si="1"/>
        <v>0</v>
      </c>
      <c r="R43" t="str">
        <f t="shared" si="9"/>
        <v/>
      </c>
      <c r="S43" t="e">
        <f t="shared" si="3"/>
        <v>#NUM!</v>
      </c>
      <c r="T43" t="e">
        <f t="shared" si="4"/>
        <v>#NUM!</v>
      </c>
    </row>
    <row r="44" spans="3:20" ht="20.100000000000001" customHeight="1">
      <c r="C44" s="666">
        <f t="shared" si="5"/>
        <v>30</v>
      </c>
      <c r="D44" s="696"/>
      <c r="E44" s="696"/>
      <c r="F44" s="697"/>
      <c r="G44" s="935"/>
      <c r="H44" s="1112"/>
      <c r="I44" s="1112"/>
      <c r="J44" s="1112"/>
      <c r="K44" s="713"/>
      <c r="L44">
        <f t="shared" si="8"/>
        <v>1</v>
      </c>
      <c r="M44">
        <f>COUNTIFS('Trade Log'!$D$14:$D$25863,"&lt;"&amp;F44,'Trade Log'!$D$14:$D$25863,"&gt;="&amp;F43)</f>
        <v>0</v>
      </c>
      <c r="N44">
        <f t="shared" si="6"/>
        <v>47</v>
      </c>
      <c r="O44" t="str">
        <f>IF(D44="","",COUNTIF($D$15:D44,"="&amp;D44))</f>
        <v/>
      </c>
      <c r="P44">
        <f t="shared" si="7"/>
        <v>3.0000000000000014E-4</v>
      </c>
      <c r="Q44">
        <f t="shared" si="1"/>
        <v>0</v>
      </c>
      <c r="R44" t="str">
        <f t="shared" si="9"/>
        <v/>
      </c>
      <c r="S44" t="e">
        <f t="shared" si="3"/>
        <v>#NUM!</v>
      </c>
      <c r="T44" t="e">
        <f t="shared" si="4"/>
        <v>#NUM!</v>
      </c>
    </row>
    <row r="45" spans="3:20" ht="20.100000000000001" customHeight="1">
      <c r="C45" s="666">
        <f t="shared" si="5"/>
        <v>31</v>
      </c>
      <c r="D45" s="696"/>
      <c r="E45" s="696"/>
      <c r="F45" s="697"/>
      <c r="G45" s="935"/>
      <c r="H45" s="1112"/>
      <c r="I45" s="1112"/>
      <c r="J45" s="1112"/>
      <c r="K45" s="713"/>
      <c r="L45">
        <f t="shared" si="8"/>
        <v>1</v>
      </c>
      <c r="M45">
        <f>COUNTIFS('Trade Log'!$D$14:$D$25863,"&lt;"&amp;F45,'Trade Log'!$D$14:$D$25863,"&gt;="&amp;F44)</f>
        <v>0</v>
      </c>
      <c r="N45">
        <f t="shared" si="6"/>
        <v>47</v>
      </c>
      <c r="O45" t="str">
        <f>IF(D45="","",COUNTIF($D$15:D45,"="&amp;D45))</f>
        <v/>
      </c>
      <c r="P45">
        <f t="shared" si="7"/>
        <v>3.1000000000000016E-4</v>
      </c>
      <c r="Q45">
        <f t="shared" si="1"/>
        <v>0</v>
      </c>
      <c r="R45" t="str">
        <f t="shared" si="9"/>
        <v/>
      </c>
      <c r="S45" t="e">
        <f t="shared" si="3"/>
        <v>#NUM!</v>
      </c>
      <c r="T45" t="e">
        <f t="shared" si="4"/>
        <v>#NUM!</v>
      </c>
    </row>
    <row r="46" spans="3:20" ht="20.100000000000001" customHeight="1">
      <c r="C46" s="666">
        <f t="shared" si="5"/>
        <v>32</v>
      </c>
      <c r="D46" s="696"/>
      <c r="E46" s="696"/>
      <c r="F46" s="697"/>
      <c r="G46" s="935"/>
      <c r="H46" s="1112"/>
      <c r="I46" s="1112"/>
      <c r="J46" s="1112"/>
      <c r="K46" s="713"/>
      <c r="L46">
        <f t="shared" si="8"/>
        <v>1</v>
      </c>
      <c r="M46">
        <f>COUNTIFS('Trade Log'!$D$14:$D$25863,"&lt;"&amp;F46,'Trade Log'!$D$14:$D$25863,"&gt;="&amp;F45)</f>
        <v>0</v>
      </c>
      <c r="N46">
        <f t="shared" si="6"/>
        <v>47</v>
      </c>
      <c r="O46" t="str">
        <f>IF(D46="","",COUNTIF($D$15:D46,"="&amp;D46))</f>
        <v/>
      </c>
      <c r="P46">
        <f t="shared" si="7"/>
        <v>3.2000000000000019E-4</v>
      </c>
      <c r="Q46">
        <f t="shared" si="1"/>
        <v>0</v>
      </c>
      <c r="R46" t="str">
        <f t="shared" si="9"/>
        <v/>
      </c>
      <c r="S46" t="e">
        <f t="shared" si="3"/>
        <v>#NUM!</v>
      </c>
      <c r="T46" t="e">
        <f t="shared" si="4"/>
        <v>#NUM!</v>
      </c>
    </row>
    <row r="47" spans="3:20" ht="20.100000000000001" customHeight="1">
      <c r="C47" s="666">
        <f t="shared" si="5"/>
        <v>33</v>
      </c>
      <c r="D47" s="696"/>
      <c r="E47" s="696"/>
      <c r="F47" s="697"/>
      <c r="G47" s="935"/>
      <c r="H47" s="1112"/>
      <c r="I47" s="1112"/>
      <c r="J47" s="1112"/>
      <c r="K47" s="713"/>
      <c r="L47">
        <f t="shared" si="8"/>
        <v>1</v>
      </c>
      <c r="M47">
        <f>COUNTIFS('Trade Log'!$D$14:$D$25863,"&lt;"&amp;F47,'Trade Log'!$D$14:$D$25863,"&gt;="&amp;F46)</f>
        <v>0</v>
      </c>
      <c r="N47">
        <f t="shared" si="6"/>
        <v>47</v>
      </c>
      <c r="O47" t="str">
        <f>IF(D47="","",COUNTIF($D$15:D47,"="&amp;D47))</f>
        <v/>
      </c>
      <c r="P47">
        <f t="shared" si="7"/>
        <v>3.3000000000000022E-4</v>
      </c>
      <c r="Q47">
        <f t="shared" ref="Q47:Q78" si="10">SUMIF($D$15:$D$174,D47,$G$15:$G$174)</f>
        <v>0</v>
      </c>
      <c r="R47" t="str">
        <f t="shared" si="9"/>
        <v/>
      </c>
      <c r="S47" t="e">
        <f t="shared" ref="S47:S78" si="11">LARGE($R$15:$R$174,C47)</f>
        <v>#NUM!</v>
      </c>
      <c r="T47" t="e">
        <f t="shared" si="4"/>
        <v>#NUM!</v>
      </c>
    </row>
    <row r="48" spans="3:20" ht="20.100000000000001" customHeight="1">
      <c r="C48" s="666">
        <f t="shared" si="5"/>
        <v>34</v>
      </c>
      <c r="D48" s="696"/>
      <c r="E48" s="696"/>
      <c r="F48" s="697"/>
      <c r="G48" s="935"/>
      <c r="H48" s="1112"/>
      <c r="I48" s="1112"/>
      <c r="J48" s="1112"/>
      <c r="K48" s="713"/>
      <c r="L48">
        <f t="shared" si="8"/>
        <v>1</v>
      </c>
      <c r="M48">
        <f>COUNTIFS('Trade Log'!$D$14:$D$25863,"&lt;"&amp;F48,'Trade Log'!$D$14:$D$25863,"&gt;="&amp;F47)</f>
        <v>0</v>
      </c>
      <c r="N48">
        <f t="shared" si="6"/>
        <v>47</v>
      </c>
      <c r="O48" t="str">
        <f>IF(D48="","",COUNTIF($D$15:D48,"="&amp;D48))</f>
        <v/>
      </c>
      <c r="P48">
        <f t="shared" si="7"/>
        <v>3.4000000000000024E-4</v>
      </c>
      <c r="Q48">
        <f t="shared" si="10"/>
        <v>0</v>
      </c>
      <c r="R48" t="str">
        <f t="shared" si="9"/>
        <v/>
      </c>
      <c r="S48" t="e">
        <f t="shared" si="11"/>
        <v>#NUM!</v>
      </c>
      <c r="T48" t="e">
        <f t="shared" si="4"/>
        <v>#NUM!</v>
      </c>
    </row>
    <row r="49" spans="3:20" ht="20.100000000000001" customHeight="1">
      <c r="C49" s="666">
        <f t="shared" si="5"/>
        <v>35</v>
      </c>
      <c r="D49" s="696"/>
      <c r="E49" s="696"/>
      <c r="F49" s="697"/>
      <c r="G49" s="935"/>
      <c r="H49" s="1112"/>
      <c r="I49" s="1112"/>
      <c r="J49" s="1112"/>
      <c r="K49" s="713"/>
      <c r="L49">
        <f t="shared" si="8"/>
        <v>1</v>
      </c>
      <c r="M49">
        <f>COUNTIFS('Trade Log'!$D$14:$D$25863,"&lt;"&amp;F49,'Trade Log'!$D$14:$D$25863,"&gt;="&amp;F48)</f>
        <v>0</v>
      </c>
      <c r="N49">
        <f t="shared" si="6"/>
        <v>47</v>
      </c>
      <c r="O49" t="str">
        <f>IF(D49="","",COUNTIF($D$15:D49,"="&amp;D49))</f>
        <v/>
      </c>
      <c r="P49">
        <f t="shared" si="7"/>
        <v>3.5000000000000027E-4</v>
      </c>
      <c r="Q49">
        <f t="shared" si="10"/>
        <v>0</v>
      </c>
      <c r="R49" t="str">
        <f t="shared" si="9"/>
        <v/>
      </c>
      <c r="S49" t="e">
        <f t="shared" si="11"/>
        <v>#NUM!</v>
      </c>
      <c r="T49" t="e">
        <f t="shared" si="4"/>
        <v>#NUM!</v>
      </c>
    </row>
    <row r="50" spans="3:20" ht="20.100000000000001" customHeight="1">
      <c r="C50" s="666">
        <f t="shared" si="5"/>
        <v>36</v>
      </c>
      <c r="D50" s="696"/>
      <c r="E50" s="696"/>
      <c r="F50" s="697"/>
      <c r="G50" s="935"/>
      <c r="H50" s="1112"/>
      <c r="I50" s="1112"/>
      <c r="J50" s="1112"/>
      <c r="K50" s="713"/>
      <c r="L50">
        <f t="shared" si="8"/>
        <v>1</v>
      </c>
      <c r="M50">
        <f>COUNTIFS('Trade Log'!$D$14:$D$25863,"&lt;"&amp;F50,'Trade Log'!$D$14:$D$25863,"&gt;="&amp;F49)</f>
        <v>0</v>
      </c>
      <c r="N50">
        <f t="shared" si="6"/>
        <v>47</v>
      </c>
      <c r="O50" t="str">
        <f>IF(D50="","",COUNTIF($D$15:D50,"="&amp;D50))</f>
        <v/>
      </c>
      <c r="P50">
        <f t="shared" si="7"/>
        <v>3.6000000000000029E-4</v>
      </c>
      <c r="Q50">
        <f t="shared" si="10"/>
        <v>0</v>
      </c>
      <c r="R50" t="str">
        <f t="shared" si="9"/>
        <v/>
      </c>
      <c r="S50" t="e">
        <f t="shared" si="11"/>
        <v>#NUM!</v>
      </c>
      <c r="T50" t="e">
        <f t="shared" si="4"/>
        <v>#NUM!</v>
      </c>
    </row>
    <row r="51" spans="3:20" ht="20.100000000000001" customHeight="1">
      <c r="C51" s="666">
        <f t="shared" si="5"/>
        <v>37</v>
      </c>
      <c r="D51" s="696"/>
      <c r="E51" s="696"/>
      <c r="F51" s="697"/>
      <c r="G51" s="935"/>
      <c r="H51" s="1112"/>
      <c r="I51" s="1112"/>
      <c r="J51" s="1112"/>
      <c r="K51" s="713"/>
      <c r="L51">
        <f t="shared" si="8"/>
        <v>1</v>
      </c>
      <c r="M51">
        <f>COUNTIFS('Trade Log'!$D$14:$D$25863,"&lt;"&amp;F51,'Trade Log'!$D$14:$D$25863,"&gt;="&amp;F50)</f>
        <v>0</v>
      </c>
      <c r="N51">
        <f t="shared" si="6"/>
        <v>47</v>
      </c>
      <c r="O51" t="str">
        <f>IF(D51="","",COUNTIF($D$15:D51,"="&amp;D51))</f>
        <v/>
      </c>
      <c r="P51">
        <f t="shared" si="7"/>
        <v>3.7000000000000032E-4</v>
      </c>
      <c r="Q51">
        <f t="shared" si="10"/>
        <v>0</v>
      </c>
      <c r="R51" t="str">
        <f t="shared" si="9"/>
        <v/>
      </c>
      <c r="S51" t="e">
        <f t="shared" si="11"/>
        <v>#NUM!</v>
      </c>
      <c r="T51" t="e">
        <f t="shared" si="4"/>
        <v>#NUM!</v>
      </c>
    </row>
    <row r="52" spans="3:20" ht="20.100000000000001" customHeight="1">
      <c r="C52" s="666">
        <f t="shared" si="5"/>
        <v>38</v>
      </c>
      <c r="D52" s="696"/>
      <c r="E52" s="696"/>
      <c r="F52" s="697"/>
      <c r="G52" s="935"/>
      <c r="H52" s="1112"/>
      <c r="I52" s="1112"/>
      <c r="J52" s="1112"/>
      <c r="K52" s="713"/>
      <c r="L52">
        <f t="shared" si="8"/>
        <v>1</v>
      </c>
      <c r="M52">
        <f>COUNTIFS('Trade Log'!$D$14:$D$25863,"&lt;"&amp;F52,'Trade Log'!$D$14:$D$25863,"&gt;="&amp;F51)</f>
        <v>0</v>
      </c>
      <c r="N52">
        <f t="shared" si="6"/>
        <v>47</v>
      </c>
      <c r="O52" t="str">
        <f>IF(D52="","",COUNTIF($D$15:D52,"="&amp;D52))</f>
        <v/>
      </c>
      <c r="P52">
        <f t="shared" si="7"/>
        <v>3.8000000000000035E-4</v>
      </c>
      <c r="Q52">
        <f t="shared" si="10"/>
        <v>0</v>
      </c>
      <c r="R52" t="str">
        <f t="shared" si="9"/>
        <v/>
      </c>
      <c r="S52" t="e">
        <f t="shared" si="11"/>
        <v>#NUM!</v>
      </c>
      <c r="T52" t="e">
        <f t="shared" si="4"/>
        <v>#NUM!</v>
      </c>
    </row>
    <row r="53" spans="3:20" ht="20.100000000000001" customHeight="1">
      <c r="C53" s="666">
        <f t="shared" si="5"/>
        <v>39</v>
      </c>
      <c r="D53" s="696"/>
      <c r="E53" s="696"/>
      <c r="F53" s="697"/>
      <c r="G53" s="935"/>
      <c r="H53" s="1112"/>
      <c r="I53" s="1112"/>
      <c r="J53" s="1112"/>
      <c r="K53" s="713"/>
      <c r="L53">
        <f t="shared" si="8"/>
        <v>1</v>
      </c>
      <c r="M53">
        <f>COUNTIFS('Trade Log'!$D$14:$D$25863,"&lt;"&amp;F53,'Trade Log'!$D$14:$D$25863,"&gt;="&amp;F52)</f>
        <v>0</v>
      </c>
      <c r="N53">
        <f t="shared" si="6"/>
        <v>47</v>
      </c>
      <c r="O53" t="str">
        <f>IF(D53="","",COUNTIF($D$15:D53,"="&amp;D53))</f>
        <v/>
      </c>
      <c r="P53">
        <f t="shared" si="7"/>
        <v>3.9000000000000037E-4</v>
      </c>
      <c r="Q53">
        <f t="shared" si="10"/>
        <v>0</v>
      </c>
      <c r="R53" t="str">
        <f t="shared" si="9"/>
        <v/>
      </c>
      <c r="S53" t="e">
        <f t="shared" si="11"/>
        <v>#NUM!</v>
      </c>
      <c r="T53" t="e">
        <f t="shared" si="4"/>
        <v>#NUM!</v>
      </c>
    </row>
    <row r="54" spans="3:20" ht="20.100000000000001" customHeight="1">
      <c r="C54" s="666">
        <f t="shared" si="5"/>
        <v>40</v>
      </c>
      <c r="D54" s="696"/>
      <c r="E54" s="696"/>
      <c r="F54" s="697"/>
      <c r="G54" s="935"/>
      <c r="H54" s="1112"/>
      <c r="I54" s="1112"/>
      <c r="J54" s="1112"/>
      <c r="K54" s="713"/>
      <c r="L54">
        <f t="shared" si="8"/>
        <v>1</v>
      </c>
      <c r="M54">
        <f>COUNTIFS('Trade Log'!$D$14:$D$25863,"&lt;"&amp;F54,'Trade Log'!$D$14:$D$25863,"&gt;="&amp;F53)</f>
        <v>0</v>
      </c>
      <c r="N54">
        <f t="shared" si="6"/>
        <v>47</v>
      </c>
      <c r="O54" t="str">
        <f>IF(D54="","",COUNTIF($D$15:D54,"="&amp;D54))</f>
        <v/>
      </c>
      <c r="P54">
        <f t="shared" si="7"/>
        <v>4.000000000000004E-4</v>
      </c>
      <c r="Q54">
        <f t="shared" si="10"/>
        <v>0</v>
      </c>
      <c r="R54" t="str">
        <f t="shared" si="9"/>
        <v/>
      </c>
      <c r="S54" t="e">
        <f t="shared" si="11"/>
        <v>#NUM!</v>
      </c>
      <c r="T54" t="e">
        <f t="shared" si="4"/>
        <v>#NUM!</v>
      </c>
    </row>
    <row r="55" spans="3:20" ht="20.100000000000001" customHeight="1">
      <c r="C55" s="666">
        <f t="shared" si="5"/>
        <v>41</v>
      </c>
      <c r="D55" s="696"/>
      <c r="E55" s="696"/>
      <c r="F55" s="697"/>
      <c r="G55" s="935"/>
      <c r="H55" s="1112"/>
      <c r="I55" s="1112"/>
      <c r="J55" s="1112"/>
      <c r="K55" s="713"/>
      <c r="L55">
        <f t="shared" si="8"/>
        <v>1</v>
      </c>
      <c r="M55">
        <f>COUNTIFS('Trade Log'!$D$14:$D$25863,"&lt;"&amp;F55,'Trade Log'!$D$14:$D$25863,"&gt;="&amp;F54)</f>
        <v>0</v>
      </c>
      <c r="N55">
        <f t="shared" si="6"/>
        <v>47</v>
      </c>
      <c r="O55" t="str">
        <f>IF(D55="","",COUNTIF($D$15:D55,"="&amp;D55))</f>
        <v/>
      </c>
      <c r="P55">
        <f t="shared" si="7"/>
        <v>4.1000000000000042E-4</v>
      </c>
      <c r="Q55">
        <f t="shared" si="10"/>
        <v>0</v>
      </c>
      <c r="R55" t="str">
        <f t="shared" si="9"/>
        <v/>
      </c>
      <c r="S55" t="e">
        <f t="shared" si="11"/>
        <v>#NUM!</v>
      </c>
      <c r="T55" t="e">
        <f t="shared" si="4"/>
        <v>#NUM!</v>
      </c>
    </row>
    <row r="56" spans="3:20" ht="20.100000000000001" customHeight="1">
      <c r="C56" s="666">
        <f t="shared" si="5"/>
        <v>42</v>
      </c>
      <c r="D56" s="696"/>
      <c r="E56" s="696"/>
      <c r="F56" s="697"/>
      <c r="G56" s="935"/>
      <c r="H56" s="1112"/>
      <c r="I56" s="1112"/>
      <c r="J56" s="1112"/>
      <c r="K56" s="713"/>
      <c r="L56">
        <f t="shared" si="8"/>
        <v>1</v>
      </c>
      <c r="M56">
        <f>COUNTIFS('Trade Log'!$D$14:$D$25863,"&lt;"&amp;F56,'Trade Log'!$D$14:$D$25863,"&gt;="&amp;F55)</f>
        <v>0</v>
      </c>
      <c r="N56">
        <f t="shared" si="6"/>
        <v>47</v>
      </c>
      <c r="O56" t="str">
        <f>IF(D56="","",COUNTIF($D$15:D56,"="&amp;D56))</f>
        <v/>
      </c>
      <c r="P56">
        <f t="shared" si="7"/>
        <v>4.2000000000000045E-4</v>
      </c>
      <c r="Q56">
        <f t="shared" si="10"/>
        <v>0</v>
      </c>
      <c r="R56" t="str">
        <f t="shared" si="9"/>
        <v/>
      </c>
      <c r="S56" t="e">
        <f t="shared" si="11"/>
        <v>#NUM!</v>
      </c>
      <c r="T56" t="e">
        <f t="shared" si="4"/>
        <v>#NUM!</v>
      </c>
    </row>
    <row r="57" spans="3:20" ht="20.100000000000001" customHeight="1">
      <c r="C57" s="666">
        <f t="shared" si="5"/>
        <v>43</v>
      </c>
      <c r="D57" s="696"/>
      <c r="E57" s="696"/>
      <c r="F57" s="697"/>
      <c r="G57" s="935"/>
      <c r="H57" s="1112"/>
      <c r="I57" s="1112"/>
      <c r="J57" s="1112"/>
      <c r="K57" s="713"/>
      <c r="L57">
        <f t="shared" si="8"/>
        <v>1</v>
      </c>
      <c r="M57">
        <f>COUNTIFS('Trade Log'!$D$14:$D$25863,"&lt;"&amp;F57,'Trade Log'!$D$14:$D$25863,"&gt;="&amp;F56)</f>
        <v>0</v>
      </c>
      <c r="N57">
        <f t="shared" si="6"/>
        <v>47</v>
      </c>
      <c r="O57" t="str">
        <f>IF(D57="","",COUNTIF($D$15:D57,"="&amp;D57))</f>
        <v/>
      </c>
      <c r="P57">
        <f t="shared" si="7"/>
        <v>4.3000000000000048E-4</v>
      </c>
      <c r="Q57">
        <f t="shared" si="10"/>
        <v>0</v>
      </c>
      <c r="R57" t="str">
        <f t="shared" si="9"/>
        <v/>
      </c>
      <c r="S57" t="e">
        <f t="shared" si="11"/>
        <v>#NUM!</v>
      </c>
      <c r="T57" t="e">
        <f t="shared" si="4"/>
        <v>#NUM!</v>
      </c>
    </row>
    <row r="58" spans="3:20" ht="20.100000000000001" customHeight="1">
      <c r="C58" s="666">
        <f t="shared" si="5"/>
        <v>44</v>
      </c>
      <c r="D58" s="696"/>
      <c r="E58" s="696"/>
      <c r="F58" s="697"/>
      <c r="G58" s="935"/>
      <c r="H58" s="1112"/>
      <c r="I58" s="1112"/>
      <c r="J58" s="1112"/>
      <c r="K58" s="713"/>
      <c r="L58">
        <f t="shared" si="8"/>
        <v>1</v>
      </c>
      <c r="M58">
        <f>COUNTIFS('Trade Log'!$D$14:$D$25863,"&lt;"&amp;F58,'Trade Log'!$D$14:$D$25863,"&gt;="&amp;F57)</f>
        <v>0</v>
      </c>
      <c r="N58">
        <f t="shared" si="6"/>
        <v>47</v>
      </c>
      <c r="O58" t="str">
        <f>IF(D58="","",COUNTIF($D$15:D58,"="&amp;D58))</f>
        <v/>
      </c>
      <c r="P58">
        <f t="shared" si="7"/>
        <v>4.400000000000005E-4</v>
      </c>
      <c r="Q58">
        <f t="shared" si="10"/>
        <v>0</v>
      </c>
      <c r="R58" t="str">
        <f t="shared" si="9"/>
        <v/>
      </c>
      <c r="S58" t="e">
        <f t="shared" si="11"/>
        <v>#NUM!</v>
      </c>
      <c r="T58" t="e">
        <f t="shared" si="4"/>
        <v>#NUM!</v>
      </c>
    </row>
    <row r="59" spans="3:20" ht="20.100000000000001" customHeight="1">
      <c r="C59" s="666">
        <f t="shared" si="5"/>
        <v>45</v>
      </c>
      <c r="D59" s="696"/>
      <c r="E59" s="696"/>
      <c r="F59" s="697"/>
      <c r="G59" s="935"/>
      <c r="H59" s="1112"/>
      <c r="I59" s="1112"/>
      <c r="J59" s="1112"/>
      <c r="K59" s="713"/>
      <c r="L59">
        <f t="shared" si="8"/>
        <v>1</v>
      </c>
      <c r="M59">
        <f>COUNTIFS('Trade Log'!$D$14:$D$25863,"&lt;"&amp;F59,'Trade Log'!$D$14:$D$25863,"&gt;="&amp;F58)</f>
        <v>0</v>
      </c>
      <c r="N59">
        <f t="shared" si="6"/>
        <v>47</v>
      </c>
      <c r="O59" t="str">
        <f>IF(D59="","",COUNTIF($D$15:D59,"="&amp;D59))</f>
        <v/>
      </c>
      <c r="P59">
        <f t="shared" si="7"/>
        <v>4.5000000000000053E-4</v>
      </c>
      <c r="Q59">
        <f t="shared" si="10"/>
        <v>0</v>
      </c>
      <c r="R59" t="str">
        <f t="shared" si="9"/>
        <v/>
      </c>
      <c r="S59" t="e">
        <f t="shared" si="11"/>
        <v>#NUM!</v>
      </c>
      <c r="T59" t="e">
        <f t="shared" si="4"/>
        <v>#NUM!</v>
      </c>
    </row>
    <row r="60" spans="3:20" ht="20.100000000000001" customHeight="1">
      <c r="C60" s="666">
        <f t="shared" si="5"/>
        <v>46</v>
      </c>
      <c r="D60" s="696"/>
      <c r="E60" s="696"/>
      <c r="F60" s="697"/>
      <c r="G60" s="935"/>
      <c r="H60" s="1112"/>
      <c r="I60" s="1112"/>
      <c r="J60" s="1112"/>
      <c r="K60" s="713"/>
      <c r="L60">
        <f t="shared" si="8"/>
        <v>1</v>
      </c>
      <c r="M60">
        <f>COUNTIFS('Trade Log'!$D$14:$D$25863,"&lt;"&amp;F60,'Trade Log'!$D$14:$D$25863,"&gt;="&amp;F59)</f>
        <v>0</v>
      </c>
      <c r="N60">
        <f t="shared" si="6"/>
        <v>47</v>
      </c>
      <c r="O60" t="str">
        <f>IF(D60="","",COUNTIF($D$15:D60,"="&amp;D60))</f>
        <v/>
      </c>
      <c r="P60">
        <f t="shared" si="7"/>
        <v>4.6000000000000056E-4</v>
      </c>
      <c r="Q60">
        <f t="shared" si="10"/>
        <v>0</v>
      </c>
      <c r="R60" t="str">
        <f t="shared" si="9"/>
        <v/>
      </c>
      <c r="S60" t="e">
        <f t="shared" si="11"/>
        <v>#NUM!</v>
      </c>
      <c r="T60" t="e">
        <f t="shared" si="4"/>
        <v>#NUM!</v>
      </c>
    </row>
    <row r="61" spans="3:20" ht="20.100000000000001" customHeight="1">
      <c r="C61" s="666">
        <f t="shared" si="5"/>
        <v>47</v>
      </c>
      <c r="D61" s="696"/>
      <c r="E61" s="696"/>
      <c r="F61" s="697"/>
      <c r="G61" s="935"/>
      <c r="H61" s="1112"/>
      <c r="I61" s="1112"/>
      <c r="J61" s="1112"/>
      <c r="K61" s="713"/>
      <c r="L61">
        <f t="shared" si="8"/>
        <v>1</v>
      </c>
      <c r="M61">
        <f>COUNTIFS('Trade Log'!$D$14:$D$25863,"&lt;"&amp;F61,'Trade Log'!$D$14:$D$25863,"&gt;="&amp;F60)</f>
        <v>0</v>
      </c>
      <c r="N61">
        <f t="shared" si="6"/>
        <v>47</v>
      </c>
      <c r="O61" t="str">
        <f>IF(D61="","",COUNTIF($D$15:D61,"="&amp;D61))</f>
        <v/>
      </c>
      <c r="P61">
        <f t="shared" si="7"/>
        <v>4.7000000000000058E-4</v>
      </c>
      <c r="Q61">
        <f t="shared" si="10"/>
        <v>0</v>
      </c>
      <c r="R61" t="str">
        <f t="shared" si="9"/>
        <v/>
      </c>
      <c r="S61" t="e">
        <f t="shared" si="11"/>
        <v>#NUM!</v>
      </c>
      <c r="T61" t="e">
        <f t="shared" si="4"/>
        <v>#NUM!</v>
      </c>
    </row>
    <row r="62" spans="3:20" ht="20.100000000000001" customHeight="1">
      <c r="C62" s="666">
        <f t="shared" si="5"/>
        <v>48</v>
      </c>
      <c r="D62" s="696"/>
      <c r="E62" s="696"/>
      <c r="F62" s="697"/>
      <c r="G62" s="935"/>
      <c r="H62" s="1112"/>
      <c r="I62" s="1112"/>
      <c r="J62" s="1112"/>
      <c r="K62" s="713"/>
      <c r="L62">
        <f t="shared" si="8"/>
        <v>1</v>
      </c>
      <c r="M62">
        <f>COUNTIFS('Trade Log'!$D$14:$D$25863,"&lt;"&amp;F62,'Trade Log'!$D$14:$D$25863,"&gt;="&amp;F61)</f>
        <v>0</v>
      </c>
      <c r="N62">
        <f t="shared" si="6"/>
        <v>47</v>
      </c>
      <c r="O62" t="str">
        <f>IF(D62="","",COUNTIF($D$15:D62,"="&amp;D62))</f>
        <v/>
      </c>
      <c r="P62">
        <f t="shared" si="7"/>
        <v>4.8000000000000061E-4</v>
      </c>
      <c r="Q62">
        <f t="shared" si="10"/>
        <v>0</v>
      </c>
      <c r="R62" t="str">
        <f t="shared" si="9"/>
        <v/>
      </c>
      <c r="S62" t="e">
        <f t="shared" si="11"/>
        <v>#NUM!</v>
      </c>
      <c r="T62" t="e">
        <f t="shared" si="4"/>
        <v>#NUM!</v>
      </c>
    </row>
    <row r="63" spans="3:20" ht="20.100000000000001" customHeight="1">
      <c r="C63" s="666">
        <f t="shared" si="5"/>
        <v>49</v>
      </c>
      <c r="D63" s="696"/>
      <c r="E63" s="696"/>
      <c r="F63" s="697"/>
      <c r="G63" s="935"/>
      <c r="H63" s="1112"/>
      <c r="I63" s="1112"/>
      <c r="J63" s="1112"/>
      <c r="K63" s="713"/>
      <c r="L63">
        <f t="shared" si="8"/>
        <v>1</v>
      </c>
      <c r="M63">
        <f>COUNTIFS('Trade Log'!$D$14:$D$25863,"&lt;"&amp;F63,'Trade Log'!$D$14:$D$25863,"&gt;="&amp;F62)</f>
        <v>0</v>
      </c>
      <c r="N63">
        <f t="shared" si="6"/>
        <v>47</v>
      </c>
      <c r="O63" t="str">
        <f>IF(D63="","",COUNTIF($D$15:D63,"="&amp;D63))</f>
        <v/>
      </c>
      <c r="P63">
        <f t="shared" si="7"/>
        <v>4.9000000000000063E-4</v>
      </c>
      <c r="Q63">
        <f t="shared" si="10"/>
        <v>0</v>
      </c>
      <c r="R63" t="str">
        <f t="shared" si="9"/>
        <v/>
      </c>
      <c r="S63" t="e">
        <f t="shared" si="11"/>
        <v>#NUM!</v>
      </c>
      <c r="T63" t="e">
        <f t="shared" si="4"/>
        <v>#NUM!</v>
      </c>
    </row>
    <row r="64" spans="3:20" ht="20.100000000000001" customHeight="1">
      <c r="C64" s="666">
        <f t="shared" si="5"/>
        <v>50</v>
      </c>
      <c r="D64" s="696"/>
      <c r="E64" s="696"/>
      <c r="F64" s="697"/>
      <c r="G64" s="935"/>
      <c r="H64" s="1112"/>
      <c r="I64" s="1112"/>
      <c r="J64" s="1112"/>
      <c r="K64" s="713"/>
      <c r="L64">
        <f t="shared" si="8"/>
        <v>1</v>
      </c>
      <c r="M64">
        <f>COUNTIFS('Trade Log'!$D$14:$D$25863,"&lt;"&amp;F64,'Trade Log'!$D$14:$D$25863,"&gt;="&amp;F63)</f>
        <v>0</v>
      </c>
      <c r="N64">
        <f t="shared" si="6"/>
        <v>47</v>
      </c>
      <c r="O64" t="str">
        <f>IF(D64="","",COUNTIF($D$15:D64,"="&amp;D64))</f>
        <v/>
      </c>
      <c r="P64">
        <f t="shared" si="7"/>
        <v>5.0000000000000066E-4</v>
      </c>
      <c r="Q64">
        <f t="shared" si="10"/>
        <v>0</v>
      </c>
      <c r="R64" t="str">
        <f t="shared" si="9"/>
        <v/>
      </c>
      <c r="S64" t="e">
        <f t="shared" si="11"/>
        <v>#NUM!</v>
      </c>
      <c r="T64" t="e">
        <f t="shared" si="4"/>
        <v>#NUM!</v>
      </c>
    </row>
    <row r="65" spans="3:20" ht="20.100000000000001" customHeight="1">
      <c r="C65" s="666">
        <f t="shared" si="5"/>
        <v>51</v>
      </c>
      <c r="D65" s="696"/>
      <c r="E65" s="696"/>
      <c r="F65" s="697"/>
      <c r="G65" s="935"/>
      <c r="H65" s="1112"/>
      <c r="I65" s="1112"/>
      <c r="J65" s="1112"/>
      <c r="K65" s="713"/>
      <c r="L65">
        <f t="shared" si="8"/>
        <v>1</v>
      </c>
      <c r="M65">
        <f>COUNTIFS('Trade Log'!$D$14:$D$25863,"&lt;"&amp;F65,'Trade Log'!$D$14:$D$25863,"&gt;="&amp;F64)</f>
        <v>0</v>
      </c>
      <c r="N65">
        <f t="shared" si="6"/>
        <v>47</v>
      </c>
      <c r="O65" t="str">
        <f>IF(D65="","",COUNTIF($D$15:D65,"="&amp;D65))</f>
        <v/>
      </c>
      <c r="P65">
        <f t="shared" si="7"/>
        <v>5.1000000000000069E-4</v>
      </c>
      <c r="Q65">
        <f t="shared" si="10"/>
        <v>0</v>
      </c>
      <c r="R65" t="str">
        <f t="shared" si="9"/>
        <v/>
      </c>
      <c r="S65" t="e">
        <f t="shared" si="11"/>
        <v>#NUM!</v>
      </c>
      <c r="T65" t="e">
        <f t="shared" si="4"/>
        <v>#NUM!</v>
      </c>
    </row>
    <row r="66" spans="3:20" ht="20.100000000000001" customHeight="1">
      <c r="C66" s="666">
        <f t="shared" si="5"/>
        <v>52</v>
      </c>
      <c r="D66" s="696"/>
      <c r="E66" s="696"/>
      <c r="F66" s="697"/>
      <c r="G66" s="935"/>
      <c r="H66" s="1112"/>
      <c r="I66" s="1112"/>
      <c r="J66" s="1112"/>
      <c r="K66" s="713"/>
      <c r="L66">
        <f t="shared" si="8"/>
        <v>1</v>
      </c>
      <c r="M66">
        <f>COUNTIFS('Trade Log'!$D$14:$D$25863,"&lt;"&amp;F66,'Trade Log'!$D$14:$D$25863,"&gt;="&amp;F65)</f>
        <v>0</v>
      </c>
      <c r="N66">
        <f t="shared" si="6"/>
        <v>47</v>
      </c>
      <c r="O66" t="str">
        <f>IF(D66="","",COUNTIF($D$15:D66,"="&amp;D66))</f>
        <v/>
      </c>
      <c r="P66">
        <f t="shared" si="7"/>
        <v>5.2000000000000071E-4</v>
      </c>
      <c r="Q66">
        <f t="shared" si="10"/>
        <v>0</v>
      </c>
      <c r="R66" t="str">
        <f t="shared" si="9"/>
        <v/>
      </c>
      <c r="S66" t="e">
        <f t="shared" si="11"/>
        <v>#NUM!</v>
      </c>
      <c r="T66" t="e">
        <f t="shared" si="4"/>
        <v>#NUM!</v>
      </c>
    </row>
    <row r="67" spans="3:20" ht="20.100000000000001" customHeight="1">
      <c r="C67" s="666">
        <f t="shared" si="5"/>
        <v>53</v>
      </c>
      <c r="D67" s="696"/>
      <c r="E67" s="696"/>
      <c r="F67" s="697"/>
      <c r="G67" s="935"/>
      <c r="H67" s="1112"/>
      <c r="I67" s="1112"/>
      <c r="J67" s="1112"/>
      <c r="K67" s="713"/>
      <c r="L67">
        <f t="shared" si="8"/>
        <v>1</v>
      </c>
      <c r="M67">
        <f>COUNTIFS('Trade Log'!$D$14:$D$25863,"&lt;"&amp;F67,'Trade Log'!$D$14:$D$25863,"&gt;="&amp;F66)</f>
        <v>0</v>
      </c>
      <c r="N67">
        <f t="shared" si="6"/>
        <v>47</v>
      </c>
      <c r="O67" t="str">
        <f>IF(D67="","",COUNTIF($D$15:D67,"="&amp;D67))</f>
        <v/>
      </c>
      <c r="P67">
        <f t="shared" si="7"/>
        <v>5.3000000000000074E-4</v>
      </c>
      <c r="Q67">
        <f t="shared" si="10"/>
        <v>0</v>
      </c>
      <c r="R67" t="str">
        <f t="shared" si="9"/>
        <v/>
      </c>
      <c r="S67" t="e">
        <f t="shared" si="11"/>
        <v>#NUM!</v>
      </c>
      <c r="T67" t="e">
        <f t="shared" si="4"/>
        <v>#NUM!</v>
      </c>
    </row>
    <row r="68" spans="3:20" ht="20.100000000000001" customHeight="1">
      <c r="C68" s="666">
        <f t="shared" si="5"/>
        <v>54</v>
      </c>
      <c r="D68" s="696"/>
      <c r="E68" s="696"/>
      <c r="F68" s="697"/>
      <c r="G68" s="935"/>
      <c r="H68" s="1112"/>
      <c r="I68" s="1112"/>
      <c r="J68" s="1112"/>
      <c r="K68" s="713"/>
      <c r="L68">
        <f t="shared" si="8"/>
        <v>1</v>
      </c>
      <c r="M68">
        <f>COUNTIFS('Trade Log'!$D$14:$D$25863,"&lt;"&amp;F68,'Trade Log'!$D$14:$D$25863,"&gt;="&amp;F67)</f>
        <v>0</v>
      </c>
      <c r="N68">
        <f t="shared" si="6"/>
        <v>47</v>
      </c>
      <c r="O68" t="str">
        <f>IF(D68="","",COUNTIF($D$15:D68,"="&amp;D68))</f>
        <v/>
      </c>
      <c r="P68">
        <f t="shared" si="7"/>
        <v>5.4000000000000077E-4</v>
      </c>
      <c r="Q68">
        <f t="shared" si="10"/>
        <v>0</v>
      </c>
      <c r="R68" t="str">
        <f t="shared" si="9"/>
        <v/>
      </c>
      <c r="S68" t="e">
        <f t="shared" si="11"/>
        <v>#NUM!</v>
      </c>
      <c r="T68" t="e">
        <f t="shared" si="4"/>
        <v>#NUM!</v>
      </c>
    </row>
    <row r="69" spans="3:20" ht="20.100000000000001" customHeight="1">
      <c r="C69" s="666">
        <f t="shared" si="5"/>
        <v>55</v>
      </c>
      <c r="D69" s="696"/>
      <c r="E69" s="696"/>
      <c r="F69" s="697"/>
      <c r="G69" s="935"/>
      <c r="H69" s="1112"/>
      <c r="I69" s="1112"/>
      <c r="J69" s="1112"/>
      <c r="K69" s="713"/>
      <c r="L69">
        <f t="shared" si="8"/>
        <v>1</v>
      </c>
      <c r="M69">
        <f>COUNTIFS('Trade Log'!$D$14:$D$25863,"&lt;"&amp;F69,'Trade Log'!$D$14:$D$25863,"&gt;="&amp;F68)</f>
        <v>0</v>
      </c>
      <c r="N69">
        <f t="shared" si="6"/>
        <v>47</v>
      </c>
      <c r="O69" t="str">
        <f>IF(D69="","",COUNTIF($D$15:D69,"="&amp;D69))</f>
        <v/>
      </c>
      <c r="P69">
        <f t="shared" si="7"/>
        <v>5.5000000000000079E-4</v>
      </c>
      <c r="Q69">
        <f t="shared" si="10"/>
        <v>0</v>
      </c>
      <c r="R69" t="str">
        <f t="shared" si="9"/>
        <v/>
      </c>
      <c r="S69" t="e">
        <f t="shared" si="11"/>
        <v>#NUM!</v>
      </c>
      <c r="T69" t="e">
        <f t="shared" si="4"/>
        <v>#NUM!</v>
      </c>
    </row>
    <row r="70" spans="3:20" ht="20.100000000000001" customHeight="1">
      <c r="C70" s="666">
        <f t="shared" si="5"/>
        <v>56</v>
      </c>
      <c r="D70" s="696"/>
      <c r="E70" s="696"/>
      <c r="F70" s="697"/>
      <c r="G70" s="935"/>
      <c r="H70" s="1112"/>
      <c r="I70" s="1112"/>
      <c r="J70" s="1112"/>
      <c r="K70" s="713"/>
      <c r="L70">
        <f t="shared" si="8"/>
        <v>1</v>
      </c>
      <c r="M70">
        <f>COUNTIFS('Trade Log'!$D$14:$D$25863,"&lt;"&amp;F70,'Trade Log'!$D$14:$D$25863,"&gt;="&amp;F69)</f>
        <v>0</v>
      </c>
      <c r="N70">
        <f t="shared" si="6"/>
        <v>47</v>
      </c>
      <c r="O70" t="str">
        <f>IF(D70="","",COUNTIF($D$15:D70,"="&amp;D70))</f>
        <v/>
      </c>
      <c r="P70">
        <f t="shared" si="7"/>
        <v>5.6000000000000082E-4</v>
      </c>
      <c r="Q70">
        <f t="shared" si="10"/>
        <v>0</v>
      </c>
      <c r="R70" t="str">
        <f t="shared" si="9"/>
        <v/>
      </c>
      <c r="S70" t="e">
        <f t="shared" si="11"/>
        <v>#NUM!</v>
      </c>
      <c r="T70" t="e">
        <f t="shared" si="4"/>
        <v>#NUM!</v>
      </c>
    </row>
    <row r="71" spans="3:20" ht="20.100000000000001" customHeight="1">
      <c r="C71" s="666">
        <f t="shared" si="5"/>
        <v>57</v>
      </c>
      <c r="D71" s="696"/>
      <c r="E71" s="696"/>
      <c r="F71" s="697"/>
      <c r="G71" s="935"/>
      <c r="H71" s="1112"/>
      <c r="I71" s="1112"/>
      <c r="J71" s="1112"/>
      <c r="K71" s="713"/>
      <c r="L71">
        <f t="shared" si="8"/>
        <v>1</v>
      </c>
      <c r="M71">
        <f>COUNTIFS('Trade Log'!$D$14:$D$25863,"&lt;"&amp;F71,'Trade Log'!$D$14:$D$25863,"&gt;="&amp;F70)</f>
        <v>0</v>
      </c>
      <c r="N71">
        <f t="shared" si="6"/>
        <v>47</v>
      </c>
      <c r="O71" t="str">
        <f>IF(D71="","",COUNTIF($D$15:D71,"="&amp;D71))</f>
        <v/>
      </c>
      <c r="P71">
        <f t="shared" si="7"/>
        <v>5.7000000000000084E-4</v>
      </c>
      <c r="Q71">
        <f t="shared" si="10"/>
        <v>0</v>
      </c>
      <c r="R71" t="str">
        <f t="shared" si="9"/>
        <v/>
      </c>
      <c r="S71" t="e">
        <f t="shared" si="11"/>
        <v>#NUM!</v>
      </c>
      <c r="T71" t="e">
        <f t="shared" si="4"/>
        <v>#NUM!</v>
      </c>
    </row>
    <row r="72" spans="3:20" ht="20.100000000000001" customHeight="1">
      <c r="C72" s="666">
        <f t="shared" si="5"/>
        <v>58</v>
      </c>
      <c r="D72" s="696"/>
      <c r="E72" s="696"/>
      <c r="F72" s="697"/>
      <c r="G72" s="935"/>
      <c r="H72" s="1112"/>
      <c r="I72" s="1112"/>
      <c r="J72" s="1112"/>
      <c r="K72" s="713"/>
      <c r="L72">
        <f t="shared" si="8"/>
        <v>1</v>
      </c>
      <c r="M72">
        <f>COUNTIFS('Trade Log'!$D$14:$D$25863,"&lt;"&amp;F72,'Trade Log'!$D$14:$D$25863,"&gt;="&amp;F71)</f>
        <v>0</v>
      </c>
      <c r="N72">
        <f t="shared" si="6"/>
        <v>47</v>
      </c>
      <c r="O72" t="str">
        <f>IF(D72="","",COUNTIF($D$15:D72,"="&amp;D72))</f>
        <v/>
      </c>
      <c r="P72">
        <f t="shared" si="7"/>
        <v>5.8000000000000087E-4</v>
      </c>
      <c r="Q72">
        <f t="shared" si="10"/>
        <v>0</v>
      </c>
      <c r="R72" t="str">
        <f t="shared" si="9"/>
        <v/>
      </c>
      <c r="S72" t="e">
        <f t="shared" si="11"/>
        <v>#NUM!</v>
      </c>
      <c r="T72" t="e">
        <f t="shared" si="4"/>
        <v>#NUM!</v>
      </c>
    </row>
    <row r="73" spans="3:20" ht="20.100000000000001" customHeight="1">
      <c r="C73" s="666">
        <f t="shared" si="5"/>
        <v>59</v>
      </c>
      <c r="D73" s="696"/>
      <c r="E73" s="696"/>
      <c r="F73" s="697"/>
      <c r="G73" s="935"/>
      <c r="H73" s="1112"/>
      <c r="I73" s="1112"/>
      <c r="J73" s="1112"/>
      <c r="K73" s="713"/>
      <c r="L73">
        <f t="shared" si="8"/>
        <v>1</v>
      </c>
      <c r="M73">
        <f>COUNTIFS('Trade Log'!$D$14:$D$25863,"&lt;"&amp;F73,'Trade Log'!$D$14:$D$25863,"&gt;="&amp;F72)</f>
        <v>0</v>
      </c>
      <c r="N73">
        <f t="shared" si="6"/>
        <v>47</v>
      </c>
      <c r="O73" t="str">
        <f>IF(D73="","",COUNTIF($D$15:D73,"="&amp;D73))</f>
        <v/>
      </c>
      <c r="P73">
        <f t="shared" si="7"/>
        <v>5.900000000000009E-4</v>
      </c>
      <c r="Q73">
        <f t="shared" si="10"/>
        <v>0</v>
      </c>
      <c r="R73" t="str">
        <f t="shared" si="9"/>
        <v/>
      </c>
      <c r="S73" t="e">
        <f t="shared" si="11"/>
        <v>#NUM!</v>
      </c>
      <c r="T73" t="e">
        <f t="shared" si="4"/>
        <v>#NUM!</v>
      </c>
    </row>
    <row r="74" spans="3:20" ht="20.100000000000001" customHeight="1">
      <c r="C74" s="666">
        <f t="shared" si="5"/>
        <v>60</v>
      </c>
      <c r="D74" s="696"/>
      <c r="E74" s="696"/>
      <c r="F74" s="697"/>
      <c r="G74" s="935"/>
      <c r="H74" s="1112"/>
      <c r="I74" s="1112"/>
      <c r="J74" s="1112"/>
      <c r="K74" s="713"/>
      <c r="L74">
        <f t="shared" si="8"/>
        <v>1</v>
      </c>
      <c r="M74">
        <f>COUNTIFS('Trade Log'!$D$14:$D$25863,"&lt;"&amp;F74,'Trade Log'!$D$14:$D$25863,"&gt;="&amp;F73)</f>
        <v>0</v>
      </c>
      <c r="N74">
        <f t="shared" si="6"/>
        <v>47</v>
      </c>
      <c r="O74" t="str">
        <f>IF(D74="","",COUNTIF($D$15:D74,"="&amp;D74))</f>
        <v/>
      </c>
      <c r="P74">
        <f t="shared" si="7"/>
        <v>6.0000000000000092E-4</v>
      </c>
      <c r="Q74">
        <f t="shared" si="10"/>
        <v>0</v>
      </c>
      <c r="R74" t="str">
        <f t="shared" si="9"/>
        <v/>
      </c>
      <c r="S74" t="e">
        <f t="shared" si="11"/>
        <v>#NUM!</v>
      </c>
      <c r="T74" t="e">
        <f t="shared" si="4"/>
        <v>#NUM!</v>
      </c>
    </row>
    <row r="75" spans="3:20" ht="20.100000000000001" customHeight="1">
      <c r="C75" s="666">
        <f t="shared" si="5"/>
        <v>61</v>
      </c>
      <c r="D75" s="696"/>
      <c r="E75" s="696"/>
      <c r="F75" s="697"/>
      <c r="G75" s="935"/>
      <c r="H75" s="1112"/>
      <c r="I75" s="1112"/>
      <c r="J75" s="1112"/>
      <c r="K75" s="713"/>
      <c r="L75">
        <f t="shared" si="8"/>
        <v>1</v>
      </c>
      <c r="M75">
        <f>COUNTIFS('Trade Log'!$D$14:$D$25863,"&lt;"&amp;F75,'Trade Log'!$D$14:$D$25863,"&gt;="&amp;F74)</f>
        <v>0</v>
      </c>
      <c r="N75">
        <f t="shared" si="6"/>
        <v>47</v>
      </c>
      <c r="O75" t="str">
        <f>IF(D75="","",COUNTIF($D$15:D75,"="&amp;D75))</f>
        <v/>
      </c>
      <c r="P75">
        <f t="shared" si="7"/>
        <v>6.1000000000000095E-4</v>
      </c>
      <c r="Q75">
        <f t="shared" si="10"/>
        <v>0</v>
      </c>
      <c r="R75" t="str">
        <f t="shared" si="9"/>
        <v/>
      </c>
      <c r="S75" t="e">
        <f t="shared" si="11"/>
        <v>#NUM!</v>
      </c>
      <c r="T75" t="e">
        <f t="shared" si="4"/>
        <v>#NUM!</v>
      </c>
    </row>
    <row r="76" spans="3:20" ht="20.100000000000001" customHeight="1">
      <c r="C76" s="666">
        <f t="shared" si="5"/>
        <v>62</v>
      </c>
      <c r="D76" s="696"/>
      <c r="E76" s="696"/>
      <c r="F76" s="697"/>
      <c r="G76" s="935"/>
      <c r="H76" s="1112"/>
      <c r="I76" s="1112"/>
      <c r="J76" s="1112"/>
      <c r="K76" s="713"/>
      <c r="L76">
        <f t="shared" si="8"/>
        <v>1</v>
      </c>
      <c r="M76">
        <f>COUNTIFS('Trade Log'!$D$14:$D$25863,"&lt;"&amp;F76,'Trade Log'!$D$14:$D$25863,"&gt;="&amp;F75)</f>
        <v>0</v>
      </c>
      <c r="N76">
        <f t="shared" si="6"/>
        <v>47</v>
      </c>
      <c r="O76" t="str">
        <f>IF(D76="","",COUNTIF($D$15:D76,"="&amp;D76))</f>
        <v/>
      </c>
      <c r="P76">
        <f t="shared" si="7"/>
        <v>6.2000000000000098E-4</v>
      </c>
      <c r="Q76">
        <f t="shared" si="10"/>
        <v>0</v>
      </c>
      <c r="R76" t="str">
        <f t="shared" si="9"/>
        <v/>
      </c>
      <c r="S76" t="e">
        <f t="shared" si="11"/>
        <v>#NUM!</v>
      </c>
      <c r="T76" t="e">
        <f t="shared" si="4"/>
        <v>#NUM!</v>
      </c>
    </row>
    <row r="77" spans="3:20" ht="20.100000000000001" customHeight="1">
      <c r="C77" s="666">
        <f t="shared" si="5"/>
        <v>63</v>
      </c>
      <c r="D77" s="696"/>
      <c r="E77" s="696"/>
      <c r="F77" s="697"/>
      <c r="G77" s="935"/>
      <c r="H77" s="1112"/>
      <c r="I77" s="1112"/>
      <c r="J77" s="1112"/>
      <c r="K77" s="713"/>
      <c r="L77">
        <f t="shared" si="8"/>
        <v>1</v>
      </c>
      <c r="M77">
        <f>COUNTIFS('Trade Log'!$D$14:$D$25863,"&lt;"&amp;F77,'Trade Log'!$D$14:$D$25863,"&gt;="&amp;F76)</f>
        <v>0</v>
      </c>
      <c r="N77">
        <f t="shared" si="6"/>
        <v>47</v>
      </c>
      <c r="O77" t="str">
        <f>IF(D77="","",COUNTIF($D$15:D77,"="&amp;D77))</f>
        <v/>
      </c>
      <c r="P77">
        <f t="shared" si="7"/>
        <v>6.30000000000001E-4</v>
      </c>
      <c r="Q77">
        <f t="shared" si="10"/>
        <v>0</v>
      </c>
      <c r="R77" t="str">
        <f t="shared" si="9"/>
        <v/>
      </c>
      <c r="S77" t="e">
        <f t="shared" si="11"/>
        <v>#NUM!</v>
      </c>
      <c r="T77" t="e">
        <f t="shared" si="4"/>
        <v>#NUM!</v>
      </c>
    </row>
    <row r="78" spans="3:20" ht="20.100000000000001" customHeight="1">
      <c r="C78" s="666">
        <f t="shared" si="5"/>
        <v>64</v>
      </c>
      <c r="D78" s="696"/>
      <c r="E78" s="696"/>
      <c r="F78" s="697"/>
      <c r="G78" s="935"/>
      <c r="H78" s="1112"/>
      <c r="I78" s="1112"/>
      <c r="J78" s="1112"/>
      <c r="K78" s="713"/>
      <c r="L78">
        <f t="shared" si="8"/>
        <v>1</v>
      </c>
      <c r="M78">
        <f>COUNTIFS('Trade Log'!$D$14:$D$25863,"&lt;"&amp;F78,'Trade Log'!$D$14:$D$25863,"&gt;="&amp;F77)</f>
        <v>0</v>
      </c>
      <c r="N78">
        <f t="shared" si="6"/>
        <v>47</v>
      </c>
      <c r="O78" t="str">
        <f>IF(D78="","",COUNTIF($D$15:D78,"="&amp;D78))</f>
        <v/>
      </c>
      <c r="P78">
        <f t="shared" si="7"/>
        <v>6.4000000000000103E-4</v>
      </c>
      <c r="Q78">
        <f t="shared" si="10"/>
        <v>0</v>
      </c>
      <c r="R78" t="str">
        <f t="shared" si="9"/>
        <v/>
      </c>
      <c r="S78" t="e">
        <f t="shared" si="11"/>
        <v>#NUM!</v>
      </c>
      <c r="T78" t="e">
        <f t="shared" si="4"/>
        <v>#NUM!</v>
      </c>
    </row>
    <row r="79" spans="3:20" ht="20.100000000000001" customHeight="1">
      <c r="C79" s="666">
        <f t="shared" si="5"/>
        <v>65</v>
      </c>
      <c r="D79" s="696"/>
      <c r="E79" s="696"/>
      <c r="F79" s="697"/>
      <c r="G79" s="935"/>
      <c r="H79" s="1112"/>
      <c r="I79" s="1112"/>
      <c r="J79" s="1112"/>
      <c r="K79" s="713"/>
      <c r="L79">
        <f t="shared" si="8"/>
        <v>1</v>
      </c>
      <c r="M79">
        <f>COUNTIFS('Trade Log'!$D$14:$D$25863,"&lt;"&amp;F79,'Trade Log'!$D$14:$D$25863,"&gt;="&amp;F78)</f>
        <v>0</v>
      </c>
      <c r="N79">
        <f t="shared" si="6"/>
        <v>47</v>
      </c>
      <c r="O79" t="str">
        <f>IF(D79="","",COUNTIF($D$15:D79,"="&amp;D79))</f>
        <v/>
      </c>
      <c r="P79">
        <f t="shared" si="7"/>
        <v>6.5000000000000105E-4</v>
      </c>
      <c r="Q79">
        <f t="shared" ref="Q79:Q110" si="12">SUMIF($D$15:$D$174,D79,$G$15:$G$174)</f>
        <v>0</v>
      </c>
      <c r="R79" t="str">
        <f t="shared" si="9"/>
        <v/>
      </c>
      <c r="S79" t="e">
        <f t="shared" ref="S79:S110" si="13">LARGE($R$15:$R$174,C79)</f>
        <v>#NUM!</v>
      </c>
      <c r="T79" t="e">
        <f t="shared" si="4"/>
        <v>#NUM!</v>
      </c>
    </row>
    <row r="80" spans="3:20" ht="20.100000000000001" customHeight="1">
      <c r="C80" s="666">
        <f t="shared" si="5"/>
        <v>66</v>
      </c>
      <c r="D80" s="696"/>
      <c r="E80" s="696"/>
      <c r="F80" s="697"/>
      <c r="G80" s="935"/>
      <c r="H80" s="1112"/>
      <c r="I80" s="1112"/>
      <c r="J80" s="1112"/>
      <c r="K80" s="713"/>
      <c r="L80">
        <f t="shared" si="8"/>
        <v>1</v>
      </c>
      <c r="M80">
        <f>COUNTIFS('Trade Log'!$D$14:$D$25863,"&lt;"&amp;F80,'Trade Log'!$D$14:$D$25863,"&gt;="&amp;F79)</f>
        <v>0</v>
      </c>
      <c r="N80">
        <f t="shared" si="6"/>
        <v>47</v>
      </c>
      <c r="O80" t="str">
        <f>IF(D80="","",COUNTIF($D$15:D80,"="&amp;D80))</f>
        <v/>
      </c>
      <c r="P80">
        <f t="shared" si="7"/>
        <v>6.6000000000000108E-4</v>
      </c>
      <c r="Q80">
        <f t="shared" si="12"/>
        <v>0</v>
      </c>
      <c r="R80" t="str">
        <f t="shared" si="9"/>
        <v/>
      </c>
      <c r="S80" t="e">
        <f t="shared" si="13"/>
        <v>#NUM!</v>
      </c>
      <c r="T80" t="e">
        <f t="shared" ref="T80:T143" si="14">MATCH(S80,$R$15:$R$174,0)</f>
        <v>#NUM!</v>
      </c>
    </row>
    <row r="81" spans="3:20" ht="20.100000000000001" customHeight="1">
      <c r="C81" s="666">
        <f t="shared" ref="C81:C144" si="15">C80+1</f>
        <v>67</v>
      </c>
      <c r="D81" s="696"/>
      <c r="E81" s="696"/>
      <c r="F81" s="697"/>
      <c r="G81" s="935"/>
      <c r="H81" s="1112"/>
      <c r="I81" s="1112"/>
      <c r="J81" s="1112"/>
      <c r="K81" s="713"/>
      <c r="L81">
        <f t="shared" si="8"/>
        <v>1</v>
      </c>
      <c r="M81">
        <f>COUNTIFS('Trade Log'!$D$14:$D$25863,"&lt;"&amp;F81,'Trade Log'!$D$14:$D$25863,"&gt;="&amp;F80)</f>
        <v>0</v>
      </c>
      <c r="N81">
        <f t="shared" ref="N81:N113" si="16">M81+N80</f>
        <v>47</v>
      </c>
      <c r="O81" t="str">
        <f>IF(D81="","",COUNTIF($D$15:D81,"="&amp;D81))</f>
        <v/>
      </c>
      <c r="P81">
        <f t="shared" ref="P81:P144" si="17">P80+0.00001</f>
        <v>6.7000000000000111E-4</v>
      </c>
      <c r="Q81">
        <f t="shared" si="12"/>
        <v>0</v>
      </c>
      <c r="R81" t="str">
        <f t="shared" si="9"/>
        <v/>
      </c>
      <c r="S81" t="e">
        <f t="shared" si="13"/>
        <v>#NUM!</v>
      </c>
      <c r="T81" t="e">
        <f t="shared" si="14"/>
        <v>#NUM!</v>
      </c>
    </row>
    <row r="82" spans="3:20" ht="20.100000000000001" customHeight="1">
      <c r="C82" s="666">
        <f t="shared" si="15"/>
        <v>68</v>
      </c>
      <c r="D82" s="696"/>
      <c r="E82" s="696"/>
      <c r="F82" s="697"/>
      <c r="G82" s="935"/>
      <c r="H82" s="1112"/>
      <c r="I82" s="1112"/>
      <c r="J82" s="1112"/>
      <c r="K82" s="713"/>
      <c r="L82">
        <f t="shared" ref="L82:L174" si="18">DATE(YEAR(F82),MONTH(F82),DAY(1))</f>
        <v>1</v>
      </c>
      <c r="M82">
        <f>COUNTIFS('Trade Log'!$D$14:$D$25863,"&lt;"&amp;F82,'Trade Log'!$D$14:$D$25863,"&gt;="&amp;F81)</f>
        <v>0</v>
      </c>
      <c r="N82">
        <f t="shared" si="16"/>
        <v>47</v>
      </c>
      <c r="O82" t="str">
        <f>IF(D82="","",COUNTIF($D$15:D82,"="&amp;D82))</f>
        <v/>
      </c>
      <c r="P82">
        <f t="shared" si="17"/>
        <v>6.8000000000000113E-4</v>
      </c>
      <c r="Q82">
        <f t="shared" si="12"/>
        <v>0</v>
      </c>
      <c r="R82" t="str">
        <f t="shared" si="9"/>
        <v/>
      </c>
      <c r="S82" t="e">
        <f t="shared" si="13"/>
        <v>#NUM!</v>
      </c>
      <c r="T82" t="e">
        <f t="shared" si="14"/>
        <v>#NUM!</v>
      </c>
    </row>
    <row r="83" spans="3:20" ht="20.100000000000001" customHeight="1">
      <c r="C83" s="666">
        <f t="shared" si="15"/>
        <v>69</v>
      </c>
      <c r="D83" s="696"/>
      <c r="E83" s="696"/>
      <c r="F83" s="697"/>
      <c r="G83" s="935"/>
      <c r="H83" s="1112"/>
      <c r="I83" s="1112"/>
      <c r="J83" s="1112"/>
      <c r="K83" s="713"/>
      <c r="L83">
        <f t="shared" si="18"/>
        <v>1</v>
      </c>
      <c r="M83">
        <f>COUNTIFS('Trade Log'!$D$14:$D$25863,"&lt;"&amp;F83,'Trade Log'!$D$14:$D$25863,"&gt;="&amp;F82)</f>
        <v>0</v>
      </c>
      <c r="N83">
        <f t="shared" si="16"/>
        <v>47</v>
      </c>
      <c r="O83" t="str">
        <f>IF(D83="","",COUNTIF($D$15:D83,"="&amp;D83))</f>
        <v/>
      </c>
      <c r="P83">
        <f t="shared" si="17"/>
        <v>6.9000000000000116E-4</v>
      </c>
      <c r="Q83">
        <f t="shared" si="12"/>
        <v>0</v>
      </c>
      <c r="R83" t="str">
        <f t="shared" ref="R83:R146" si="19">IF(O83&gt;1,"",Q83+P83)</f>
        <v/>
      </c>
      <c r="S83" t="e">
        <f t="shared" si="13"/>
        <v>#NUM!</v>
      </c>
      <c r="T83" t="e">
        <f t="shared" si="14"/>
        <v>#NUM!</v>
      </c>
    </row>
    <row r="84" spans="3:20" ht="20.100000000000001" customHeight="1">
      <c r="C84" s="666">
        <f t="shared" si="15"/>
        <v>70</v>
      </c>
      <c r="D84" s="696"/>
      <c r="E84" s="696"/>
      <c r="F84" s="697"/>
      <c r="G84" s="935"/>
      <c r="H84" s="1112"/>
      <c r="I84" s="1112"/>
      <c r="J84" s="1112"/>
      <c r="K84" s="713"/>
      <c r="L84">
        <f t="shared" si="18"/>
        <v>1</v>
      </c>
      <c r="M84">
        <f>COUNTIFS('Trade Log'!$D$14:$D$25863,"&lt;"&amp;F84,'Trade Log'!$D$14:$D$25863,"&gt;="&amp;F83)</f>
        <v>0</v>
      </c>
      <c r="N84">
        <f t="shared" si="16"/>
        <v>47</v>
      </c>
      <c r="O84" t="str">
        <f>IF(D84="","",COUNTIF($D$15:D84,"="&amp;D84))</f>
        <v/>
      </c>
      <c r="P84">
        <f t="shared" si="17"/>
        <v>7.0000000000000119E-4</v>
      </c>
      <c r="Q84">
        <f t="shared" si="12"/>
        <v>0</v>
      </c>
      <c r="R84" t="str">
        <f t="shared" si="19"/>
        <v/>
      </c>
      <c r="S84" t="e">
        <f t="shared" si="13"/>
        <v>#NUM!</v>
      </c>
      <c r="T84" t="e">
        <f t="shared" si="14"/>
        <v>#NUM!</v>
      </c>
    </row>
    <row r="85" spans="3:20" ht="20.100000000000001" customHeight="1">
      <c r="C85" s="666">
        <f t="shared" si="15"/>
        <v>71</v>
      </c>
      <c r="D85" s="696"/>
      <c r="E85" s="696"/>
      <c r="F85" s="697"/>
      <c r="G85" s="935"/>
      <c r="H85" s="1112"/>
      <c r="I85" s="1112"/>
      <c r="J85" s="1112"/>
      <c r="K85" s="713"/>
      <c r="L85">
        <f t="shared" si="18"/>
        <v>1</v>
      </c>
      <c r="M85">
        <f>COUNTIFS('Trade Log'!$D$14:$D$25863,"&lt;"&amp;F85,'Trade Log'!$D$14:$D$25863,"&gt;="&amp;F84)</f>
        <v>0</v>
      </c>
      <c r="N85">
        <f t="shared" si="16"/>
        <v>47</v>
      </c>
      <c r="O85" t="str">
        <f>IF(D85="","",COUNTIF($D$15:D85,"="&amp;D85))</f>
        <v/>
      </c>
      <c r="P85">
        <f t="shared" si="17"/>
        <v>7.1000000000000121E-4</v>
      </c>
      <c r="Q85">
        <f t="shared" si="12"/>
        <v>0</v>
      </c>
      <c r="R85" t="str">
        <f t="shared" si="19"/>
        <v/>
      </c>
      <c r="S85" t="e">
        <f t="shared" si="13"/>
        <v>#NUM!</v>
      </c>
      <c r="T85" t="e">
        <f t="shared" si="14"/>
        <v>#NUM!</v>
      </c>
    </row>
    <row r="86" spans="3:20" ht="20.100000000000001" customHeight="1">
      <c r="C86" s="666">
        <f t="shared" si="15"/>
        <v>72</v>
      </c>
      <c r="D86" s="696"/>
      <c r="E86" s="696"/>
      <c r="F86" s="697"/>
      <c r="G86" s="935"/>
      <c r="H86" s="1112"/>
      <c r="I86" s="1112"/>
      <c r="J86" s="1112"/>
      <c r="K86" s="713"/>
      <c r="L86">
        <f t="shared" si="18"/>
        <v>1</v>
      </c>
      <c r="M86">
        <f>COUNTIFS('Trade Log'!$D$14:$D$25863,"&lt;"&amp;F86,'Trade Log'!$D$14:$D$25863,"&gt;="&amp;F85)</f>
        <v>0</v>
      </c>
      <c r="N86">
        <f t="shared" si="16"/>
        <v>47</v>
      </c>
      <c r="O86" t="str">
        <f>IF(D86="","",COUNTIF($D$15:D86,"="&amp;D86))</f>
        <v/>
      </c>
      <c r="P86">
        <f t="shared" si="17"/>
        <v>7.2000000000000124E-4</v>
      </c>
      <c r="Q86">
        <f t="shared" si="12"/>
        <v>0</v>
      </c>
      <c r="R86" t="str">
        <f t="shared" si="19"/>
        <v/>
      </c>
      <c r="S86" t="e">
        <f t="shared" si="13"/>
        <v>#NUM!</v>
      </c>
      <c r="T86" t="e">
        <f t="shared" si="14"/>
        <v>#NUM!</v>
      </c>
    </row>
    <row r="87" spans="3:20" ht="20.100000000000001" customHeight="1">
      <c r="C87" s="666">
        <f t="shared" si="15"/>
        <v>73</v>
      </c>
      <c r="D87" s="696"/>
      <c r="E87" s="696"/>
      <c r="F87" s="697"/>
      <c r="G87" s="935"/>
      <c r="H87" s="1112"/>
      <c r="I87" s="1112"/>
      <c r="J87" s="1112"/>
      <c r="K87" s="713"/>
      <c r="L87">
        <f t="shared" si="18"/>
        <v>1</v>
      </c>
      <c r="M87">
        <f>COUNTIFS('Trade Log'!$D$14:$D$25863,"&lt;"&amp;F87,'Trade Log'!$D$14:$D$25863,"&gt;="&amp;F86)</f>
        <v>0</v>
      </c>
      <c r="N87">
        <f t="shared" si="16"/>
        <v>47</v>
      </c>
      <c r="O87" t="str">
        <f>IF(D87="","",COUNTIF($D$15:D87,"="&amp;D87))</f>
        <v/>
      </c>
      <c r="P87">
        <f t="shared" si="17"/>
        <v>7.3000000000000126E-4</v>
      </c>
      <c r="Q87">
        <f t="shared" si="12"/>
        <v>0</v>
      </c>
      <c r="R87" t="str">
        <f t="shared" si="19"/>
        <v/>
      </c>
      <c r="S87" t="e">
        <f t="shared" si="13"/>
        <v>#NUM!</v>
      </c>
      <c r="T87" t="e">
        <f t="shared" si="14"/>
        <v>#NUM!</v>
      </c>
    </row>
    <row r="88" spans="3:20" ht="20.100000000000001" customHeight="1">
      <c r="C88" s="666">
        <f t="shared" si="15"/>
        <v>74</v>
      </c>
      <c r="D88" s="696"/>
      <c r="E88" s="696"/>
      <c r="F88" s="697"/>
      <c r="G88" s="935"/>
      <c r="H88" s="1112"/>
      <c r="I88" s="1112"/>
      <c r="J88" s="1112"/>
      <c r="K88" s="713"/>
      <c r="L88">
        <f t="shared" si="18"/>
        <v>1</v>
      </c>
      <c r="M88">
        <f>COUNTIFS('Trade Log'!$D$14:$D$25863,"&lt;"&amp;F88,'Trade Log'!$D$14:$D$25863,"&gt;="&amp;F87)</f>
        <v>0</v>
      </c>
      <c r="N88">
        <f t="shared" si="16"/>
        <v>47</v>
      </c>
      <c r="O88" t="str">
        <f>IF(D88="","",COUNTIF($D$15:D88,"="&amp;D88))</f>
        <v/>
      </c>
      <c r="P88">
        <f t="shared" si="17"/>
        <v>7.4000000000000129E-4</v>
      </c>
      <c r="Q88">
        <f t="shared" si="12"/>
        <v>0</v>
      </c>
      <c r="R88" t="str">
        <f t="shared" si="19"/>
        <v/>
      </c>
      <c r="S88" t="e">
        <f t="shared" si="13"/>
        <v>#NUM!</v>
      </c>
      <c r="T88" t="e">
        <f t="shared" si="14"/>
        <v>#NUM!</v>
      </c>
    </row>
    <row r="89" spans="3:20" ht="20.100000000000001" customHeight="1">
      <c r="C89" s="666">
        <f t="shared" si="15"/>
        <v>75</v>
      </c>
      <c r="D89" s="696"/>
      <c r="E89" s="696"/>
      <c r="F89" s="697"/>
      <c r="G89" s="935"/>
      <c r="H89" s="1112"/>
      <c r="I89" s="1112"/>
      <c r="J89" s="1112"/>
      <c r="K89" s="713"/>
      <c r="L89">
        <f t="shared" si="18"/>
        <v>1</v>
      </c>
      <c r="M89">
        <f>COUNTIFS('Trade Log'!$D$14:$D$25863,"&lt;"&amp;F89,'Trade Log'!$D$14:$D$25863,"&gt;="&amp;F88)</f>
        <v>0</v>
      </c>
      <c r="N89">
        <f t="shared" si="16"/>
        <v>47</v>
      </c>
      <c r="O89" t="str">
        <f>IF(D89="","",COUNTIF($D$15:D89,"="&amp;D89))</f>
        <v/>
      </c>
      <c r="P89">
        <f t="shared" si="17"/>
        <v>7.5000000000000132E-4</v>
      </c>
      <c r="Q89">
        <f t="shared" si="12"/>
        <v>0</v>
      </c>
      <c r="R89" t="str">
        <f t="shared" si="19"/>
        <v/>
      </c>
      <c r="S89" t="e">
        <f t="shared" si="13"/>
        <v>#NUM!</v>
      </c>
      <c r="T89" t="e">
        <f t="shared" si="14"/>
        <v>#NUM!</v>
      </c>
    </row>
    <row r="90" spans="3:20" ht="20.100000000000001" customHeight="1">
      <c r="C90" s="666">
        <f t="shared" si="15"/>
        <v>76</v>
      </c>
      <c r="D90" s="696"/>
      <c r="E90" s="696"/>
      <c r="F90" s="697"/>
      <c r="G90" s="935"/>
      <c r="H90" s="1112"/>
      <c r="I90" s="1112"/>
      <c r="J90" s="1112"/>
      <c r="K90" s="713"/>
      <c r="L90">
        <f t="shared" si="18"/>
        <v>1</v>
      </c>
      <c r="M90">
        <f>COUNTIFS('Trade Log'!$D$14:$D$25863,"&lt;"&amp;F90,'Trade Log'!$D$14:$D$25863,"&gt;="&amp;F89)</f>
        <v>0</v>
      </c>
      <c r="N90">
        <f t="shared" si="16"/>
        <v>47</v>
      </c>
      <c r="O90" t="str">
        <f>IF(D90="","",COUNTIF($D$15:D90,"="&amp;D90))</f>
        <v/>
      </c>
      <c r="P90">
        <f t="shared" si="17"/>
        <v>7.6000000000000134E-4</v>
      </c>
      <c r="Q90">
        <f t="shared" si="12"/>
        <v>0</v>
      </c>
      <c r="R90" t="str">
        <f t="shared" si="19"/>
        <v/>
      </c>
      <c r="S90" t="e">
        <f t="shared" si="13"/>
        <v>#NUM!</v>
      </c>
      <c r="T90" t="e">
        <f t="shared" si="14"/>
        <v>#NUM!</v>
      </c>
    </row>
    <row r="91" spans="3:20" ht="20.100000000000001" customHeight="1">
      <c r="C91" s="666">
        <f t="shared" si="15"/>
        <v>77</v>
      </c>
      <c r="D91" s="696"/>
      <c r="E91" s="696"/>
      <c r="F91" s="697"/>
      <c r="G91" s="935"/>
      <c r="H91" s="1112"/>
      <c r="I91" s="1112"/>
      <c r="J91" s="1112"/>
      <c r="K91" s="713"/>
      <c r="L91">
        <f t="shared" si="18"/>
        <v>1</v>
      </c>
      <c r="M91">
        <f>COUNTIFS('Trade Log'!$D$14:$D$25863,"&lt;"&amp;F91,'Trade Log'!$D$14:$D$25863,"&gt;="&amp;F90)</f>
        <v>0</v>
      </c>
      <c r="N91">
        <f t="shared" si="16"/>
        <v>47</v>
      </c>
      <c r="O91" t="str">
        <f>IF(D91="","",COUNTIF($D$15:D91,"="&amp;D91))</f>
        <v/>
      </c>
      <c r="P91">
        <f t="shared" si="17"/>
        <v>7.7000000000000137E-4</v>
      </c>
      <c r="Q91">
        <f t="shared" si="12"/>
        <v>0</v>
      </c>
      <c r="R91" t="str">
        <f t="shared" si="19"/>
        <v/>
      </c>
      <c r="S91" t="e">
        <f t="shared" si="13"/>
        <v>#NUM!</v>
      </c>
      <c r="T91" t="e">
        <f t="shared" si="14"/>
        <v>#NUM!</v>
      </c>
    </row>
    <row r="92" spans="3:20" ht="20.100000000000001" customHeight="1">
      <c r="C92" s="666">
        <f t="shared" si="15"/>
        <v>78</v>
      </c>
      <c r="D92" s="696"/>
      <c r="E92" s="696"/>
      <c r="F92" s="697"/>
      <c r="G92" s="935"/>
      <c r="H92" s="1112"/>
      <c r="I92" s="1112"/>
      <c r="J92" s="1112"/>
      <c r="K92" s="713"/>
      <c r="L92">
        <f t="shared" si="18"/>
        <v>1</v>
      </c>
      <c r="M92">
        <f>COUNTIFS('Trade Log'!$D$14:$D$25863,"&lt;"&amp;F92,'Trade Log'!$D$14:$D$25863,"&gt;="&amp;F91)</f>
        <v>0</v>
      </c>
      <c r="N92">
        <f t="shared" si="16"/>
        <v>47</v>
      </c>
      <c r="O92" t="str">
        <f>IF(D92="","",COUNTIF($D$15:D92,"="&amp;D92))</f>
        <v/>
      </c>
      <c r="P92">
        <f t="shared" si="17"/>
        <v>7.800000000000014E-4</v>
      </c>
      <c r="Q92">
        <f t="shared" si="12"/>
        <v>0</v>
      </c>
      <c r="R92" t="str">
        <f t="shared" si="19"/>
        <v/>
      </c>
      <c r="S92" t="e">
        <f t="shared" si="13"/>
        <v>#NUM!</v>
      </c>
      <c r="T92" t="e">
        <f t="shared" si="14"/>
        <v>#NUM!</v>
      </c>
    </row>
    <row r="93" spans="3:20" ht="20.100000000000001" customHeight="1">
      <c r="C93" s="666">
        <f t="shared" si="15"/>
        <v>79</v>
      </c>
      <c r="D93" s="696"/>
      <c r="E93" s="696"/>
      <c r="F93" s="697"/>
      <c r="G93" s="935"/>
      <c r="H93" s="1112"/>
      <c r="I93" s="1112"/>
      <c r="J93" s="1112"/>
      <c r="K93" s="713"/>
      <c r="L93">
        <f t="shared" si="18"/>
        <v>1</v>
      </c>
      <c r="M93">
        <f>COUNTIFS('Trade Log'!$D$14:$D$25863,"&lt;"&amp;F93,'Trade Log'!$D$14:$D$25863,"&gt;="&amp;F92)</f>
        <v>0</v>
      </c>
      <c r="N93">
        <f t="shared" si="16"/>
        <v>47</v>
      </c>
      <c r="O93" t="str">
        <f>IF(D93="","",COUNTIF($D$15:D93,"="&amp;D93))</f>
        <v/>
      </c>
      <c r="P93">
        <f t="shared" si="17"/>
        <v>7.9000000000000142E-4</v>
      </c>
      <c r="Q93">
        <f t="shared" si="12"/>
        <v>0</v>
      </c>
      <c r="R93" t="str">
        <f t="shared" si="19"/>
        <v/>
      </c>
      <c r="S93" t="e">
        <f t="shared" si="13"/>
        <v>#NUM!</v>
      </c>
      <c r="T93" t="e">
        <f t="shared" si="14"/>
        <v>#NUM!</v>
      </c>
    </row>
    <row r="94" spans="3:20" ht="20.100000000000001" customHeight="1">
      <c r="C94" s="666">
        <f t="shared" si="15"/>
        <v>80</v>
      </c>
      <c r="D94" s="696"/>
      <c r="E94" s="696"/>
      <c r="F94" s="697"/>
      <c r="G94" s="935"/>
      <c r="H94" s="1112"/>
      <c r="I94" s="1112"/>
      <c r="J94" s="1112"/>
      <c r="K94" s="713"/>
      <c r="L94">
        <f t="shared" si="18"/>
        <v>1</v>
      </c>
      <c r="M94">
        <f>COUNTIFS('Trade Log'!$D$14:$D$25863,"&lt;"&amp;F94,'Trade Log'!$D$14:$D$25863,"&gt;="&amp;F93)</f>
        <v>0</v>
      </c>
      <c r="N94">
        <f t="shared" si="16"/>
        <v>47</v>
      </c>
      <c r="O94" t="str">
        <f>IF(D94="","",COUNTIF($D$15:D94,"="&amp;D94))</f>
        <v/>
      </c>
      <c r="P94">
        <f t="shared" si="17"/>
        <v>8.0000000000000145E-4</v>
      </c>
      <c r="Q94">
        <f t="shared" si="12"/>
        <v>0</v>
      </c>
      <c r="R94" t="str">
        <f t="shared" si="19"/>
        <v/>
      </c>
      <c r="S94" t="e">
        <f t="shared" si="13"/>
        <v>#NUM!</v>
      </c>
      <c r="T94" t="e">
        <f t="shared" si="14"/>
        <v>#NUM!</v>
      </c>
    </row>
    <row r="95" spans="3:20" ht="20.100000000000001" customHeight="1">
      <c r="C95" s="666">
        <f t="shared" si="15"/>
        <v>81</v>
      </c>
      <c r="D95" s="696"/>
      <c r="E95" s="696"/>
      <c r="F95" s="697"/>
      <c r="G95" s="935"/>
      <c r="H95" s="1112"/>
      <c r="I95" s="1112"/>
      <c r="J95" s="1112"/>
      <c r="K95" s="713"/>
      <c r="L95">
        <f t="shared" si="18"/>
        <v>1</v>
      </c>
      <c r="M95">
        <f>COUNTIFS('Trade Log'!$D$14:$D$25863,"&lt;"&amp;F95,'Trade Log'!$D$14:$D$25863,"&gt;="&amp;F94)</f>
        <v>0</v>
      </c>
      <c r="N95">
        <f t="shared" si="16"/>
        <v>47</v>
      </c>
      <c r="O95" t="str">
        <f>IF(D95="","",COUNTIF($D$15:D95,"="&amp;D95))</f>
        <v/>
      </c>
      <c r="P95">
        <f t="shared" si="17"/>
        <v>8.1000000000000147E-4</v>
      </c>
      <c r="Q95">
        <f t="shared" si="12"/>
        <v>0</v>
      </c>
      <c r="R95" t="str">
        <f t="shared" si="19"/>
        <v/>
      </c>
      <c r="S95" t="e">
        <f t="shared" si="13"/>
        <v>#NUM!</v>
      </c>
      <c r="T95" t="e">
        <f t="shared" si="14"/>
        <v>#NUM!</v>
      </c>
    </row>
    <row r="96" spans="3:20" ht="20.100000000000001" customHeight="1">
      <c r="C96" s="666">
        <f t="shared" si="15"/>
        <v>82</v>
      </c>
      <c r="D96" s="696"/>
      <c r="E96" s="696"/>
      <c r="F96" s="697"/>
      <c r="G96" s="935"/>
      <c r="H96" s="1112"/>
      <c r="I96" s="1112"/>
      <c r="J96" s="1112"/>
      <c r="K96" s="713"/>
      <c r="L96">
        <f t="shared" si="18"/>
        <v>1</v>
      </c>
      <c r="M96">
        <f>COUNTIFS('Trade Log'!$D$14:$D$25863,"&lt;"&amp;F96,'Trade Log'!$D$14:$D$25863,"&gt;="&amp;F95)</f>
        <v>0</v>
      </c>
      <c r="N96">
        <f t="shared" si="16"/>
        <v>47</v>
      </c>
      <c r="O96" t="str">
        <f>IF(D96="","",COUNTIF($D$15:D96,"="&amp;D96))</f>
        <v/>
      </c>
      <c r="P96">
        <f t="shared" si="17"/>
        <v>8.200000000000015E-4</v>
      </c>
      <c r="Q96">
        <f t="shared" si="12"/>
        <v>0</v>
      </c>
      <c r="R96" t="str">
        <f t="shared" si="19"/>
        <v/>
      </c>
      <c r="S96" t="e">
        <f t="shared" si="13"/>
        <v>#NUM!</v>
      </c>
      <c r="T96" t="e">
        <f t="shared" si="14"/>
        <v>#NUM!</v>
      </c>
    </row>
    <row r="97" spans="3:20" ht="20.100000000000001" customHeight="1">
      <c r="C97" s="666">
        <f t="shared" si="15"/>
        <v>83</v>
      </c>
      <c r="D97" s="696"/>
      <c r="E97" s="696"/>
      <c r="F97" s="697"/>
      <c r="G97" s="935"/>
      <c r="H97" s="1112"/>
      <c r="I97" s="1112"/>
      <c r="J97" s="1112"/>
      <c r="K97" s="713"/>
      <c r="L97">
        <f t="shared" si="18"/>
        <v>1</v>
      </c>
      <c r="M97">
        <f>COUNTIFS('Trade Log'!$D$14:$D$25863,"&lt;"&amp;F97,'Trade Log'!$D$14:$D$25863,"&gt;="&amp;F96)</f>
        <v>0</v>
      </c>
      <c r="N97">
        <f t="shared" si="16"/>
        <v>47</v>
      </c>
      <c r="O97" t="str">
        <f>IF(D97="","",COUNTIF($D$15:D97,"="&amp;D97))</f>
        <v/>
      </c>
      <c r="P97">
        <f t="shared" si="17"/>
        <v>8.3000000000000153E-4</v>
      </c>
      <c r="Q97">
        <f t="shared" si="12"/>
        <v>0</v>
      </c>
      <c r="R97" t="str">
        <f t="shared" si="19"/>
        <v/>
      </c>
      <c r="S97" t="e">
        <f t="shared" si="13"/>
        <v>#NUM!</v>
      </c>
      <c r="T97" t="e">
        <f t="shared" si="14"/>
        <v>#NUM!</v>
      </c>
    </row>
    <row r="98" spans="3:20" ht="20.100000000000001" customHeight="1">
      <c r="C98" s="666">
        <f t="shared" si="15"/>
        <v>84</v>
      </c>
      <c r="D98" s="696"/>
      <c r="E98" s="696"/>
      <c r="F98" s="697"/>
      <c r="G98" s="935"/>
      <c r="H98" s="1112"/>
      <c r="I98" s="1112"/>
      <c r="J98" s="1112"/>
      <c r="K98" s="713"/>
      <c r="L98">
        <f t="shared" si="18"/>
        <v>1</v>
      </c>
      <c r="M98">
        <f>COUNTIFS('Trade Log'!$D$14:$D$25863,"&lt;"&amp;F98,'Trade Log'!$D$14:$D$25863,"&gt;="&amp;F97)</f>
        <v>0</v>
      </c>
      <c r="N98">
        <f t="shared" si="16"/>
        <v>47</v>
      </c>
      <c r="O98" t="str">
        <f>IF(D98="","",COUNTIF($D$15:D98,"="&amp;D98))</f>
        <v/>
      </c>
      <c r="P98">
        <f t="shared" si="17"/>
        <v>8.4000000000000155E-4</v>
      </c>
      <c r="Q98">
        <f t="shared" si="12"/>
        <v>0</v>
      </c>
      <c r="R98" t="str">
        <f t="shared" si="19"/>
        <v/>
      </c>
      <c r="S98" t="e">
        <f t="shared" si="13"/>
        <v>#NUM!</v>
      </c>
      <c r="T98" t="e">
        <f t="shared" si="14"/>
        <v>#NUM!</v>
      </c>
    </row>
    <row r="99" spans="3:20" ht="20.100000000000001" customHeight="1">
      <c r="C99" s="666">
        <f t="shared" si="15"/>
        <v>85</v>
      </c>
      <c r="D99" s="696"/>
      <c r="E99" s="696"/>
      <c r="F99" s="697"/>
      <c r="G99" s="935"/>
      <c r="H99" s="1112"/>
      <c r="I99" s="1112"/>
      <c r="J99" s="1112"/>
      <c r="K99" s="713"/>
      <c r="L99">
        <f t="shared" si="18"/>
        <v>1</v>
      </c>
      <c r="M99">
        <f>COUNTIFS('Trade Log'!$D$14:$D$25863,"&lt;"&amp;F99,'Trade Log'!$D$14:$D$25863,"&gt;="&amp;F98)</f>
        <v>0</v>
      </c>
      <c r="N99">
        <f t="shared" si="16"/>
        <v>47</v>
      </c>
      <c r="O99" t="str">
        <f>IF(D99="","",COUNTIF($D$15:D99,"="&amp;D99))</f>
        <v/>
      </c>
      <c r="P99">
        <f t="shared" si="17"/>
        <v>8.5000000000000158E-4</v>
      </c>
      <c r="Q99">
        <f t="shared" si="12"/>
        <v>0</v>
      </c>
      <c r="R99" t="str">
        <f t="shared" si="19"/>
        <v/>
      </c>
      <c r="S99" t="e">
        <f t="shared" si="13"/>
        <v>#NUM!</v>
      </c>
      <c r="T99" t="e">
        <f t="shared" si="14"/>
        <v>#NUM!</v>
      </c>
    </row>
    <row r="100" spans="3:20" ht="20.100000000000001" customHeight="1">
      <c r="C100" s="666">
        <f t="shared" si="15"/>
        <v>86</v>
      </c>
      <c r="D100" s="696"/>
      <c r="E100" s="696"/>
      <c r="F100" s="697"/>
      <c r="G100" s="935"/>
      <c r="H100" s="1112"/>
      <c r="I100" s="1112"/>
      <c r="J100" s="1112"/>
      <c r="K100" s="713"/>
      <c r="L100">
        <f t="shared" si="18"/>
        <v>1</v>
      </c>
      <c r="M100">
        <f>COUNTIFS('Trade Log'!$D$14:$D$25863,"&lt;"&amp;F100,'Trade Log'!$D$14:$D$25863,"&gt;="&amp;F99)</f>
        <v>0</v>
      </c>
      <c r="N100">
        <f t="shared" si="16"/>
        <v>47</v>
      </c>
      <c r="O100" t="str">
        <f>IF(D100="","",COUNTIF($D$15:D100,"="&amp;D100))</f>
        <v/>
      </c>
      <c r="P100">
        <f t="shared" si="17"/>
        <v>8.6000000000000161E-4</v>
      </c>
      <c r="Q100">
        <f t="shared" si="12"/>
        <v>0</v>
      </c>
      <c r="R100" t="str">
        <f t="shared" si="19"/>
        <v/>
      </c>
      <c r="S100" t="e">
        <f t="shared" si="13"/>
        <v>#NUM!</v>
      </c>
      <c r="T100" t="e">
        <f t="shared" si="14"/>
        <v>#NUM!</v>
      </c>
    </row>
    <row r="101" spans="3:20" ht="20.100000000000001" customHeight="1">
      <c r="C101" s="666">
        <f t="shared" si="15"/>
        <v>87</v>
      </c>
      <c r="D101" s="696"/>
      <c r="E101" s="696"/>
      <c r="F101" s="697"/>
      <c r="G101" s="935"/>
      <c r="H101" s="1112"/>
      <c r="I101" s="1112"/>
      <c r="J101" s="1112"/>
      <c r="K101" s="713"/>
      <c r="L101">
        <f t="shared" si="18"/>
        <v>1</v>
      </c>
      <c r="M101">
        <f>COUNTIFS('Trade Log'!$D$14:$D$25863,"&lt;"&amp;F101,'Trade Log'!$D$14:$D$25863,"&gt;="&amp;F100)</f>
        <v>0</v>
      </c>
      <c r="N101">
        <f t="shared" si="16"/>
        <v>47</v>
      </c>
      <c r="O101" t="str">
        <f>IF(D101="","",COUNTIF($D$15:D101,"="&amp;D101))</f>
        <v/>
      </c>
      <c r="P101">
        <f t="shared" si="17"/>
        <v>8.7000000000000163E-4</v>
      </c>
      <c r="Q101">
        <f t="shared" si="12"/>
        <v>0</v>
      </c>
      <c r="R101" t="str">
        <f t="shared" si="19"/>
        <v/>
      </c>
      <c r="S101" t="e">
        <f t="shared" si="13"/>
        <v>#NUM!</v>
      </c>
      <c r="T101" t="e">
        <f t="shared" si="14"/>
        <v>#NUM!</v>
      </c>
    </row>
    <row r="102" spans="3:20" ht="20.100000000000001" customHeight="1">
      <c r="C102" s="666">
        <f t="shared" si="15"/>
        <v>88</v>
      </c>
      <c r="D102" s="696"/>
      <c r="E102" s="696"/>
      <c r="F102" s="697"/>
      <c r="G102" s="935"/>
      <c r="H102" s="1112"/>
      <c r="I102" s="1112"/>
      <c r="J102" s="1112"/>
      <c r="K102" s="713"/>
      <c r="L102">
        <f t="shared" si="18"/>
        <v>1</v>
      </c>
      <c r="M102">
        <f>COUNTIFS('Trade Log'!$D$14:$D$25863,"&lt;"&amp;F102,'Trade Log'!$D$14:$D$25863,"&gt;="&amp;F101)</f>
        <v>0</v>
      </c>
      <c r="N102">
        <f t="shared" si="16"/>
        <v>47</v>
      </c>
      <c r="O102" t="str">
        <f>IF(D102="","",COUNTIF($D$15:D102,"="&amp;D102))</f>
        <v/>
      </c>
      <c r="P102">
        <f t="shared" si="17"/>
        <v>8.8000000000000166E-4</v>
      </c>
      <c r="Q102">
        <f t="shared" si="12"/>
        <v>0</v>
      </c>
      <c r="R102" t="str">
        <f t="shared" si="19"/>
        <v/>
      </c>
      <c r="S102" t="e">
        <f t="shared" si="13"/>
        <v>#NUM!</v>
      </c>
      <c r="T102" t="e">
        <f t="shared" si="14"/>
        <v>#NUM!</v>
      </c>
    </row>
    <row r="103" spans="3:20" ht="20.100000000000001" customHeight="1">
      <c r="C103" s="666">
        <f t="shared" si="15"/>
        <v>89</v>
      </c>
      <c r="D103" s="696"/>
      <c r="E103" s="696"/>
      <c r="F103" s="697"/>
      <c r="G103" s="935"/>
      <c r="H103" s="1112"/>
      <c r="I103" s="1112"/>
      <c r="J103" s="1112"/>
      <c r="K103" s="713"/>
      <c r="L103">
        <f t="shared" si="18"/>
        <v>1</v>
      </c>
      <c r="M103">
        <f>COUNTIFS('Trade Log'!$D$14:$D$25863,"&lt;"&amp;F103,'Trade Log'!$D$14:$D$25863,"&gt;="&amp;F102)</f>
        <v>0</v>
      </c>
      <c r="N103">
        <f t="shared" si="16"/>
        <v>47</v>
      </c>
      <c r="O103" t="str">
        <f>IF(D103="","",COUNTIF($D$15:D103,"="&amp;D103))</f>
        <v/>
      </c>
      <c r="P103">
        <f t="shared" si="17"/>
        <v>8.9000000000000168E-4</v>
      </c>
      <c r="Q103">
        <f t="shared" si="12"/>
        <v>0</v>
      </c>
      <c r="R103" t="str">
        <f t="shared" si="19"/>
        <v/>
      </c>
      <c r="S103" t="e">
        <f t="shared" si="13"/>
        <v>#NUM!</v>
      </c>
      <c r="T103" t="e">
        <f t="shared" si="14"/>
        <v>#NUM!</v>
      </c>
    </row>
    <row r="104" spans="3:20" ht="20.100000000000001" customHeight="1">
      <c r="C104" s="666">
        <f t="shared" si="15"/>
        <v>90</v>
      </c>
      <c r="D104" s="696"/>
      <c r="E104" s="696"/>
      <c r="F104" s="697"/>
      <c r="G104" s="935"/>
      <c r="H104" s="1112"/>
      <c r="I104" s="1112"/>
      <c r="J104" s="1112"/>
      <c r="K104" s="713"/>
      <c r="L104">
        <f t="shared" si="18"/>
        <v>1</v>
      </c>
      <c r="M104">
        <f>COUNTIFS('Trade Log'!$D$14:$D$25863,"&lt;"&amp;F104,'Trade Log'!$D$14:$D$25863,"&gt;="&amp;F103)</f>
        <v>0</v>
      </c>
      <c r="N104">
        <f t="shared" si="16"/>
        <v>47</v>
      </c>
      <c r="O104" t="str">
        <f>IF(D104="","",COUNTIF($D$15:D104,"="&amp;D104))</f>
        <v/>
      </c>
      <c r="P104">
        <f t="shared" si="17"/>
        <v>9.0000000000000171E-4</v>
      </c>
      <c r="Q104">
        <f t="shared" si="12"/>
        <v>0</v>
      </c>
      <c r="R104" t="str">
        <f t="shared" si="19"/>
        <v/>
      </c>
      <c r="S104" t="e">
        <f t="shared" si="13"/>
        <v>#NUM!</v>
      </c>
      <c r="T104" t="e">
        <f t="shared" si="14"/>
        <v>#NUM!</v>
      </c>
    </row>
    <row r="105" spans="3:20" ht="20.100000000000001" customHeight="1">
      <c r="C105" s="666">
        <f t="shared" si="15"/>
        <v>91</v>
      </c>
      <c r="D105" s="696"/>
      <c r="E105" s="696"/>
      <c r="F105" s="697"/>
      <c r="G105" s="935"/>
      <c r="H105" s="1112"/>
      <c r="I105" s="1112"/>
      <c r="J105" s="1112"/>
      <c r="K105" s="713"/>
      <c r="L105">
        <f t="shared" si="18"/>
        <v>1</v>
      </c>
      <c r="M105">
        <f>COUNTIFS('Trade Log'!$D$14:$D$25863,"&lt;"&amp;F105,'Trade Log'!$D$14:$D$25863,"&gt;="&amp;F104)</f>
        <v>0</v>
      </c>
      <c r="N105">
        <f t="shared" si="16"/>
        <v>47</v>
      </c>
      <c r="O105" t="str">
        <f>IF(D105="","",COUNTIF($D$15:D105,"="&amp;D105))</f>
        <v/>
      </c>
      <c r="P105">
        <f t="shared" si="17"/>
        <v>9.1000000000000174E-4</v>
      </c>
      <c r="Q105">
        <f t="shared" si="12"/>
        <v>0</v>
      </c>
      <c r="R105" t="str">
        <f t="shared" si="19"/>
        <v/>
      </c>
      <c r="S105" t="e">
        <f t="shared" si="13"/>
        <v>#NUM!</v>
      </c>
      <c r="T105" t="e">
        <f t="shared" si="14"/>
        <v>#NUM!</v>
      </c>
    </row>
    <row r="106" spans="3:20" ht="20.100000000000001" customHeight="1">
      <c r="C106" s="666">
        <f t="shared" si="15"/>
        <v>92</v>
      </c>
      <c r="D106" s="696"/>
      <c r="E106" s="696"/>
      <c r="F106" s="697"/>
      <c r="G106" s="935"/>
      <c r="H106" s="1112"/>
      <c r="I106" s="1112"/>
      <c r="J106" s="1112"/>
      <c r="K106" s="713"/>
      <c r="L106">
        <f t="shared" si="18"/>
        <v>1</v>
      </c>
      <c r="M106">
        <f>COUNTIFS('Trade Log'!$D$14:$D$25863,"&lt;"&amp;F106,'Trade Log'!$D$14:$D$25863,"&gt;="&amp;F105)</f>
        <v>0</v>
      </c>
      <c r="N106">
        <f t="shared" si="16"/>
        <v>47</v>
      </c>
      <c r="O106" t="str">
        <f>IF(D106="","",COUNTIF($D$15:D106,"="&amp;D106))</f>
        <v/>
      </c>
      <c r="P106">
        <f t="shared" si="17"/>
        <v>9.2000000000000176E-4</v>
      </c>
      <c r="Q106">
        <f t="shared" si="12"/>
        <v>0</v>
      </c>
      <c r="R106" t="str">
        <f t="shared" si="19"/>
        <v/>
      </c>
      <c r="S106" t="e">
        <f t="shared" si="13"/>
        <v>#NUM!</v>
      </c>
      <c r="T106" t="e">
        <f t="shared" si="14"/>
        <v>#NUM!</v>
      </c>
    </row>
    <row r="107" spans="3:20" ht="20.100000000000001" customHeight="1">
      <c r="C107" s="666">
        <f t="shared" si="15"/>
        <v>93</v>
      </c>
      <c r="D107" s="696"/>
      <c r="E107" s="696"/>
      <c r="F107" s="697"/>
      <c r="G107" s="935"/>
      <c r="H107" s="1112"/>
      <c r="I107" s="1112"/>
      <c r="J107" s="1112"/>
      <c r="K107" s="713"/>
      <c r="L107">
        <f t="shared" si="18"/>
        <v>1</v>
      </c>
      <c r="M107">
        <f>COUNTIFS('Trade Log'!$D$14:$D$25863,"&lt;"&amp;F107,'Trade Log'!$D$14:$D$25863,"&gt;="&amp;F106)</f>
        <v>0</v>
      </c>
      <c r="N107">
        <f t="shared" si="16"/>
        <v>47</v>
      </c>
      <c r="O107" t="str">
        <f>IF(D107="","",COUNTIF($D$15:D107,"="&amp;D107))</f>
        <v/>
      </c>
      <c r="P107">
        <f t="shared" si="17"/>
        <v>9.3000000000000179E-4</v>
      </c>
      <c r="Q107">
        <f t="shared" si="12"/>
        <v>0</v>
      </c>
      <c r="R107" t="str">
        <f t="shared" si="19"/>
        <v/>
      </c>
      <c r="S107" t="e">
        <f t="shared" si="13"/>
        <v>#NUM!</v>
      </c>
      <c r="T107" t="e">
        <f t="shared" si="14"/>
        <v>#NUM!</v>
      </c>
    </row>
    <row r="108" spans="3:20" ht="20.100000000000001" customHeight="1">
      <c r="C108" s="666">
        <f t="shared" si="15"/>
        <v>94</v>
      </c>
      <c r="D108" s="696"/>
      <c r="E108" s="696"/>
      <c r="F108" s="697"/>
      <c r="G108" s="935"/>
      <c r="H108" s="1112"/>
      <c r="I108" s="1112"/>
      <c r="J108" s="1112"/>
      <c r="K108" s="713"/>
      <c r="L108">
        <f t="shared" si="18"/>
        <v>1</v>
      </c>
      <c r="M108">
        <f>COUNTIFS('Trade Log'!$D$14:$D$25863,"&lt;"&amp;F108,'Trade Log'!$D$14:$D$25863,"&gt;="&amp;F107)</f>
        <v>0</v>
      </c>
      <c r="N108">
        <f t="shared" si="16"/>
        <v>47</v>
      </c>
      <c r="O108" t="str">
        <f>IF(D108="","",COUNTIF($D$15:D108,"="&amp;D108))</f>
        <v/>
      </c>
      <c r="P108">
        <f t="shared" si="17"/>
        <v>9.4000000000000182E-4</v>
      </c>
      <c r="Q108">
        <f t="shared" si="12"/>
        <v>0</v>
      </c>
      <c r="R108" t="str">
        <f t="shared" si="19"/>
        <v/>
      </c>
      <c r="S108" t="e">
        <f t="shared" si="13"/>
        <v>#NUM!</v>
      </c>
      <c r="T108" t="e">
        <f t="shared" si="14"/>
        <v>#NUM!</v>
      </c>
    </row>
    <row r="109" spans="3:20" ht="20.100000000000001" customHeight="1">
      <c r="C109" s="666">
        <f t="shared" si="15"/>
        <v>95</v>
      </c>
      <c r="D109" s="696"/>
      <c r="E109" s="696"/>
      <c r="F109" s="697"/>
      <c r="G109" s="935"/>
      <c r="H109" s="1112"/>
      <c r="I109" s="1112"/>
      <c r="J109" s="1112"/>
      <c r="K109" s="713"/>
      <c r="L109">
        <f t="shared" si="18"/>
        <v>1</v>
      </c>
      <c r="M109">
        <f>COUNTIFS('Trade Log'!$D$14:$D$25863,"&lt;"&amp;F109,'Trade Log'!$D$14:$D$25863,"&gt;="&amp;F108)</f>
        <v>0</v>
      </c>
      <c r="N109">
        <f t="shared" si="16"/>
        <v>47</v>
      </c>
      <c r="O109" t="str">
        <f>IF(D109="","",COUNTIF($D$15:D109,"="&amp;D109))</f>
        <v/>
      </c>
      <c r="P109">
        <f t="shared" si="17"/>
        <v>9.5000000000000184E-4</v>
      </c>
      <c r="Q109">
        <f t="shared" si="12"/>
        <v>0</v>
      </c>
      <c r="R109" t="str">
        <f t="shared" si="19"/>
        <v/>
      </c>
      <c r="S109" t="e">
        <f t="shared" si="13"/>
        <v>#NUM!</v>
      </c>
      <c r="T109" t="e">
        <f t="shared" si="14"/>
        <v>#NUM!</v>
      </c>
    </row>
    <row r="110" spans="3:20" ht="20.100000000000001" customHeight="1">
      <c r="C110" s="666">
        <f t="shared" si="15"/>
        <v>96</v>
      </c>
      <c r="D110" s="696"/>
      <c r="E110" s="696"/>
      <c r="F110" s="697"/>
      <c r="G110" s="935"/>
      <c r="H110" s="1112"/>
      <c r="I110" s="1112"/>
      <c r="J110" s="1112"/>
      <c r="K110" s="713"/>
      <c r="L110">
        <f t="shared" si="18"/>
        <v>1</v>
      </c>
      <c r="M110">
        <f>COUNTIFS('Trade Log'!$D$14:$D$25863,"&lt;"&amp;F110,'Trade Log'!$D$14:$D$25863,"&gt;="&amp;F109)</f>
        <v>0</v>
      </c>
      <c r="N110">
        <f t="shared" si="16"/>
        <v>47</v>
      </c>
      <c r="O110" t="str">
        <f>IF(D110="","",COUNTIF($D$15:D110,"="&amp;D110))</f>
        <v/>
      </c>
      <c r="P110">
        <f t="shared" si="17"/>
        <v>9.6000000000000187E-4</v>
      </c>
      <c r="Q110">
        <f t="shared" si="12"/>
        <v>0</v>
      </c>
      <c r="R110" t="str">
        <f t="shared" si="19"/>
        <v/>
      </c>
      <c r="S110" t="e">
        <f t="shared" si="13"/>
        <v>#NUM!</v>
      </c>
      <c r="T110" t="e">
        <f t="shared" si="14"/>
        <v>#NUM!</v>
      </c>
    </row>
    <row r="111" spans="3:20" ht="20.100000000000001" customHeight="1">
      <c r="C111" s="666">
        <f t="shared" si="15"/>
        <v>97</v>
      </c>
      <c r="D111" s="696"/>
      <c r="E111" s="696"/>
      <c r="F111" s="697"/>
      <c r="G111" s="935"/>
      <c r="H111" s="1112"/>
      <c r="I111" s="1112"/>
      <c r="J111" s="1112"/>
      <c r="K111" s="713"/>
      <c r="L111">
        <f t="shared" si="18"/>
        <v>1</v>
      </c>
      <c r="M111">
        <f>COUNTIFS('Trade Log'!$D$14:$D$25863,"&lt;"&amp;F111,'Trade Log'!$D$14:$D$25863,"&gt;="&amp;F110)</f>
        <v>0</v>
      </c>
      <c r="N111">
        <f t="shared" si="16"/>
        <v>47</v>
      </c>
      <c r="O111" t="str">
        <f>IF(D111="","",COUNTIF($D$15:D111,"="&amp;D111))</f>
        <v/>
      </c>
      <c r="P111">
        <f t="shared" si="17"/>
        <v>9.7000000000000189E-4</v>
      </c>
      <c r="Q111">
        <f t="shared" ref="Q111:Q142" si="20">SUMIF($D$15:$D$174,D111,$G$15:$G$174)</f>
        <v>0</v>
      </c>
      <c r="R111" t="str">
        <f t="shared" si="19"/>
        <v/>
      </c>
      <c r="S111" t="e">
        <f t="shared" ref="S111:S142" si="21">LARGE($R$15:$R$174,C111)</f>
        <v>#NUM!</v>
      </c>
      <c r="T111" t="e">
        <f t="shared" si="14"/>
        <v>#NUM!</v>
      </c>
    </row>
    <row r="112" spans="3:20" ht="20.100000000000001" customHeight="1">
      <c r="C112" s="666">
        <f t="shared" si="15"/>
        <v>98</v>
      </c>
      <c r="D112" s="696"/>
      <c r="E112" s="696"/>
      <c r="F112" s="697"/>
      <c r="G112" s="935"/>
      <c r="H112" s="1112"/>
      <c r="I112" s="1112"/>
      <c r="J112" s="1112"/>
      <c r="K112" s="713"/>
      <c r="L112">
        <f t="shared" si="18"/>
        <v>1</v>
      </c>
      <c r="M112">
        <f>COUNTIFS('Trade Log'!$D$14:$D$25863,"&lt;"&amp;F112,'Trade Log'!$D$14:$D$25863,"&gt;="&amp;F111)</f>
        <v>0</v>
      </c>
      <c r="N112">
        <f t="shared" si="16"/>
        <v>47</v>
      </c>
      <c r="O112" t="str">
        <f>IF(D112="","",COUNTIF($D$15:D112,"="&amp;D112))</f>
        <v/>
      </c>
      <c r="P112">
        <f t="shared" si="17"/>
        <v>9.8000000000000192E-4</v>
      </c>
      <c r="Q112">
        <f t="shared" si="20"/>
        <v>0</v>
      </c>
      <c r="R112" t="str">
        <f t="shared" si="19"/>
        <v/>
      </c>
      <c r="S112" t="e">
        <f t="shared" si="21"/>
        <v>#NUM!</v>
      </c>
      <c r="T112" t="e">
        <f t="shared" si="14"/>
        <v>#NUM!</v>
      </c>
    </row>
    <row r="113" spans="3:20" ht="20.100000000000001" customHeight="1">
      <c r="C113" s="666">
        <f t="shared" si="15"/>
        <v>99</v>
      </c>
      <c r="D113" s="696"/>
      <c r="E113" s="696"/>
      <c r="F113" s="697"/>
      <c r="G113" s="935"/>
      <c r="H113" s="1112"/>
      <c r="I113" s="1112"/>
      <c r="J113" s="1112"/>
      <c r="K113" s="713"/>
      <c r="L113">
        <f t="shared" si="18"/>
        <v>1</v>
      </c>
      <c r="M113">
        <f>COUNTIFS('Trade Log'!$D$14:$D$25863,"&lt;"&amp;F113,'Trade Log'!$D$14:$D$25863,"&gt;="&amp;F112)</f>
        <v>0</v>
      </c>
      <c r="N113">
        <f t="shared" si="16"/>
        <v>47</v>
      </c>
      <c r="O113" t="str">
        <f>IF(D113="","",COUNTIF($D$15:D113,"="&amp;D113))</f>
        <v/>
      </c>
      <c r="P113">
        <f t="shared" si="17"/>
        <v>9.9000000000000195E-4</v>
      </c>
      <c r="Q113">
        <f t="shared" si="20"/>
        <v>0</v>
      </c>
      <c r="R113" t="str">
        <f t="shared" si="19"/>
        <v/>
      </c>
      <c r="S113" t="e">
        <f t="shared" si="21"/>
        <v>#NUM!</v>
      </c>
      <c r="T113" t="e">
        <f t="shared" si="14"/>
        <v>#NUM!</v>
      </c>
    </row>
    <row r="114" spans="3:20" ht="20.100000000000001" customHeight="1">
      <c r="C114" s="666">
        <f t="shared" si="15"/>
        <v>100</v>
      </c>
      <c r="D114" s="696"/>
      <c r="E114" s="696"/>
      <c r="F114" s="697"/>
      <c r="G114" s="935"/>
      <c r="H114" s="1112"/>
      <c r="I114" s="1112"/>
      <c r="J114" s="1112"/>
      <c r="K114" s="713"/>
      <c r="L114">
        <f t="shared" ref="L114:L173" si="22">DATE(YEAR(F114),MONTH(F114),DAY(1))</f>
        <v>1</v>
      </c>
      <c r="M114">
        <f>COUNTIFS('Trade Log'!$D$14:$D$25863,"&lt;"&amp;F114,'Trade Log'!$D$14:$D$25863,"&gt;="&amp;F113)</f>
        <v>0</v>
      </c>
      <c r="N114">
        <f t="shared" ref="N114:N173" si="23">M114+N113</f>
        <v>47</v>
      </c>
      <c r="O114" t="str">
        <f>IF(D114="","",COUNTIF($D$15:D114,"="&amp;D114))</f>
        <v/>
      </c>
      <c r="P114">
        <f t="shared" si="17"/>
        <v>1.000000000000002E-3</v>
      </c>
      <c r="Q114">
        <f t="shared" si="20"/>
        <v>0</v>
      </c>
      <c r="R114" t="str">
        <f t="shared" si="19"/>
        <v/>
      </c>
      <c r="S114" t="e">
        <f t="shared" si="21"/>
        <v>#NUM!</v>
      </c>
      <c r="T114" t="e">
        <f t="shared" si="14"/>
        <v>#NUM!</v>
      </c>
    </row>
    <row r="115" spans="3:20" ht="20.100000000000001" customHeight="1">
      <c r="C115" s="666">
        <f t="shared" si="15"/>
        <v>101</v>
      </c>
      <c r="D115" s="696"/>
      <c r="E115" s="696"/>
      <c r="F115" s="697"/>
      <c r="G115" s="935"/>
      <c r="H115" s="1112"/>
      <c r="I115" s="1112"/>
      <c r="J115" s="1112"/>
      <c r="K115" s="713"/>
      <c r="L115">
        <f t="shared" si="22"/>
        <v>1</v>
      </c>
      <c r="M115">
        <f>COUNTIFS('Trade Log'!$D$14:$D$25863,"&lt;"&amp;F115,'Trade Log'!$D$14:$D$25863,"&gt;="&amp;F114)</f>
        <v>0</v>
      </c>
      <c r="N115">
        <f t="shared" si="23"/>
        <v>47</v>
      </c>
      <c r="O115" t="str">
        <f>IF(D115="","",COUNTIF($D$15:D115,"="&amp;D115))</f>
        <v/>
      </c>
      <c r="P115">
        <f t="shared" si="17"/>
        <v>1.010000000000002E-3</v>
      </c>
      <c r="Q115">
        <f t="shared" si="20"/>
        <v>0</v>
      </c>
      <c r="R115" t="str">
        <f t="shared" si="19"/>
        <v/>
      </c>
      <c r="S115" t="e">
        <f t="shared" si="21"/>
        <v>#NUM!</v>
      </c>
      <c r="T115" t="e">
        <f t="shared" si="14"/>
        <v>#NUM!</v>
      </c>
    </row>
    <row r="116" spans="3:20" ht="20.100000000000001" customHeight="1">
      <c r="C116" s="666">
        <f t="shared" si="15"/>
        <v>102</v>
      </c>
      <c r="D116" s="696"/>
      <c r="E116" s="696"/>
      <c r="F116" s="697"/>
      <c r="G116" s="935"/>
      <c r="H116" s="1112"/>
      <c r="I116" s="1112"/>
      <c r="J116" s="1112"/>
      <c r="K116" s="713"/>
      <c r="L116">
        <f t="shared" si="22"/>
        <v>1</v>
      </c>
      <c r="M116">
        <f>COUNTIFS('Trade Log'!$D$14:$D$25863,"&lt;"&amp;F116,'Trade Log'!$D$14:$D$25863,"&gt;="&amp;F115)</f>
        <v>0</v>
      </c>
      <c r="N116">
        <f t="shared" si="23"/>
        <v>47</v>
      </c>
      <c r="O116" t="str">
        <f>IF(D116="","",COUNTIF($D$15:D116,"="&amp;D116))</f>
        <v/>
      </c>
      <c r="P116">
        <f t="shared" si="17"/>
        <v>1.020000000000002E-3</v>
      </c>
      <c r="Q116">
        <f t="shared" si="20"/>
        <v>0</v>
      </c>
      <c r="R116" t="str">
        <f t="shared" si="19"/>
        <v/>
      </c>
      <c r="S116" t="e">
        <f t="shared" si="21"/>
        <v>#NUM!</v>
      </c>
      <c r="T116" t="e">
        <f t="shared" si="14"/>
        <v>#NUM!</v>
      </c>
    </row>
    <row r="117" spans="3:20" ht="20.100000000000001" customHeight="1">
      <c r="C117" s="666">
        <f t="shared" si="15"/>
        <v>103</v>
      </c>
      <c r="D117" s="696"/>
      <c r="E117" s="696"/>
      <c r="F117" s="697"/>
      <c r="G117" s="935"/>
      <c r="H117" s="1112"/>
      <c r="I117" s="1112"/>
      <c r="J117" s="1112"/>
      <c r="K117" s="713"/>
      <c r="L117">
        <f t="shared" si="22"/>
        <v>1</v>
      </c>
      <c r="M117">
        <f>COUNTIFS('Trade Log'!$D$14:$D$25863,"&lt;"&amp;F117,'Trade Log'!$D$14:$D$25863,"&gt;="&amp;F116)</f>
        <v>0</v>
      </c>
      <c r="N117">
        <f t="shared" si="23"/>
        <v>47</v>
      </c>
      <c r="O117" t="str">
        <f>IF(D117="","",COUNTIF($D$15:D117,"="&amp;D117))</f>
        <v/>
      </c>
      <c r="P117">
        <f t="shared" si="17"/>
        <v>1.0300000000000021E-3</v>
      </c>
      <c r="Q117">
        <f t="shared" si="20"/>
        <v>0</v>
      </c>
      <c r="R117" t="str">
        <f t="shared" si="19"/>
        <v/>
      </c>
      <c r="S117" t="e">
        <f t="shared" si="21"/>
        <v>#NUM!</v>
      </c>
      <c r="T117" t="e">
        <f t="shared" si="14"/>
        <v>#NUM!</v>
      </c>
    </row>
    <row r="118" spans="3:20" ht="20.100000000000001" customHeight="1">
      <c r="C118" s="666">
        <f t="shared" si="15"/>
        <v>104</v>
      </c>
      <c r="D118" s="696"/>
      <c r="E118" s="696"/>
      <c r="F118" s="697"/>
      <c r="G118" s="935"/>
      <c r="H118" s="1112"/>
      <c r="I118" s="1112"/>
      <c r="J118" s="1112"/>
      <c r="K118" s="713"/>
      <c r="L118">
        <f t="shared" si="22"/>
        <v>1</v>
      </c>
      <c r="M118">
        <f>COUNTIFS('Trade Log'!$D$14:$D$25863,"&lt;"&amp;F118,'Trade Log'!$D$14:$D$25863,"&gt;="&amp;F117)</f>
        <v>0</v>
      </c>
      <c r="N118">
        <f t="shared" si="23"/>
        <v>47</v>
      </c>
      <c r="O118" t="str">
        <f>IF(D118="","",COUNTIF($D$15:D118,"="&amp;D118))</f>
        <v/>
      </c>
      <c r="P118">
        <f t="shared" si="17"/>
        <v>1.0400000000000021E-3</v>
      </c>
      <c r="Q118">
        <f t="shared" si="20"/>
        <v>0</v>
      </c>
      <c r="R118" t="str">
        <f t="shared" si="19"/>
        <v/>
      </c>
      <c r="S118" t="e">
        <f t="shared" si="21"/>
        <v>#NUM!</v>
      </c>
      <c r="T118" t="e">
        <f t="shared" si="14"/>
        <v>#NUM!</v>
      </c>
    </row>
    <row r="119" spans="3:20" ht="20.100000000000001" customHeight="1">
      <c r="C119" s="666">
        <f t="shared" si="15"/>
        <v>105</v>
      </c>
      <c r="D119" s="696"/>
      <c r="E119" s="696"/>
      <c r="F119" s="697"/>
      <c r="G119" s="935"/>
      <c r="H119" s="1112"/>
      <c r="I119" s="1112"/>
      <c r="J119" s="1112"/>
      <c r="K119" s="713"/>
      <c r="L119">
        <f t="shared" si="22"/>
        <v>1</v>
      </c>
      <c r="M119">
        <f>COUNTIFS('Trade Log'!$D$14:$D$25863,"&lt;"&amp;F119,'Trade Log'!$D$14:$D$25863,"&gt;="&amp;F118)</f>
        <v>0</v>
      </c>
      <c r="N119">
        <f t="shared" si="23"/>
        <v>47</v>
      </c>
      <c r="O119" t="str">
        <f>IF(D119="","",COUNTIF($D$15:D119,"="&amp;D119))</f>
        <v/>
      </c>
      <c r="P119">
        <f t="shared" si="17"/>
        <v>1.0500000000000021E-3</v>
      </c>
      <c r="Q119">
        <f t="shared" si="20"/>
        <v>0</v>
      </c>
      <c r="R119" t="str">
        <f t="shared" si="19"/>
        <v/>
      </c>
      <c r="S119" t="e">
        <f t="shared" si="21"/>
        <v>#NUM!</v>
      </c>
      <c r="T119" t="e">
        <f t="shared" si="14"/>
        <v>#NUM!</v>
      </c>
    </row>
    <row r="120" spans="3:20" ht="20.100000000000001" customHeight="1">
      <c r="C120" s="666">
        <f t="shared" si="15"/>
        <v>106</v>
      </c>
      <c r="D120" s="696"/>
      <c r="E120" s="696"/>
      <c r="F120" s="697"/>
      <c r="G120" s="935"/>
      <c r="H120" s="1112"/>
      <c r="I120" s="1112"/>
      <c r="J120" s="1112"/>
      <c r="K120" s="713"/>
      <c r="L120">
        <f t="shared" si="22"/>
        <v>1</v>
      </c>
      <c r="M120">
        <f>COUNTIFS('Trade Log'!$D$14:$D$25863,"&lt;"&amp;F120,'Trade Log'!$D$14:$D$25863,"&gt;="&amp;F119)</f>
        <v>0</v>
      </c>
      <c r="N120">
        <f t="shared" si="23"/>
        <v>47</v>
      </c>
      <c r="O120" t="str">
        <f>IF(D120="","",COUNTIF($D$15:D120,"="&amp;D120))</f>
        <v/>
      </c>
      <c r="P120">
        <f t="shared" si="17"/>
        <v>1.0600000000000021E-3</v>
      </c>
      <c r="Q120">
        <f t="shared" si="20"/>
        <v>0</v>
      </c>
      <c r="R120" t="str">
        <f t="shared" si="19"/>
        <v/>
      </c>
      <c r="S120" t="e">
        <f t="shared" si="21"/>
        <v>#NUM!</v>
      </c>
      <c r="T120" t="e">
        <f t="shared" si="14"/>
        <v>#NUM!</v>
      </c>
    </row>
    <row r="121" spans="3:20" ht="20.100000000000001" customHeight="1">
      <c r="C121" s="666">
        <f t="shared" si="15"/>
        <v>107</v>
      </c>
      <c r="D121" s="696"/>
      <c r="E121" s="696"/>
      <c r="F121" s="697"/>
      <c r="G121" s="935"/>
      <c r="H121" s="1112"/>
      <c r="I121" s="1112"/>
      <c r="J121" s="1112"/>
      <c r="K121" s="713"/>
      <c r="L121">
        <f t="shared" si="22"/>
        <v>1</v>
      </c>
      <c r="M121">
        <f>COUNTIFS('Trade Log'!$D$14:$D$25863,"&lt;"&amp;F121,'Trade Log'!$D$14:$D$25863,"&gt;="&amp;F120)</f>
        <v>0</v>
      </c>
      <c r="N121">
        <f t="shared" si="23"/>
        <v>47</v>
      </c>
      <c r="O121" t="str">
        <f>IF(D121="","",COUNTIF($D$15:D121,"="&amp;D121))</f>
        <v/>
      </c>
      <c r="P121">
        <f t="shared" si="17"/>
        <v>1.0700000000000022E-3</v>
      </c>
      <c r="Q121">
        <f t="shared" si="20"/>
        <v>0</v>
      </c>
      <c r="R121" t="str">
        <f t="shared" si="19"/>
        <v/>
      </c>
      <c r="S121" t="e">
        <f t="shared" si="21"/>
        <v>#NUM!</v>
      </c>
      <c r="T121" t="e">
        <f t="shared" si="14"/>
        <v>#NUM!</v>
      </c>
    </row>
    <row r="122" spans="3:20" ht="20.100000000000001" customHeight="1">
      <c r="C122" s="666">
        <f t="shared" si="15"/>
        <v>108</v>
      </c>
      <c r="D122" s="696"/>
      <c r="E122" s="696"/>
      <c r="F122" s="697"/>
      <c r="G122" s="935"/>
      <c r="H122" s="1112"/>
      <c r="I122" s="1112"/>
      <c r="J122" s="1112"/>
      <c r="K122" s="713"/>
      <c r="L122">
        <f t="shared" si="22"/>
        <v>1</v>
      </c>
      <c r="M122">
        <f>COUNTIFS('Trade Log'!$D$14:$D$25863,"&lt;"&amp;F122,'Trade Log'!$D$14:$D$25863,"&gt;="&amp;F121)</f>
        <v>0</v>
      </c>
      <c r="N122">
        <f t="shared" si="23"/>
        <v>47</v>
      </c>
      <c r="O122" t="str">
        <f>IF(D122="","",COUNTIF($D$15:D122,"="&amp;D122))</f>
        <v/>
      </c>
      <c r="P122">
        <f t="shared" si="17"/>
        <v>1.0800000000000022E-3</v>
      </c>
      <c r="Q122">
        <f t="shared" si="20"/>
        <v>0</v>
      </c>
      <c r="R122" t="str">
        <f t="shared" si="19"/>
        <v/>
      </c>
      <c r="S122" t="e">
        <f t="shared" si="21"/>
        <v>#NUM!</v>
      </c>
      <c r="T122" t="e">
        <f t="shared" si="14"/>
        <v>#NUM!</v>
      </c>
    </row>
    <row r="123" spans="3:20" ht="20.100000000000001" customHeight="1">
      <c r="C123" s="666">
        <f t="shared" si="15"/>
        <v>109</v>
      </c>
      <c r="D123" s="696"/>
      <c r="E123" s="696"/>
      <c r="F123" s="697"/>
      <c r="G123" s="935"/>
      <c r="H123" s="1112"/>
      <c r="I123" s="1112"/>
      <c r="J123" s="1112"/>
      <c r="K123" s="713"/>
      <c r="L123">
        <f t="shared" si="22"/>
        <v>1</v>
      </c>
      <c r="M123">
        <f>COUNTIFS('Trade Log'!$D$14:$D$25863,"&lt;"&amp;F123,'Trade Log'!$D$14:$D$25863,"&gt;="&amp;F122)</f>
        <v>0</v>
      </c>
      <c r="N123">
        <f t="shared" si="23"/>
        <v>47</v>
      </c>
      <c r="O123" t="str">
        <f>IF(D123="","",COUNTIF($D$15:D123,"="&amp;D123))</f>
        <v/>
      </c>
      <c r="P123">
        <f t="shared" si="17"/>
        <v>1.0900000000000022E-3</v>
      </c>
      <c r="Q123">
        <f t="shared" si="20"/>
        <v>0</v>
      </c>
      <c r="R123" t="str">
        <f t="shared" si="19"/>
        <v/>
      </c>
      <c r="S123" t="e">
        <f t="shared" si="21"/>
        <v>#NUM!</v>
      </c>
      <c r="T123" t="e">
        <f t="shared" si="14"/>
        <v>#NUM!</v>
      </c>
    </row>
    <row r="124" spans="3:20" ht="20.100000000000001" customHeight="1">
      <c r="C124" s="666">
        <f t="shared" si="15"/>
        <v>110</v>
      </c>
      <c r="D124" s="696"/>
      <c r="E124" s="696"/>
      <c r="F124" s="697"/>
      <c r="G124" s="935"/>
      <c r="H124" s="1112"/>
      <c r="I124" s="1112"/>
      <c r="J124" s="1112"/>
      <c r="K124" s="713"/>
      <c r="L124">
        <f t="shared" si="22"/>
        <v>1</v>
      </c>
      <c r="M124">
        <f>COUNTIFS('Trade Log'!$D$14:$D$25863,"&lt;"&amp;F124,'Trade Log'!$D$14:$D$25863,"&gt;="&amp;F123)</f>
        <v>0</v>
      </c>
      <c r="N124">
        <f t="shared" si="23"/>
        <v>47</v>
      </c>
      <c r="O124" t="str">
        <f>IF(D124="","",COUNTIF($D$15:D124,"="&amp;D124))</f>
        <v/>
      </c>
      <c r="P124">
        <f t="shared" si="17"/>
        <v>1.1000000000000022E-3</v>
      </c>
      <c r="Q124">
        <f t="shared" si="20"/>
        <v>0</v>
      </c>
      <c r="R124" t="str">
        <f t="shared" si="19"/>
        <v/>
      </c>
      <c r="S124" t="e">
        <f t="shared" si="21"/>
        <v>#NUM!</v>
      </c>
      <c r="T124" t="e">
        <f t="shared" si="14"/>
        <v>#NUM!</v>
      </c>
    </row>
    <row r="125" spans="3:20" ht="20.100000000000001" customHeight="1">
      <c r="C125" s="666">
        <f t="shared" si="15"/>
        <v>111</v>
      </c>
      <c r="D125" s="696"/>
      <c r="E125" s="696"/>
      <c r="F125" s="697"/>
      <c r="G125" s="935"/>
      <c r="H125" s="1112"/>
      <c r="I125" s="1112"/>
      <c r="J125" s="1112"/>
      <c r="K125" s="713"/>
      <c r="L125">
        <f t="shared" si="22"/>
        <v>1</v>
      </c>
      <c r="M125">
        <f>COUNTIFS('Trade Log'!$D$14:$D$25863,"&lt;"&amp;F125,'Trade Log'!$D$14:$D$25863,"&gt;="&amp;F124)</f>
        <v>0</v>
      </c>
      <c r="N125">
        <f t="shared" si="23"/>
        <v>47</v>
      </c>
      <c r="O125" t="str">
        <f>IF(D125="","",COUNTIF($D$15:D125,"="&amp;D125))</f>
        <v/>
      </c>
      <c r="P125">
        <f t="shared" si="17"/>
        <v>1.1100000000000023E-3</v>
      </c>
      <c r="Q125">
        <f t="shared" si="20"/>
        <v>0</v>
      </c>
      <c r="R125" t="str">
        <f t="shared" si="19"/>
        <v/>
      </c>
      <c r="S125" t="e">
        <f t="shared" si="21"/>
        <v>#NUM!</v>
      </c>
      <c r="T125" t="e">
        <f t="shared" si="14"/>
        <v>#NUM!</v>
      </c>
    </row>
    <row r="126" spans="3:20" ht="20.100000000000001" customHeight="1">
      <c r="C126" s="666">
        <f t="shared" si="15"/>
        <v>112</v>
      </c>
      <c r="D126" s="696"/>
      <c r="E126" s="696"/>
      <c r="F126" s="697"/>
      <c r="G126" s="935"/>
      <c r="H126" s="1112"/>
      <c r="I126" s="1112"/>
      <c r="J126" s="1112"/>
      <c r="K126" s="713"/>
      <c r="L126">
        <f t="shared" si="22"/>
        <v>1</v>
      </c>
      <c r="M126">
        <f>COUNTIFS('Trade Log'!$D$14:$D$25863,"&lt;"&amp;F126,'Trade Log'!$D$14:$D$25863,"&gt;="&amp;F125)</f>
        <v>0</v>
      </c>
      <c r="N126">
        <f t="shared" si="23"/>
        <v>47</v>
      </c>
      <c r="O126" t="str">
        <f>IF(D126="","",COUNTIF($D$15:D126,"="&amp;D126))</f>
        <v/>
      </c>
      <c r="P126">
        <f t="shared" si="17"/>
        <v>1.1200000000000023E-3</v>
      </c>
      <c r="Q126">
        <f t="shared" si="20"/>
        <v>0</v>
      </c>
      <c r="R126" t="str">
        <f t="shared" si="19"/>
        <v/>
      </c>
      <c r="S126" t="e">
        <f t="shared" si="21"/>
        <v>#NUM!</v>
      </c>
      <c r="T126" t="e">
        <f t="shared" si="14"/>
        <v>#NUM!</v>
      </c>
    </row>
    <row r="127" spans="3:20" ht="20.100000000000001" customHeight="1">
      <c r="C127" s="666">
        <f t="shared" si="15"/>
        <v>113</v>
      </c>
      <c r="D127" s="696"/>
      <c r="E127" s="696"/>
      <c r="F127" s="697"/>
      <c r="G127" s="935"/>
      <c r="H127" s="1112"/>
      <c r="I127" s="1112"/>
      <c r="J127" s="1112"/>
      <c r="K127" s="713"/>
      <c r="L127">
        <f t="shared" si="22"/>
        <v>1</v>
      </c>
      <c r="M127">
        <f>COUNTIFS('Trade Log'!$D$14:$D$25863,"&lt;"&amp;F127,'Trade Log'!$D$14:$D$25863,"&gt;="&amp;F126)</f>
        <v>0</v>
      </c>
      <c r="N127">
        <f t="shared" si="23"/>
        <v>47</v>
      </c>
      <c r="O127" t="str">
        <f>IF(D127="","",COUNTIF($D$15:D127,"="&amp;D127))</f>
        <v/>
      </c>
      <c r="P127">
        <f t="shared" si="17"/>
        <v>1.1300000000000023E-3</v>
      </c>
      <c r="Q127">
        <f t="shared" si="20"/>
        <v>0</v>
      </c>
      <c r="R127" t="str">
        <f t="shared" si="19"/>
        <v/>
      </c>
      <c r="S127" t="e">
        <f t="shared" si="21"/>
        <v>#NUM!</v>
      </c>
      <c r="T127" t="e">
        <f t="shared" si="14"/>
        <v>#NUM!</v>
      </c>
    </row>
    <row r="128" spans="3:20" ht="20.100000000000001" customHeight="1">
      <c r="C128" s="666">
        <f t="shared" si="15"/>
        <v>114</v>
      </c>
      <c r="D128" s="696"/>
      <c r="E128" s="696"/>
      <c r="F128" s="697"/>
      <c r="G128" s="935"/>
      <c r="H128" s="1112"/>
      <c r="I128" s="1112"/>
      <c r="J128" s="1112"/>
      <c r="K128" s="713"/>
      <c r="L128">
        <f t="shared" si="22"/>
        <v>1</v>
      </c>
      <c r="M128">
        <f>COUNTIFS('Trade Log'!$D$14:$D$25863,"&lt;"&amp;F128,'Trade Log'!$D$14:$D$25863,"&gt;="&amp;F127)</f>
        <v>0</v>
      </c>
      <c r="N128">
        <f t="shared" si="23"/>
        <v>47</v>
      </c>
      <c r="O128" t="str">
        <f>IF(D128="","",COUNTIF($D$15:D128,"="&amp;D128))</f>
        <v/>
      </c>
      <c r="P128">
        <f t="shared" si="17"/>
        <v>1.1400000000000023E-3</v>
      </c>
      <c r="Q128">
        <f t="shared" si="20"/>
        <v>0</v>
      </c>
      <c r="R128" t="str">
        <f t="shared" si="19"/>
        <v/>
      </c>
      <c r="S128" t="e">
        <f t="shared" si="21"/>
        <v>#NUM!</v>
      </c>
      <c r="T128" t="e">
        <f t="shared" si="14"/>
        <v>#NUM!</v>
      </c>
    </row>
    <row r="129" spans="3:20" ht="20.100000000000001" customHeight="1">
      <c r="C129" s="666">
        <f t="shared" si="15"/>
        <v>115</v>
      </c>
      <c r="D129" s="696"/>
      <c r="E129" s="696"/>
      <c r="F129" s="697"/>
      <c r="G129" s="935"/>
      <c r="H129" s="1112"/>
      <c r="I129" s="1112"/>
      <c r="J129" s="1112"/>
      <c r="K129" s="713"/>
      <c r="L129">
        <f t="shared" si="22"/>
        <v>1</v>
      </c>
      <c r="M129">
        <f>COUNTIFS('Trade Log'!$D$14:$D$25863,"&lt;"&amp;F129,'Trade Log'!$D$14:$D$25863,"&gt;="&amp;F128)</f>
        <v>0</v>
      </c>
      <c r="N129">
        <f t="shared" si="23"/>
        <v>47</v>
      </c>
      <c r="O129" t="str">
        <f>IF(D129="","",COUNTIF($D$15:D129,"="&amp;D129))</f>
        <v/>
      </c>
      <c r="P129">
        <f t="shared" si="17"/>
        <v>1.1500000000000024E-3</v>
      </c>
      <c r="Q129">
        <f t="shared" si="20"/>
        <v>0</v>
      </c>
      <c r="R129" t="str">
        <f t="shared" si="19"/>
        <v/>
      </c>
      <c r="S129" t="e">
        <f t="shared" si="21"/>
        <v>#NUM!</v>
      </c>
      <c r="T129" t="e">
        <f t="shared" si="14"/>
        <v>#NUM!</v>
      </c>
    </row>
    <row r="130" spans="3:20" ht="20.100000000000001" customHeight="1">
      <c r="C130" s="666">
        <f t="shared" si="15"/>
        <v>116</v>
      </c>
      <c r="D130" s="696"/>
      <c r="E130" s="696"/>
      <c r="F130" s="697"/>
      <c r="G130" s="935"/>
      <c r="H130" s="1112"/>
      <c r="I130" s="1112"/>
      <c r="J130" s="1112"/>
      <c r="K130" s="713"/>
      <c r="L130">
        <f t="shared" si="22"/>
        <v>1</v>
      </c>
      <c r="M130">
        <f>COUNTIFS('Trade Log'!$D$14:$D$25863,"&lt;"&amp;F130,'Trade Log'!$D$14:$D$25863,"&gt;="&amp;F129)</f>
        <v>0</v>
      </c>
      <c r="N130">
        <f t="shared" si="23"/>
        <v>47</v>
      </c>
      <c r="O130" t="str">
        <f>IF(D130="","",COUNTIF($D$15:D130,"="&amp;D130))</f>
        <v/>
      </c>
      <c r="P130">
        <f t="shared" si="17"/>
        <v>1.1600000000000024E-3</v>
      </c>
      <c r="Q130">
        <f t="shared" si="20"/>
        <v>0</v>
      </c>
      <c r="R130" t="str">
        <f t="shared" si="19"/>
        <v/>
      </c>
      <c r="S130" t="e">
        <f t="shared" si="21"/>
        <v>#NUM!</v>
      </c>
      <c r="T130" t="e">
        <f t="shared" si="14"/>
        <v>#NUM!</v>
      </c>
    </row>
    <row r="131" spans="3:20" ht="20.100000000000001" customHeight="1">
      <c r="C131" s="666">
        <f t="shared" si="15"/>
        <v>117</v>
      </c>
      <c r="D131" s="696"/>
      <c r="E131" s="696"/>
      <c r="F131" s="697"/>
      <c r="G131" s="935"/>
      <c r="H131" s="1112"/>
      <c r="I131" s="1112"/>
      <c r="J131" s="1112"/>
      <c r="K131" s="713"/>
      <c r="L131">
        <f t="shared" si="22"/>
        <v>1</v>
      </c>
      <c r="M131">
        <f>COUNTIFS('Trade Log'!$D$14:$D$25863,"&lt;"&amp;F131,'Trade Log'!$D$14:$D$25863,"&gt;="&amp;F130)</f>
        <v>0</v>
      </c>
      <c r="N131">
        <f t="shared" si="23"/>
        <v>47</v>
      </c>
      <c r="O131" t="str">
        <f>IF(D131="","",COUNTIF($D$15:D131,"="&amp;D131))</f>
        <v/>
      </c>
      <c r="P131">
        <f t="shared" si="17"/>
        <v>1.1700000000000024E-3</v>
      </c>
      <c r="Q131">
        <f t="shared" si="20"/>
        <v>0</v>
      </c>
      <c r="R131" t="str">
        <f t="shared" si="19"/>
        <v/>
      </c>
      <c r="S131" t="e">
        <f t="shared" si="21"/>
        <v>#NUM!</v>
      </c>
      <c r="T131" t="e">
        <f t="shared" si="14"/>
        <v>#NUM!</v>
      </c>
    </row>
    <row r="132" spans="3:20" ht="20.100000000000001" customHeight="1">
      <c r="C132" s="666">
        <f t="shared" si="15"/>
        <v>118</v>
      </c>
      <c r="D132" s="696"/>
      <c r="E132" s="696"/>
      <c r="F132" s="697"/>
      <c r="G132" s="935"/>
      <c r="H132" s="1112"/>
      <c r="I132" s="1112"/>
      <c r="J132" s="1112"/>
      <c r="K132" s="713"/>
      <c r="L132">
        <f t="shared" si="22"/>
        <v>1</v>
      </c>
      <c r="M132">
        <f>COUNTIFS('Trade Log'!$D$14:$D$25863,"&lt;"&amp;F132,'Trade Log'!$D$14:$D$25863,"&gt;="&amp;F131)</f>
        <v>0</v>
      </c>
      <c r="N132">
        <f t="shared" si="23"/>
        <v>47</v>
      </c>
      <c r="O132" t="str">
        <f>IF(D132="","",COUNTIF($D$15:D132,"="&amp;D132))</f>
        <v/>
      </c>
      <c r="P132">
        <f t="shared" si="17"/>
        <v>1.1800000000000024E-3</v>
      </c>
      <c r="Q132">
        <f t="shared" si="20"/>
        <v>0</v>
      </c>
      <c r="R132" t="str">
        <f t="shared" si="19"/>
        <v/>
      </c>
      <c r="S132" t="e">
        <f t="shared" si="21"/>
        <v>#NUM!</v>
      </c>
      <c r="T132" t="e">
        <f t="shared" si="14"/>
        <v>#NUM!</v>
      </c>
    </row>
    <row r="133" spans="3:20" ht="20.100000000000001" customHeight="1">
      <c r="C133" s="666">
        <f t="shared" si="15"/>
        <v>119</v>
      </c>
      <c r="D133" s="696"/>
      <c r="E133" s="696"/>
      <c r="F133" s="697"/>
      <c r="G133" s="935"/>
      <c r="H133" s="1112"/>
      <c r="I133" s="1112"/>
      <c r="J133" s="1112"/>
      <c r="K133" s="713"/>
      <c r="L133">
        <f t="shared" si="22"/>
        <v>1</v>
      </c>
      <c r="M133">
        <f>COUNTIFS('Trade Log'!$D$14:$D$25863,"&lt;"&amp;F133,'Trade Log'!$D$14:$D$25863,"&gt;="&amp;F132)</f>
        <v>0</v>
      </c>
      <c r="N133">
        <f t="shared" si="23"/>
        <v>47</v>
      </c>
      <c r="O133" t="str">
        <f>IF(D133="","",COUNTIF($D$15:D133,"="&amp;D133))</f>
        <v/>
      </c>
      <c r="P133">
        <f t="shared" si="17"/>
        <v>1.1900000000000025E-3</v>
      </c>
      <c r="Q133">
        <f t="shared" si="20"/>
        <v>0</v>
      </c>
      <c r="R133" t="str">
        <f t="shared" si="19"/>
        <v/>
      </c>
      <c r="S133" t="e">
        <f t="shared" si="21"/>
        <v>#NUM!</v>
      </c>
      <c r="T133" t="e">
        <f t="shared" si="14"/>
        <v>#NUM!</v>
      </c>
    </row>
    <row r="134" spans="3:20" ht="20.100000000000001" customHeight="1">
      <c r="C134" s="666">
        <f t="shared" si="15"/>
        <v>120</v>
      </c>
      <c r="D134" s="696"/>
      <c r="E134" s="696"/>
      <c r="F134" s="697"/>
      <c r="G134" s="935"/>
      <c r="H134" s="1112"/>
      <c r="I134" s="1112"/>
      <c r="J134" s="1112"/>
      <c r="K134" s="713"/>
      <c r="L134">
        <f t="shared" si="22"/>
        <v>1</v>
      </c>
      <c r="M134">
        <f>COUNTIFS('Trade Log'!$D$14:$D$25863,"&lt;"&amp;F134,'Trade Log'!$D$14:$D$25863,"&gt;="&amp;F133)</f>
        <v>0</v>
      </c>
      <c r="N134">
        <f t="shared" si="23"/>
        <v>47</v>
      </c>
      <c r="O134" t="str">
        <f>IF(D134="","",COUNTIF($D$15:D134,"="&amp;D134))</f>
        <v/>
      </c>
      <c r="P134">
        <f t="shared" si="17"/>
        <v>1.2000000000000025E-3</v>
      </c>
      <c r="Q134">
        <f t="shared" si="20"/>
        <v>0</v>
      </c>
      <c r="R134" t="str">
        <f t="shared" si="19"/>
        <v/>
      </c>
      <c r="S134" t="e">
        <f t="shared" si="21"/>
        <v>#NUM!</v>
      </c>
      <c r="T134" t="e">
        <f t="shared" si="14"/>
        <v>#NUM!</v>
      </c>
    </row>
    <row r="135" spans="3:20" ht="20.100000000000001" customHeight="1">
      <c r="C135" s="666">
        <f t="shared" si="15"/>
        <v>121</v>
      </c>
      <c r="D135" s="696"/>
      <c r="E135" s="696"/>
      <c r="F135" s="697"/>
      <c r="G135" s="935"/>
      <c r="H135" s="1112"/>
      <c r="I135" s="1112"/>
      <c r="J135" s="1112"/>
      <c r="K135" s="713"/>
      <c r="L135">
        <f t="shared" si="22"/>
        <v>1</v>
      </c>
      <c r="M135">
        <f>COUNTIFS('Trade Log'!$D$14:$D$25863,"&lt;"&amp;F135,'Trade Log'!$D$14:$D$25863,"&gt;="&amp;F134)</f>
        <v>0</v>
      </c>
      <c r="N135">
        <f t="shared" si="23"/>
        <v>47</v>
      </c>
      <c r="O135" t="str">
        <f>IF(D135="","",COUNTIF($D$15:D135,"="&amp;D135))</f>
        <v/>
      </c>
      <c r="P135">
        <f t="shared" si="17"/>
        <v>1.2100000000000025E-3</v>
      </c>
      <c r="Q135">
        <f t="shared" si="20"/>
        <v>0</v>
      </c>
      <c r="R135" t="str">
        <f t="shared" si="19"/>
        <v/>
      </c>
      <c r="S135" t="e">
        <f t="shared" si="21"/>
        <v>#NUM!</v>
      </c>
      <c r="T135" t="e">
        <f t="shared" si="14"/>
        <v>#NUM!</v>
      </c>
    </row>
    <row r="136" spans="3:20" ht="20.100000000000001" customHeight="1">
      <c r="C136" s="666">
        <f t="shared" si="15"/>
        <v>122</v>
      </c>
      <c r="D136" s="696"/>
      <c r="E136" s="696"/>
      <c r="F136" s="697"/>
      <c r="G136" s="935"/>
      <c r="H136" s="1112"/>
      <c r="I136" s="1112"/>
      <c r="J136" s="1112"/>
      <c r="K136" s="713"/>
      <c r="L136">
        <f t="shared" si="22"/>
        <v>1</v>
      </c>
      <c r="M136">
        <f>COUNTIFS('Trade Log'!$D$14:$D$25863,"&lt;"&amp;F136,'Trade Log'!$D$14:$D$25863,"&gt;="&amp;F135)</f>
        <v>0</v>
      </c>
      <c r="N136">
        <f t="shared" si="23"/>
        <v>47</v>
      </c>
      <c r="O136" t="str">
        <f>IF(D136="","",COUNTIF($D$15:D136,"="&amp;D136))</f>
        <v/>
      </c>
      <c r="P136">
        <f t="shared" si="17"/>
        <v>1.2200000000000025E-3</v>
      </c>
      <c r="Q136">
        <f t="shared" si="20"/>
        <v>0</v>
      </c>
      <c r="R136" t="str">
        <f t="shared" si="19"/>
        <v/>
      </c>
      <c r="S136" t="e">
        <f t="shared" si="21"/>
        <v>#NUM!</v>
      </c>
      <c r="T136" t="e">
        <f t="shared" si="14"/>
        <v>#NUM!</v>
      </c>
    </row>
    <row r="137" spans="3:20" ht="20.100000000000001" customHeight="1">
      <c r="C137" s="666">
        <f t="shared" si="15"/>
        <v>123</v>
      </c>
      <c r="D137" s="696"/>
      <c r="E137" s="696"/>
      <c r="F137" s="697"/>
      <c r="G137" s="935"/>
      <c r="H137" s="1112"/>
      <c r="I137" s="1112"/>
      <c r="J137" s="1112"/>
      <c r="K137" s="713"/>
      <c r="L137">
        <f t="shared" si="22"/>
        <v>1</v>
      </c>
      <c r="M137">
        <f>COUNTIFS('Trade Log'!$D$14:$D$25863,"&lt;"&amp;F137,'Trade Log'!$D$14:$D$25863,"&gt;="&amp;F136)</f>
        <v>0</v>
      </c>
      <c r="N137">
        <f t="shared" si="23"/>
        <v>47</v>
      </c>
      <c r="O137" t="str">
        <f>IF(D137="","",COUNTIF($D$15:D137,"="&amp;D137))</f>
        <v/>
      </c>
      <c r="P137">
        <f t="shared" si="17"/>
        <v>1.2300000000000026E-3</v>
      </c>
      <c r="Q137">
        <f t="shared" si="20"/>
        <v>0</v>
      </c>
      <c r="R137" t="str">
        <f t="shared" si="19"/>
        <v/>
      </c>
      <c r="S137" t="e">
        <f t="shared" si="21"/>
        <v>#NUM!</v>
      </c>
      <c r="T137" t="e">
        <f t="shared" si="14"/>
        <v>#NUM!</v>
      </c>
    </row>
    <row r="138" spans="3:20" ht="20.100000000000001" customHeight="1">
      <c r="C138" s="666">
        <f t="shared" si="15"/>
        <v>124</v>
      </c>
      <c r="D138" s="696"/>
      <c r="E138" s="696"/>
      <c r="F138" s="697"/>
      <c r="G138" s="935"/>
      <c r="H138" s="1112"/>
      <c r="I138" s="1112"/>
      <c r="J138" s="1112"/>
      <c r="K138" s="713"/>
      <c r="L138">
        <f t="shared" si="22"/>
        <v>1</v>
      </c>
      <c r="M138">
        <f>COUNTIFS('Trade Log'!$D$14:$D$25863,"&lt;"&amp;F138,'Trade Log'!$D$14:$D$25863,"&gt;="&amp;F137)</f>
        <v>0</v>
      </c>
      <c r="N138">
        <f t="shared" si="23"/>
        <v>47</v>
      </c>
      <c r="O138" t="str">
        <f>IF(D138="","",COUNTIF($D$15:D138,"="&amp;D138))</f>
        <v/>
      </c>
      <c r="P138">
        <f t="shared" si="17"/>
        <v>1.2400000000000026E-3</v>
      </c>
      <c r="Q138">
        <f t="shared" si="20"/>
        <v>0</v>
      </c>
      <c r="R138" t="str">
        <f t="shared" si="19"/>
        <v/>
      </c>
      <c r="S138" t="e">
        <f t="shared" si="21"/>
        <v>#NUM!</v>
      </c>
      <c r="T138" t="e">
        <f t="shared" si="14"/>
        <v>#NUM!</v>
      </c>
    </row>
    <row r="139" spans="3:20" ht="20.100000000000001" customHeight="1">
      <c r="C139" s="666">
        <f t="shared" si="15"/>
        <v>125</v>
      </c>
      <c r="D139" s="696"/>
      <c r="E139" s="696"/>
      <c r="F139" s="697"/>
      <c r="G139" s="935"/>
      <c r="H139" s="1112"/>
      <c r="I139" s="1112"/>
      <c r="J139" s="1112"/>
      <c r="K139" s="713"/>
      <c r="L139">
        <f t="shared" si="22"/>
        <v>1</v>
      </c>
      <c r="M139">
        <f>COUNTIFS('Trade Log'!$D$14:$D$25863,"&lt;"&amp;F139,'Trade Log'!$D$14:$D$25863,"&gt;="&amp;F138)</f>
        <v>0</v>
      </c>
      <c r="N139">
        <f t="shared" si="23"/>
        <v>47</v>
      </c>
      <c r="O139" t="str">
        <f>IF(D139="","",COUNTIF($D$15:D139,"="&amp;D139))</f>
        <v/>
      </c>
      <c r="P139">
        <f t="shared" si="17"/>
        <v>1.2500000000000026E-3</v>
      </c>
      <c r="Q139">
        <f t="shared" si="20"/>
        <v>0</v>
      </c>
      <c r="R139" t="str">
        <f t="shared" si="19"/>
        <v/>
      </c>
      <c r="S139" t="e">
        <f t="shared" si="21"/>
        <v>#NUM!</v>
      </c>
      <c r="T139" t="e">
        <f t="shared" si="14"/>
        <v>#NUM!</v>
      </c>
    </row>
    <row r="140" spans="3:20" ht="20.100000000000001" customHeight="1">
      <c r="C140" s="666">
        <f t="shared" si="15"/>
        <v>126</v>
      </c>
      <c r="D140" s="696"/>
      <c r="E140" s="696"/>
      <c r="F140" s="697"/>
      <c r="G140" s="935"/>
      <c r="H140" s="1112"/>
      <c r="I140" s="1112"/>
      <c r="J140" s="1112"/>
      <c r="K140" s="713"/>
      <c r="L140">
        <f t="shared" si="22"/>
        <v>1</v>
      </c>
      <c r="M140">
        <f>COUNTIFS('Trade Log'!$D$14:$D$25863,"&lt;"&amp;F140,'Trade Log'!$D$14:$D$25863,"&gt;="&amp;F139)</f>
        <v>0</v>
      </c>
      <c r="N140">
        <f t="shared" si="23"/>
        <v>47</v>
      </c>
      <c r="O140" t="str">
        <f>IF(D140="","",COUNTIF($D$15:D140,"="&amp;D140))</f>
        <v/>
      </c>
      <c r="P140">
        <f t="shared" si="17"/>
        <v>1.2600000000000027E-3</v>
      </c>
      <c r="Q140">
        <f t="shared" si="20"/>
        <v>0</v>
      </c>
      <c r="R140" t="str">
        <f t="shared" si="19"/>
        <v/>
      </c>
      <c r="S140" t="e">
        <f t="shared" si="21"/>
        <v>#NUM!</v>
      </c>
      <c r="T140" t="e">
        <f t="shared" si="14"/>
        <v>#NUM!</v>
      </c>
    </row>
    <row r="141" spans="3:20" ht="20.100000000000001" customHeight="1">
      <c r="C141" s="666">
        <f t="shared" si="15"/>
        <v>127</v>
      </c>
      <c r="D141" s="696"/>
      <c r="E141" s="696"/>
      <c r="F141" s="697"/>
      <c r="G141" s="935"/>
      <c r="H141" s="1112"/>
      <c r="I141" s="1112"/>
      <c r="J141" s="1112"/>
      <c r="K141" s="713"/>
      <c r="L141">
        <f t="shared" si="22"/>
        <v>1</v>
      </c>
      <c r="M141">
        <f>COUNTIFS('Trade Log'!$D$14:$D$25863,"&lt;"&amp;F141,'Trade Log'!$D$14:$D$25863,"&gt;="&amp;F140)</f>
        <v>0</v>
      </c>
      <c r="N141">
        <f t="shared" si="23"/>
        <v>47</v>
      </c>
      <c r="O141" t="str">
        <f>IF(D141="","",COUNTIF($D$15:D141,"="&amp;D141))</f>
        <v/>
      </c>
      <c r="P141">
        <f t="shared" si="17"/>
        <v>1.2700000000000027E-3</v>
      </c>
      <c r="Q141">
        <f t="shared" si="20"/>
        <v>0</v>
      </c>
      <c r="R141" t="str">
        <f t="shared" si="19"/>
        <v/>
      </c>
      <c r="S141" t="e">
        <f t="shared" si="21"/>
        <v>#NUM!</v>
      </c>
      <c r="T141" t="e">
        <f t="shared" si="14"/>
        <v>#NUM!</v>
      </c>
    </row>
    <row r="142" spans="3:20" ht="20.100000000000001" customHeight="1">
      <c r="C142" s="666">
        <f t="shared" si="15"/>
        <v>128</v>
      </c>
      <c r="D142" s="696"/>
      <c r="E142" s="696"/>
      <c r="F142" s="697"/>
      <c r="G142" s="935"/>
      <c r="H142" s="1112"/>
      <c r="I142" s="1112"/>
      <c r="J142" s="1112"/>
      <c r="K142" s="713"/>
      <c r="L142">
        <f t="shared" si="22"/>
        <v>1</v>
      </c>
      <c r="M142">
        <f>COUNTIFS('Trade Log'!$D$14:$D$25863,"&lt;"&amp;F142,'Trade Log'!$D$14:$D$25863,"&gt;="&amp;F141)</f>
        <v>0</v>
      </c>
      <c r="N142">
        <f t="shared" si="23"/>
        <v>47</v>
      </c>
      <c r="O142" t="str">
        <f>IF(D142="","",COUNTIF($D$15:D142,"="&amp;D142))</f>
        <v/>
      </c>
      <c r="P142">
        <f t="shared" si="17"/>
        <v>1.2800000000000027E-3</v>
      </c>
      <c r="Q142">
        <f t="shared" si="20"/>
        <v>0</v>
      </c>
      <c r="R142" t="str">
        <f t="shared" si="19"/>
        <v/>
      </c>
      <c r="S142" t="e">
        <f t="shared" si="21"/>
        <v>#NUM!</v>
      </c>
      <c r="T142" t="e">
        <f t="shared" si="14"/>
        <v>#NUM!</v>
      </c>
    </row>
    <row r="143" spans="3:20" ht="20.100000000000001" customHeight="1">
      <c r="C143" s="666">
        <f t="shared" si="15"/>
        <v>129</v>
      </c>
      <c r="D143" s="696"/>
      <c r="E143" s="696"/>
      <c r="F143" s="697"/>
      <c r="G143" s="935"/>
      <c r="H143" s="1112"/>
      <c r="I143" s="1112"/>
      <c r="J143" s="1112"/>
      <c r="K143" s="713"/>
      <c r="L143">
        <f t="shared" si="22"/>
        <v>1</v>
      </c>
      <c r="M143">
        <f>COUNTIFS('Trade Log'!$D$14:$D$25863,"&lt;"&amp;F143,'Trade Log'!$D$14:$D$25863,"&gt;="&amp;F142)</f>
        <v>0</v>
      </c>
      <c r="N143">
        <f t="shared" si="23"/>
        <v>47</v>
      </c>
      <c r="O143" t="str">
        <f>IF(D143="","",COUNTIF($D$15:D143,"="&amp;D143))</f>
        <v/>
      </c>
      <c r="P143">
        <f t="shared" si="17"/>
        <v>1.2900000000000027E-3</v>
      </c>
      <c r="Q143">
        <f t="shared" ref="Q143:Q174" si="24">SUMIF($D$15:$D$174,D143,$G$15:$G$174)</f>
        <v>0</v>
      </c>
      <c r="R143" t="str">
        <f t="shared" si="19"/>
        <v/>
      </c>
      <c r="S143" t="e">
        <f t="shared" ref="S143:S174" si="25">LARGE($R$15:$R$174,C143)</f>
        <v>#NUM!</v>
      </c>
      <c r="T143" t="e">
        <f t="shared" si="14"/>
        <v>#NUM!</v>
      </c>
    </row>
    <row r="144" spans="3:20" ht="20.100000000000001" customHeight="1">
      <c r="C144" s="666">
        <f t="shared" si="15"/>
        <v>130</v>
      </c>
      <c r="D144" s="696"/>
      <c r="E144" s="696"/>
      <c r="F144" s="697"/>
      <c r="G144" s="935"/>
      <c r="H144" s="1112"/>
      <c r="I144" s="1112"/>
      <c r="J144" s="1112"/>
      <c r="K144" s="713"/>
      <c r="L144">
        <f t="shared" si="22"/>
        <v>1</v>
      </c>
      <c r="M144">
        <f>COUNTIFS('Trade Log'!$D$14:$D$25863,"&lt;"&amp;F144,'Trade Log'!$D$14:$D$25863,"&gt;="&amp;F143)</f>
        <v>0</v>
      </c>
      <c r="N144">
        <f t="shared" si="23"/>
        <v>47</v>
      </c>
      <c r="O144" t="str">
        <f>IF(D144="","",COUNTIF($D$15:D144,"="&amp;D144))</f>
        <v/>
      </c>
      <c r="P144">
        <f t="shared" si="17"/>
        <v>1.3000000000000028E-3</v>
      </c>
      <c r="Q144">
        <f t="shared" si="24"/>
        <v>0</v>
      </c>
      <c r="R144" t="str">
        <f t="shared" si="19"/>
        <v/>
      </c>
      <c r="S144" t="e">
        <f t="shared" si="25"/>
        <v>#NUM!</v>
      </c>
      <c r="T144" t="e">
        <f t="shared" ref="T144:T174" si="26">MATCH(S144,$R$15:$R$174,0)</f>
        <v>#NUM!</v>
      </c>
    </row>
    <row r="145" spans="3:20" ht="20.100000000000001" customHeight="1">
      <c r="C145" s="666">
        <f t="shared" ref="C145:C174" si="27">C144+1</f>
        <v>131</v>
      </c>
      <c r="D145" s="696"/>
      <c r="E145" s="696"/>
      <c r="F145" s="697"/>
      <c r="G145" s="935"/>
      <c r="H145" s="1112"/>
      <c r="I145" s="1112"/>
      <c r="J145" s="1112"/>
      <c r="K145" s="713"/>
      <c r="L145">
        <f t="shared" si="22"/>
        <v>1</v>
      </c>
      <c r="M145">
        <f>COUNTIFS('Trade Log'!$D$14:$D$25863,"&lt;"&amp;F145,'Trade Log'!$D$14:$D$25863,"&gt;="&amp;F144)</f>
        <v>0</v>
      </c>
      <c r="N145">
        <f t="shared" si="23"/>
        <v>47</v>
      </c>
      <c r="O145" t="str">
        <f>IF(D145="","",COUNTIF($D$15:D145,"="&amp;D145))</f>
        <v/>
      </c>
      <c r="P145">
        <f t="shared" ref="P145:P174" si="28">P144+0.00001</f>
        <v>1.3100000000000028E-3</v>
      </c>
      <c r="Q145">
        <f t="shared" si="24"/>
        <v>0</v>
      </c>
      <c r="R145" t="str">
        <f t="shared" si="19"/>
        <v/>
      </c>
      <c r="S145" t="e">
        <f t="shared" si="25"/>
        <v>#NUM!</v>
      </c>
      <c r="T145" t="e">
        <f t="shared" si="26"/>
        <v>#NUM!</v>
      </c>
    </row>
    <row r="146" spans="3:20" ht="20.100000000000001" customHeight="1">
      <c r="C146" s="666">
        <f t="shared" si="27"/>
        <v>132</v>
      </c>
      <c r="D146" s="696"/>
      <c r="E146" s="696"/>
      <c r="F146" s="697"/>
      <c r="G146" s="935"/>
      <c r="H146" s="1112"/>
      <c r="I146" s="1112"/>
      <c r="J146" s="1112"/>
      <c r="K146" s="713"/>
      <c r="L146">
        <f t="shared" si="22"/>
        <v>1</v>
      </c>
      <c r="M146">
        <f>COUNTIFS('Trade Log'!$D$14:$D$25863,"&lt;"&amp;F146,'Trade Log'!$D$14:$D$25863,"&gt;="&amp;F145)</f>
        <v>0</v>
      </c>
      <c r="N146">
        <f t="shared" si="23"/>
        <v>47</v>
      </c>
      <c r="O146" t="str">
        <f>IF(D146="","",COUNTIF($D$15:D146,"="&amp;D146))</f>
        <v/>
      </c>
      <c r="P146">
        <f t="shared" si="28"/>
        <v>1.3200000000000028E-3</v>
      </c>
      <c r="Q146">
        <f t="shared" si="24"/>
        <v>0</v>
      </c>
      <c r="R146" t="str">
        <f t="shared" si="19"/>
        <v/>
      </c>
      <c r="S146" t="e">
        <f t="shared" si="25"/>
        <v>#NUM!</v>
      </c>
      <c r="T146" t="e">
        <f t="shared" si="26"/>
        <v>#NUM!</v>
      </c>
    </row>
    <row r="147" spans="3:20" ht="20.100000000000001" customHeight="1">
      <c r="C147" s="666">
        <f t="shared" si="27"/>
        <v>133</v>
      </c>
      <c r="D147" s="696"/>
      <c r="E147" s="696"/>
      <c r="F147" s="697"/>
      <c r="G147" s="935"/>
      <c r="H147" s="1112"/>
      <c r="I147" s="1112"/>
      <c r="J147" s="1112"/>
      <c r="K147" s="713"/>
      <c r="L147">
        <f t="shared" si="22"/>
        <v>1</v>
      </c>
      <c r="M147">
        <f>COUNTIFS('Trade Log'!$D$14:$D$25863,"&lt;"&amp;F147,'Trade Log'!$D$14:$D$25863,"&gt;="&amp;F146)</f>
        <v>0</v>
      </c>
      <c r="N147">
        <f t="shared" si="23"/>
        <v>47</v>
      </c>
      <c r="O147" t="str">
        <f>IF(D147="","",COUNTIF($D$15:D147,"="&amp;D147))</f>
        <v/>
      </c>
      <c r="P147">
        <f t="shared" si="28"/>
        <v>1.3300000000000028E-3</v>
      </c>
      <c r="Q147">
        <f t="shared" si="24"/>
        <v>0</v>
      </c>
      <c r="R147" t="str">
        <f t="shared" ref="R147:R174" si="29">IF(O147&gt;1,"",Q147+P147)</f>
        <v/>
      </c>
      <c r="S147" t="e">
        <f t="shared" si="25"/>
        <v>#NUM!</v>
      </c>
      <c r="T147" t="e">
        <f t="shared" si="26"/>
        <v>#NUM!</v>
      </c>
    </row>
    <row r="148" spans="3:20" ht="20.100000000000001" customHeight="1">
      <c r="C148" s="666">
        <f t="shared" si="27"/>
        <v>134</v>
      </c>
      <c r="D148" s="696"/>
      <c r="E148" s="696"/>
      <c r="F148" s="697"/>
      <c r="G148" s="935"/>
      <c r="H148" s="1112"/>
      <c r="I148" s="1112"/>
      <c r="J148" s="1112"/>
      <c r="K148" s="713"/>
      <c r="L148">
        <f t="shared" si="22"/>
        <v>1</v>
      </c>
      <c r="M148">
        <f>COUNTIFS('Trade Log'!$D$14:$D$25863,"&lt;"&amp;F148,'Trade Log'!$D$14:$D$25863,"&gt;="&amp;F147)</f>
        <v>0</v>
      </c>
      <c r="N148">
        <f t="shared" si="23"/>
        <v>47</v>
      </c>
      <c r="O148" t="str">
        <f>IF(D148="","",COUNTIF($D$15:D148,"="&amp;D148))</f>
        <v/>
      </c>
      <c r="P148">
        <f t="shared" si="28"/>
        <v>1.3400000000000029E-3</v>
      </c>
      <c r="Q148">
        <f t="shared" si="24"/>
        <v>0</v>
      </c>
      <c r="R148" t="str">
        <f t="shared" si="29"/>
        <v/>
      </c>
      <c r="S148" t="e">
        <f t="shared" si="25"/>
        <v>#NUM!</v>
      </c>
      <c r="T148" t="e">
        <f t="shared" si="26"/>
        <v>#NUM!</v>
      </c>
    </row>
    <row r="149" spans="3:20" ht="20.100000000000001" customHeight="1">
      <c r="C149" s="666">
        <f t="shared" si="27"/>
        <v>135</v>
      </c>
      <c r="D149" s="696"/>
      <c r="E149" s="696"/>
      <c r="F149" s="697"/>
      <c r="G149" s="935"/>
      <c r="H149" s="1112"/>
      <c r="I149" s="1112"/>
      <c r="J149" s="1112"/>
      <c r="K149" s="713"/>
      <c r="L149">
        <f t="shared" si="22"/>
        <v>1</v>
      </c>
      <c r="M149">
        <f>COUNTIFS('Trade Log'!$D$14:$D$25863,"&lt;"&amp;F149,'Trade Log'!$D$14:$D$25863,"&gt;="&amp;F148)</f>
        <v>0</v>
      </c>
      <c r="N149">
        <f t="shared" si="23"/>
        <v>47</v>
      </c>
      <c r="O149" t="str">
        <f>IF(D149="","",COUNTIF($D$15:D149,"="&amp;D149))</f>
        <v/>
      </c>
      <c r="P149">
        <f t="shared" si="28"/>
        <v>1.3500000000000029E-3</v>
      </c>
      <c r="Q149">
        <f t="shared" si="24"/>
        <v>0</v>
      </c>
      <c r="R149" t="str">
        <f t="shared" si="29"/>
        <v/>
      </c>
      <c r="S149" t="e">
        <f t="shared" si="25"/>
        <v>#NUM!</v>
      </c>
      <c r="T149" t="e">
        <f t="shared" si="26"/>
        <v>#NUM!</v>
      </c>
    </row>
    <row r="150" spans="3:20" ht="20.100000000000001" customHeight="1">
      <c r="C150" s="666">
        <f t="shared" si="27"/>
        <v>136</v>
      </c>
      <c r="D150" s="696"/>
      <c r="E150" s="696"/>
      <c r="F150" s="697"/>
      <c r="G150" s="935"/>
      <c r="H150" s="1112"/>
      <c r="I150" s="1112"/>
      <c r="J150" s="1112"/>
      <c r="K150" s="713"/>
      <c r="L150">
        <f t="shared" si="22"/>
        <v>1</v>
      </c>
      <c r="M150">
        <f>COUNTIFS('Trade Log'!$D$14:$D$25863,"&lt;"&amp;F150,'Trade Log'!$D$14:$D$25863,"&gt;="&amp;F149)</f>
        <v>0</v>
      </c>
      <c r="N150">
        <f t="shared" si="23"/>
        <v>47</v>
      </c>
      <c r="O150" t="str">
        <f>IF(D150="","",COUNTIF($D$15:D150,"="&amp;D150))</f>
        <v/>
      </c>
      <c r="P150">
        <f t="shared" si="28"/>
        <v>1.3600000000000029E-3</v>
      </c>
      <c r="Q150">
        <f t="shared" si="24"/>
        <v>0</v>
      </c>
      <c r="R150" t="str">
        <f t="shared" si="29"/>
        <v/>
      </c>
      <c r="S150" t="e">
        <f t="shared" si="25"/>
        <v>#NUM!</v>
      </c>
      <c r="T150" t="e">
        <f t="shared" si="26"/>
        <v>#NUM!</v>
      </c>
    </row>
    <row r="151" spans="3:20" ht="20.100000000000001" customHeight="1">
      <c r="C151" s="666">
        <f t="shared" si="27"/>
        <v>137</v>
      </c>
      <c r="D151" s="696"/>
      <c r="E151" s="696"/>
      <c r="F151" s="697"/>
      <c r="G151" s="935"/>
      <c r="H151" s="1112"/>
      <c r="I151" s="1112"/>
      <c r="J151" s="1112"/>
      <c r="K151" s="713"/>
      <c r="L151">
        <f t="shared" si="22"/>
        <v>1</v>
      </c>
      <c r="M151">
        <f>COUNTIFS('Trade Log'!$D$14:$D$25863,"&lt;"&amp;F151,'Trade Log'!$D$14:$D$25863,"&gt;="&amp;F150)</f>
        <v>0</v>
      </c>
      <c r="N151">
        <f t="shared" si="23"/>
        <v>47</v>
      </c>
      <c r="O151" t="str">
        <f>IF(D151="","",COUNTIF($D$15:D151,"="&amp;D151))</f>
        <v/>
      </c>
      <c r="P151">
        <f t="shared" si="28"/>
        <v>1.3700000000000029E-3</v>
      </c>
      <c r="Q151">
        <f t="shared" si="24"/>
        <v>0</v>
      </c>
      <c r="R151" t="str">
        <f t="shared" si="29"/>
        <v/>
      </c>
      <c r="S151" t="e">
        <f t="shared" si="25"/>
        <v>#NUM!</v>
      </c>
      <c r="T151" t="e">
        <f t="shared" si="26"/>
        <v>#NUM!</v>
      </c>
    </row>
    <row r="152" spans="3:20" ht="20.100000000000001" customHeight="1">
      <c r="C152" s="666">
        <f t="shared" si="27"/>
        <v>138</v>
      </c>
      <c r="D152" s="696"/>
      <c r="E152" s="696"/>
      <c r="F152" s="697"/>
      <c r="G152" s="935"/>
      <c r="H152" s="1112"/>
      <c r="I152" s="1112"/>
      <c r="J152" s="1112"/>
      <c r="K152" s="713"/>
      <c r="L152">
        <f t="shared" si="22"/>
        <v>1</v>
      </c>
      <c r="M152">
        <f>COUNTIFS('Trade Log'!$D$14:$D$25863,"&lt;"&amp;F152,'Trade Log'!$D$14:$D$25863,"&gt;="&amp;F151)</f>
        <v>0</v>
      </c>
      <c r="N152">
        <f t="shared" si="23"/>
        <v>47</v>
      </c>
      <c r="O152" t="str">
        <f>IF(D152="","",COUNTIF($D$15:D152,"="&amp;D152))</f>
        <v/>
      </c>
      <c r="P152">
        <f t="shared" si="28"/>
        <v>1.380000000000003E-3</v>
      </c>
      <c r="Q152">
        <f t="shared" si="24"/>
        <v>0</v>
      </c>
      <c r="R152" t="str">
        <f t="shared" si="29"/>
        <v/>
      </c>
      <c r="S152" t="e">
        <f t="shared" si="25"/>
        <v>#NUM!</v>
      </c>
      <c r="T152" t="e">
        <f t="shared" si="26"/>
        <v>#NUM!</v>
      </c>
    </row>
    <row r="153" spans="3:20" ht="20.100000000000001" customHeight="1">
      <c r="C153" s="666">
        <f t="shared" si="27"/>
        <v>139</v>
      </c>
      <c r="D153" s="696"/>
      <c r="E153" s="696"/>
      <c r="F153" s="697"/>
      <c r="G153" s="935"/>
      <c r="H153" s="1112"/>
      <c r="I153" s="1112"/>
      <c r="J153" s="1112"/>
      <c r="K153" s="713"/>
      <c r="L153">
        <f t="shared" si="22"/>
        <v>1</v>
      </c>
      <c r="M153">
        <f>COUNTIFS('Trade Log'!$D$14:$D$25863,"&lt;"&amp;F153,'Trade Log'!$D$14:$D$25863,"&gt;="&amp;F152)</f>
        <v>0</v>
      </c>
      <c r="N153">
        <f t="shared" si="23"/>
        <v>47</v>
      </c>
      <c r="O153" t="str">
        <f>IF(D153="","",COUNTIF($D$15:D153,"="&amp;D153))</f>
        <v/>
      </c>
      <c r="P153">
        <f t="shared" si="28"/>
        <v>1.390000000000003E-3</v>
      </c>
      <c r="Q153">
        <f t="shared" si="24"/>
        <v>0</v>
      </c>
      <c r="R153" t="str">
        <f t="shared" si="29"/>
        <v/>
      </c>
      <c r="S153" t="e">
        <f t="shared" si="25"/>
        <v>#NUM!</v>
      </c>
      <c r="T153" t="e">
        <f t="shared" si="26"/>
        <v>#NUM!</v>
      </c>
    </row>
    <row r="154" spans="3:20" ht="20.100000000000001" customHeight="1">
      <c r="C154" s="666">
        <f t="shared" si="27"/>
        <v>140</v>
      </c>
      <c r="D154" s="696"/>
      <c r="E154" s="696"/>
      <c r="F154" s="697"/>
      <c r="G154" s="935"/>
      <c r="H154" s="1112"/>
      <c r="I154" s="1112"/>
      <c r="J154" s="1112"/>
      <c r="K154" s="713"/>
      <c r="L154">
        <f t="shared" si="22"/>
        <v>1</v>
      </c>
      <c r="M154">
        <f>COUNTIFS('Trade Log'!$D$14:$D$25863,"&lt;"&amp;F154,'Trade Log'!$D$14:$D$25863,"&gt;="&amp;F153)</f>
        <v>0</v>
      </c>
      <c r="N154">
        <f t="shared" si="23"/>
        <v>47</v>
      </c>
      <c r="O154" t="str">
        <f>IF(D154="","",COUNTIF($D$15:D154,"="&amp;D154))</f>
        <v/>
      </c>
      <c r="P154">
        <f t="shared" si="28"/>
        <v>1.400000000000003E-3</v>
      </c>
      <c r="Q154">
        <f t="shared" si="24"/>
        <v>0</v>
      </c>
      <c r="R154" t="str">
        <f t="shared" si="29"/>
        <v/>
      </c>
      <c r="S154" t="e">
        <f t="shared" si="25"/>
        <v>#NUM!</v>
      </c>
      <c r="T154" t="e">
        <f t="shared" si="26"/>
        <v>#NUM!</v>
      </c>
    </row>
    <row r="155" spans="3:20" ht="20.100000000000001" customHeight="1">
      <c r="C155" s="666">
        <f t="shared" si="27"/>
        <v>141</v>
      </c>
      <c r="D155" s="696"/>
      <c r="E155" s="696"/>
      <c r="F155" s="697"/>
      <c r="G155" s="935"/>
      <c r="H155" s="1112"/>
      <c r="I155" s="1112"/>
      <c r="J155" s="1112"/>
      <c r="K155" s="713"/>
      <c r="L155">
        <f t="shared" si="22"/>
        <v>1</v>
      </c>
      <c r="M155">
        <f>COUNTIFS('Trade Log'!$D$14:$D$25863,"&lt;"&amp;F155,'Trade Log'!$D$14:$D$25863,"&gt;="&amp;F154)</f>
        <v>0</v>
      </c>
      <c r="N155">
        <f t="shared" si="23"/>
        <v>47</v>
      </c>
      <c r="O155" t="str">
        <f>IF(D155="","",COUNTIF($D$15:D155,"="&amp;D155))</f>
        <v/>
      </c>
      <c r="P155">
        <f t="shared" si="28"/>
        <v>1.410000000000003E-3</v>
      </c>
      <c r="Q155">
        <f t="shared" si="24"/>
        <v>0</v>
      </c>
      <c r="R155" t="str">
        <f t="shared" si="29"/>
        <v/>
      </c>
      <c r="S155" t="e">
        <f t="shared" si="25"/>
        <v>#NUM!</v>
      </c>
      <c r="T155" t="e">
        <f t="shared" si="26"/>
        <v>#NUM!</v>
      </c>
    </row>
    <row r="156" spans="3:20" ht="20.100000000000001" customHeight="1">
      <c r="C156" s="666">
        <f t="shared" si="27"/>
        <v>142</v>
      </c>
      <c r="D156" s="696"/>
      <c r="E156" s="696"/>
      <c r="F156" s="697"/>
      <c r="G156" s="935"/>
      <c r="H156" s="1112"/>
      <c r="I156" s="1112"/>
      <c r="J156" s="1112"/>
      <c r="K156" s="713"/>
      <c r="L156">
        <f t="shared" si="22"/>
        <v>1</v>
      </c>
      <c r="M156">
        <f>COUNTIFS('Trade Log'!$D$14:$D$25863,"&lt;"&amp;F156,'Trade Log'!$D$14:$D$25863,"&gt;="&amp;F155)</f>
        <v>0</v>
      </c>
      <c r="N156">
        <f t="shared" si="23"/>
        <v>47</v>
      </c>
      <c r="O156" t="str">
        <f>IF(D156="","",COUNTIF($D$15:D156,"="&amp;D156))</f>
        <v/>
      </c>
      <c r="P156">
        <f t="shared" si="28"/>
        <v>1.4200000000000031E-3</v>
      </c>
      <c r="Q156">
        <f t="shared" si="24"/>
        <v>0</v>
      </c>
      <c r="R156" t="str">
        <f t="shared" si="29"/>
        <v/>
      </c>
      <c r="S156" t="e">
        <f t="shared" si="25"/>
        <v>#NUM!</v>
      </c>
      <c r="T156" t="e">
        <f t="shared" si="26"/>
        <v>#NUM!</v>
      </c>
    </row>
    <row r="157" spans="3:20" ht="20.100000000000001" customHeight="1">
      <c r="C157" s="666">
        <f t="shared" si="27"/>
        <v>143</v>
      </c>
      <c r="D157" s="696"/>
      <c r="E157" s="696"/>
      <c r="F157" s="697"/>
      <c r="G157" s="935"/>
      <c r="H157" s="1112"/>
      <c r="I157" s="1112"/>
      <c r="J157" s="1112"/>
      <c r="K157" s="713"/>
      <c r="L157">
        <f t="shared" si="22"/>
        <v>1</v>
      </c>
      <c r="M157">
        <f>COUNTIFS('Trade Log'!$D$14:$D$25863,"&lt;"&amp;F157,'Trade Log'!$D$14:$D$25863,"&gt;="&amp;F156)</f>
        <v>0</v>
      </c>
      <c r="N157">
        <f t="shared" si="23"/>
        <v>47</v>
      </c>
      <c r="O157" t="str">
        <f>IF(D157="","",COUNTIF($D$15:D157,"="&amp;D157))</f>
        <v/>
      </c>
      <c r="P157">
        <f t="shared" si="28"/>
        <v>1.4300000000000031E-3</v>
      </c>
      <c r="Q157">
        <f t="shared" si="24"/>
        <v>0</v>
      </c>
      <c r="R157" t="str">
        <f t="shared" si="29"/>
        <v/>
      </c>
      <c r="S157" t="e">
        <f t="shared" si="25"/>
        <v>#NUM!</v>
      </c>
      <c r="T157" t="e">
        <f t="shared" si="26"/>
        <v>#NUM!</v>
      </c>
    </row>
    <row r="158" spans="3:20" ht="20.100000000000001" customHeight="1">
      <c r="C158" s="666">
        <f t="shared" si="27"/>
        <v>144</v>
      </c>
      <c r="D158" s="696"/>
      <c r="E158" s="696"/>
      <c r="F158" s="697"/>
      <c r="G158" s="935"/>
      <c r="H158" s="1112"/>
      <c r="I158" s="1112"/>
      <c r="J158" s="1112"/>
      <c r="K158" s="713"/>
      <c r="L158">
        <f t="shared" si="22"/>
        <v>1</v>
      </c>
      <c r="M158">
        <f>COUNTIFS('Trade Log'!$D$14:$D$25863,"&lt;"&amp;F158,'Trade Log'!$D$14:$D$25863,"&gt;="&amp;F157)</f>
        <v>0</v>
      </c>
      <c r="N158">
        <f t="shared" si="23"/>
        <v>47</v>
      </c>
      <c r="O158" t="str">
        <f>IF(D158="","",COUNTIF($D$15:D158,"="&amp;D158))</f>
        <v/>
      </c>
      <c r="P158">
        <f t="shared" si="28"/>
        <v>1.4400000000000031E-3</v>
      </c>
      <c r="Q158">
        <f t="shared" si="24"/>
        <v>0</v>
      </c>
      <c r="R158" t="str">
        <f t="shared" si="29"/>
        <v/>
      </c>
      <c r="S158" t="e">
        <f t="shared" si="25"/>
        <v>#NUM!</v>
      </c>
      <c r="T158" t="e">
        <f t="shared" si="26"/>
        <v>#NUM!</v>
      </c>
    </row>
    <row r="159" spans="3:20" ht="20.100000000000001" customHeight="1">
      <c r="C159" s="666">
        <f t="shared" si="27"/>
        <v>145</v>
      </c>
      <c r="D159" s="696"/>
      <c r="E159" s="696"/>
      <c r="F159" s="697"/>
      <c r="G159" s="935"/>
      <c r="H159" s="1112"/>
      <c r="I159" s="1112"/>
      <c r="J159" s="1112"/>
      <c r="K159" s="713"/>
      <c r="L159">
        <f t="shared" si="22"/>
        <v>1</v>
      </c>
      <c r="M159">
        <f>COUNTIFS('Trade Log'!$D$14:$D$25863,"&lt;"&amp;F159,'Trade Log'!$D$14:$D$25863,"&gt;="&amp;F158)</f>
        <v>0</v>
      </c>
      <c r="N159">
        <f t="shared" si="23"/>
        <v>47</v>
      </c>
      <c r="O159" t="str">
        <f>IF(D159="","",COUNTIF($D$15:D159,"="&amp;D159))</f>
        <v/>
      </c>
      <c r="P159">
        <f t="shared" si="28"/>
        <v>1.4500000000000032E-3</v>
      </c>
      <c r="Q159">
        <f t="shared" si="24"/>
        <v>0</v>
      </c>
      <c r="R159" t="str">
        <f t="shared" si="29"/>
        <v/>
      </c>
      <c r="S159" t="e">
        <f t="shared" si="25"/>
        <v>#NUM!</v>
      </c>
      <c r="T159" t="e">
        <f t="shared" si="26"/>
        <v>#NUM!</v>
      </c>
    </row>
    <row r="160" spans="3:20" ht="20.100000000000001" customHeight="1">
      <c r="C160" s="666">
        <f t="shared" si="27"/>
        <v>146</v>
      </c>
      <c r="D160" s="696"/>
      <c r="E160" s="696"/>
      <c r="F160" s="697"/>
      <c r="G160" s="935"/>
      <c r="H160" s="1112"/>
      <c r="I160" s="1112"/>
      <c r="J160" s="1112"/>
      <c r="K160" s="713"/>
      <c r="L160">
        <f t="shared" si="22"/>
        <v>1</v>
      </c>
      <c r="M160">
        <f>COUNTIFS('Trade Log'!$D$14:$D$25863,"&lt;"&amp;F160,'Trade Log'!$D$14:$D$25863,"&gt;="&amp;F159)</f>
        <v>0</v>
      </c>
      <c r="N160">
        <f t="shared" si="23"/>
        <v>47</v>
      </c>
      <c r="O160" t="str">
        <f>IF(D160="","",COUNTIF($D$15:D160,"="&amp;D160))</f>
        <v/>
      </c>
      <c r="P160">
        <f t="shared" si="28"/>
        <v>1.4600000000000032E-3</v>
      </c>
      <c r="Q160">
        <f t="shared" si="24"/>
        <v>0</v>
      </c>
      <c r="R160" t="str">
        <f t="shared" si="29"/>
        <v/>
      </c>
      <c r="S160" t="e">
        <f t="shared" si="25"/>
        <v>#NUM!</v>
      </c>
      <c r="T160" t="e">
        <f t="shared" si="26"/>
        <v>#NUM!</v>
      </c>
    </row>
    <row r="161" spans="3:20" ht="20.100000000000001" customHeight="1">
      <c r="C161" s="666">
        <f t="shared" si="27"/>
        <v>147</v>
      </c>
      <c r="D161" s="696"/>
      <c r="E161" s="696"/>
      <c r="F161" s="697"/>
      <c r="G161" s="935"/>
      <c r="H161" s="1112"/>
      <c r="I161" s="1112"/>
      <c r="J161" s="1112"/>
      <c r="K161" s="713"/>
      <c r="L161">
        <f t="shared" si="22"/>
        <v>1</v>
      </c>
      <c r="M161">
        <f>COUNTIFS('Trade Log'!$D$14:$D$25863,"&lt;"&amp;F161,'Trade Log'!$D$14:$D$25863,"&gt;="&amp;F160)</f>
        <v>0</v>
      </c>
      <c r="N161">
        <f t="shared" si="23"/>
        <v>47</v>
      </c>
      <c r="O161" t="str">
        <f>IF(D161="","",COUNTIF($D$15:D161,"="&amp;D161))</f>
        <v/>
      </c>
      <c r="P161">
        <f t="shared" si="28"/>
        <v>1.4700000000000032E-3</v>
      </c>
      <c r="Q161">
        <f t="shared" si="24"/>
        <v>0</v>
      </c>
      <c r="R161" t="str">
        <f t="shared" si="29"/>
        <v/>
      </c>
      <c r="S161" t="e">
        <f t="shared" si="25"/>
        <v>#NUM!</v>
      </c>
      <c r="T161" t="e">
        <f t="shared" si="26"/>
        <v>#NUM!</v>
      </c>
    </row>
    <row r="162" spans="3:20" ht="20.100000000000001" customHeight="1">
      <c r="C162" s="666">
        <f t="shared" si="27"/>
        <v>148</v>
      </c>
      <c r="D162" s="696"/>
      <c r="E162" s="696"/>
      <c r="F162" s="697"/>
      <c r="G162" s="935"/>
      <c r="H162" s="1112"/>
      <c r="I162" s="1112"/>
      <c r="J162" s="1112"/>
      <c r="K162" s="713"/>
      <c r="L162">
        <f t="shared" si="22"/>
        <v>1</v>
      </c>
      <c r="M162">
        <f>COUNTIFS('Trade Log'!$D$14:$D$25863,"&lt;"&amp;F162,'Trade Log'!$D$14:$D$25863,"&gt;="&amp;F161)</f>
        <v>0</v>
      </c>
      <c r="N162">
        <f t="shared" si="23"/>
        <v>47</v>
      </c>
      <c r="O162" t="str">
        <f>IF(D162="","",COUNTIF($D$15:D162,"="&amp;D162))</f>
        <v/>
      </c>
      <c r="P162">
        <f t="shared" si="28"/>
        <v>1.4800000000000032E-3</v>
      </c>
      <c r="Q162">
        <f t="shared" si="24"/>
        <v>0</v>
      </c>
      <c r="R162" t="str">
        <f t="shared" si="29"/>
        <v/>
      </c>
      <c r="S162" t="e">
        <f t="shared" si="25"/>
        <v>#NUM!</v>
      </c>
      <c r="T162" t="e">
        <f t="shared" si="26"/>
        <v>#NUM!</v>
      </c>
    </row>
    <row r="163" spans="3:20" ht="20.100000000000001" customHeight="1">
      <c r="C163" s="666">
        <f t="shared" si="27"/>
        <v>149</v>
      </c>
      <c r="D163" s="696"/>
      <c r="E163" s="696"/>
      <c r="F163" s="697"/>
      <c r="G163" s="935"/>
      <c r="H163" s="1112"/>
      <c r="I163" s="1112"/>
      <c r="J163" s="1112"/>
      <c r="K163" s="713"/>
      <c r="L163">
        <f t="shared" si="22"/>
        <v>1</v>
      </c>
      <c r="M163">
        <f>COUNTIFS('Trade Log'!$D$14:$D$25863,"&lt;"&amp;F163,'Trade Log'!$D$14:$D$25863,"&gt;="&amp;F162)</f>
        <v>0</v>
      </c>
      <c r="N163">
        <f t="shared" si="23"/>
        <v>47</v>
      </c>
      <c r="O163" t="str">
        <f>IF(D163="","",COUNTIF($D$15:D163,"="&amp;D163))</f>
        <v/>
      </c>
      <c r="P163">
        <f t="shared" si="28"/>
        <v>1.4900000000000033E-3</v>
      </c>
      <c r="Q163">
        <f t="shared" si="24"/>
        <v>0</v>
      </c>
      <c r="R163" t="str">
        <f t="shared" si="29"/>
        <v/>
      </c>
      <c r="S163" t="e">
        <f t="shared" si="25"/>
        <v>#NUM!</v>
      </c>
      <c r="T163" t="e">
        <f t="shared" si="26"/>
        <v>#NUM!</v>
      </c>
    </row>
    <row r="164" spans="3:20" ht="20.100000000000001" customHeight="1">
      <c r="C164" s="666">
        <f t="shared" si="27"/>
        <v>150</v>
      </c>
      <c r="D164" s="696"/>
      <c r="E164" s="696"/>
      <c r="F164" s="697"/>
      <c r="G164" s="935"/>
      <c r="H164" s="1112"/>
      <c r="I164" s="1112"/>
      <c r="J164" s="1112"/>
      <c r="K164" s="713"/>
      <c r="L164">
        <f t="shared" si="22"/>
        <v>1</v>
      </c>
      <c r="M164">
        <f>COUNTIFS('Trade Log'!$D$14:$D$25863,"&lt;"&amp;F164,'Trade Log'!$D$14:$D$25863,"&gt;="&amp;F163)</f>
        <v>0</v>
      </c>
      <c r="N164">
        <f t="shared" si="23"/>
        <v>47</v>
      </c>
      <c r="O164" t="str">
        <f>IF(D164="","",COUNTIF($D$15:D164,"="&amp;D164))</f>
        <v/>
      </c>
      <c r="P164">
        <f t="shared" si="28"/>
        <v>1.5000000000000033E-3</v>
      </c>
      <c r="Q164">
        <f t="shared" si="24"/>
        <v>0</v>
      </c>
      <c r="R164" t="str">
        <f t="shared" si="29"/>
        <v/>
      </c>
      <c r="S164" t="e">
        <f t="shared" si="25"/>
        <v>#NUM!</v>
      </c>
      <c r="T164" t="e">
        <f t="shared" si="26"/>
        <v>#NUM!</v>
      </c>
    </row>
    <row r="165" spans="3:20" ht="20.100000000000001" customHeight="1">
      <c r="C165" s="666">
        <f t="shared" si="27"/>
        <v>151</v>
      </c>
      <c r="D165" s="696"/>
      <c r="E165" s="696"/>
      <c r="F165" s="697"/>
      <c r="G165" s="935"/>
      <c r="H165" s="1112"/>
      <c r="I165" s="1112"/>
      <c r="J165" s="1112"/>
      <c r="K165" s="713"/>
      <c r="L165">
        <f t="shared" si="22"/>
        <v>1</v>
      </c>
      <c r="M165">
        <f>COUNTIFS('Trade Log'!$D$14:$D$25863,"&lt;"&amp;F165,'Trade Log'!$D$14:$D$25863,"&gt;="&amp;F164)</f>
        <v>0</v>
      </c>
      <c r="N165">
        <f t="shared" si="23"/>
        <v>47</v>
      </c>
      <c r="O165" t="str">
        <f>IF(D165="","",COUNTIF($D$15:D165,"="&amp;D165))</f>
        <v/>
      </c>
      <c r="P165">
        <f t="shared" si="28"/>
        <v>1.5100000000000033E-3</v>
      </c>
      <c r="Q165">
        <f t="shared" si="24"/>
        <v>0</v>
      </c>
      <c r="R165" t="str">
        <f t="shared" si="29"/>
        <v/>
      </c>
      <c r="S165" t="e">
        <f t="shared" si="25"/>
        <v>#NUM!</v>
      </c>
      <c r="T165" t="e">
        <f t="shared" si="26"/>
        <v>#NUM!</v>
      </c>
    </row>
    <row r="166" spans="3:20" ht="20.100000000000001" customHeight="1">
      <c r="C166" s="666">
        <f t="shared" si="27"/>
        <v>152</v>
      </c>
      <c r="D166" s="696"/>
      <c r="E166" s="696"/>
      <c r="F166" s="697"/>
      <c r="G166" s="935"/>
      <c r="H166" s="1112"/>
      <c r="I166" s="1112"/>
      <c r="J166" s="1112"/>
      <c r="K166" s="713"/>
      <c r="L166">
        <f t="shared" si="22"/>
        <v>1</v>
      </c>
      <c r="M166">
        <f>COUNTIFS('Trade Log'!$D$14:$D$25863,"&lt;"&amp;F166,'Trade Log'!$D$14:$D$25863,"&gt;="&amp;F165)</f>
        <v>0</v>
      </c>
      <c r="N166">
        <f t="shared" si="23"/>
        <v>47</v>
      </c>
      <c r="O166" t="str">
        <f>IF(D166="","",COUNTIF($D$15:D166,"="&amp;D166))</f>
        <v/>
      </c>
      <c r="P166">
        <f t="shared" si="28"/>
        <v>1.5200000000000033E-3</v>
      </c>
      <c r="Q166">
        <f t="shared" si="24"/>
        <v>0</v>
      </c>
      <c r="R166" t="str">
        <f t="shared" si="29"/>
        <v/>
      </c>
      <c r="S166" t="e">
        <f t="shared" si="25"/>
        <v>#NUM!</v>
      </c>
      <c r="T166" t="e">
        <f t="shared" si="26"/>
        <v>#NUM!</v>
      </c>
    </row>
    <row r="167" spans="3:20" ht="20.100000000000001" customHeight="1">
      <c r="C167" s="666">
        <f t="shared" si="27"/>
        <v>153</v>
      </c>
      <c r="D167" s="696"/>
      <c r="E167" s="696"/>
      <c r="F167" s="697"/>
      <c r="G167" s="935"/>
      <c r="H167" s="1112"/>
      <c r="I167" s="1112"/>
      <c r="J167" s="1112"/>
      <c r="K167" s="713"/>
      <c r="L167">
        <f t="shared" si="22"/>
        <v>1</v>
      </c>
      <c r="M167">
        <f>COUNTIFS('Trade Log'!$D$14:$D$25863,"&lt;"&amp;F167,'Trade Log'!$D$14:$D$25863,"&gt;="&amp;F166)</f>
        <v>0</v>
      </c>
      <c r="N167">
        <f t="shared" si="23"/>
        <v>47</v>
      </c>
      <c r="O167" t="str">
        <f>IF(D167="","",COUNTIF($D$15:D167,"="&amp;D167))</f>
        <v/>
      </c>
      <c r="P167">
        <f t="shared" si="28"/>
        <v>1.5300000000000034E-3</v>
      </c>
      <c r="Q167">
        <f t="shared" si="24"/>
        <v>0</v>
      </c>
      <c r="R167" t="str">
        <f t="shared" si="29"/>
        <v/>
      </c>
      <c r="S167" t="e">
        <f t="shared" si="25"/>
        <v>#NUM!</v>
      </c>
      <c r="T167" t="e">
        <f t="shared" si="26"/>
        <v>#NUM!</v>
      </c>
    </row>
    <row r="168" spans="3:20" ht="20.100000000000001" customHeight="1">
      <c r="C168" s="666">
        <f t="shared" si="27"/>
        <v>154</v>
      </c>
      <c r="D168" s="696"/>
      <c r="E168" s="696"/>
      <c r="F168" s="697"/>
      <c r="G168" s="935"/>
      <c r="H168" s="1112"/>
      <c r="I168" s="1112"/>
      <c r="J168" s="1112"/>
      <c r="K168" s="713"/>
      <c r="L168">
        <f t="shared" si="22"/>
        <v>1</v>
      </c>
      <c r="M168">
        <f>COUNTIFS('Trade Log'!$D$14:$D$25863,"&lt;"&amp;F168,'Trade Log'!$D$14:$D$25863,"&gt;="&amp;F167)</f>
        <v>0</v>
      </c>
      <c r="N168">
        <f t="shared" si="23"/>
        <v>47</v>
      </c>
      <c r="O168" t="str">
        <f>IF(D168="","",COUNTIF($D$15:D168,"="&amp;D168))</f>
        <v/>
      </c>
      <c r="P168">
        <f t="shared" si="28"/>
        <v>1.5400000000000034E-3</v>
      </c>
      <c r="Q168">
        <f t="shared" si="24"/>
        <v>0</v>
      </c>
      <c r="R168" t="str">
        <f t="shared" si="29"/>
        <v/>
      </c>
      <c r="S168" t="e">
        <f t="shared" si="25"/>
        <v>#NUM!</v>
      </c>
      <c r="T168" t="e">
        <f t="shared" si="26"/>
        <v>#NUM!</v>
      </c>
    </row>
    <row r="169" spans="3:20" ht="20.100000000000001" customHeight="1">
      <c r="C169" s="666">
        <f t="shared" si="27"/>
        <v>155</v>
      </c>
      <c r="D169" s="696"/>
      <c r="E169" s="696"/>
      <c r="F169" s="697"/>
      <c r="G169" s="935"/>
      <c r="H169" s="1112"/>
      <c r="I169" s="1112"/>
      <c r="J169" s="1112"/>
      <c r="K169" s="713"/>
      <c r="L169">
        <f t="shared" si="22"/>
        <v>1</v>
      </c>
      <c r="M169">
        <f>COUNTIFS('Trade Log'!$D$14:$D$25863,"&lt;"&amp;F169,'Trade Log'!$D$14:$D$25863,"&gt;="&amp;F168)</f>
        <v>0</v>
      </c>
      <c r="N169">
        <f t="shared" si="23"/>
        <v>47</v>
      </c>
      <c r="O169" t="str">
        <f>IF(D169="","",COUNTIF($D$15:D169,"="&amp;D169))</f>
        <v/>
      </c>
      <c r="P169">
        <f t="shared" si="28"/>
        <v>1.5500000000000034E-3</v>
      </c>
      <c r="Q169">
        <f t="shared" si="24"/>
        <v>0</v>
      </c>
      <c r="R169" t="str">
        <f t="shared" si="29"/>
        <v/>
      </c>
      <c r="S169" t="e">
        <f t="shared" si="25"/>
        <v>#NUM!</v>
      </c>
      <c r="T169" t="e">
        <f t="shared" si="26"/>
        <v>#NUM!</v>
      </c>
    </row>
    <row r="170" spans="3:20" ht="20.100000000000001" customHeight="1">
      <c r="C170" s="666">
        <f t="shared" si="27"/>
        <v>156</v>
      </c>
      <c r="D170" s="696"/>
      <c r="E170" s="696"/>
      <c r="F170" s="697"/>
      <c r="G170" s="935"/>
      <c r="H170" s="1112"/>
      <c r="I170" s="1112"/>
      <c r="J170" s="1112"/>
      <c r="K170" s="713"/>
      <c r="L170">
        <f t="shared" si="22"/>
        <v>1</v>
      </c>
      <c r="M170">
        <f>COUNTIFS('Trade Log'!$D$14:$D$25863,"&lt;"&amp;F170,'Trade Log'!$D$14:$D$25863,"&gt;="&amp;F169)</f>
        <v>0</v>
      </c>
      <c r="N170">
        <f t="shared" si="23"/>
        <v>47</v>
      </c>
      <c r="O170" t="str">
        <f>IF(D170="","",COUNTIF($D$15:D170,"="&amp;D170))</f>
        <v/>
      </c>
      <c r="P170">
        <f t="shared" si="28"/>
        <v>1.5600000000000034E-3</v>
      </c>
      <c r="Q170">
        <f t="shared" si="24"/>
        <v>0</v>
      </c>
      <c r="R170" t="str">
        <f t="shared" si="29"/>
        <v/>
      </c>
      <c r="S170" t="e">
        <f t="shared" si="25"/>
        <v>#NUM!</v>
      </c>
      <c r="T170" t="e">
        <f t="shared" si="26"/>
        <v>#NUM!</v>
      </c>
    </row>
    <row r="171" spans="3:20" ht="20.100000000000001" customHeight="1">
      <c r="C171" s="666">
        <f t="shared" si="27"/>
        <v>157</v>
      </c>
      <c r="D171" s="696"/>
      <c r="E171" s="696"/>
      <c r="F171" s="697"/>
      <c r="G171" s="935"/>
      <c r="H171" s="1112"/>
      <c r="I171" s="1112"/>
      <c r="J171" s="1112"/>
      <c r="K171" s="713"/>
      <c r="L171">
        <f t="shared" si="22"/>
        <v>1</v>
      </c>
      <c r="M171">
        <f>COUNTIFS('Trade Log'!$D$14:$D$25863,"&lt;"&amp;F171,'Trade Log'!$D$14:$D$25863,"&gt;="&amp;F170)</f>
        <v>0</v>
      </c>
      <c r="N171">
        <f t="shared" si="23"/>
        <v>47</v>
      </c>
      <c r="O171" t="str">
        <f>IF(D171="","",COUNTIF($D$15:D171,"="&amp;D171))</f>
        <v/>
      </c>
      <c r="P171">
        <f t="shared" si="28"/>
        <v>1.5700000000000035E-3</v>
      </c>
      <c r="Q171">
        <f t="shared" si="24"/>
        <v>0</v>
      </c>
      <c r="R171" t="str">
        <f t="shared" si="29"/>
        <v/>
      </c>
      <c r="S171" t="e">
        <f t="shared" si="25"/>
        <v>#NUM!</v>
      </c>
      <c r="T171" t="e">
        <f t="shared" si="26"/>
        <v>#NUM!</v>
      </c>
    </row>
    <row r="172" spans="3:20" ht="20.100000000000001" customHeight="1">
      <c r="C172" s="666">
        <f t="shared" si="27"/>
        <v>158</v>
      </c>
      <c r="D172" s="696"/>
      <c r="E172" s="696"/>
      <c r="F172" s="697"/>
      <c r="G172" s="935"/>
      <c r="H172" s="1112"/>
      <c r="I172" s="1112"/>
      <c r="J172" s="1112"/>
      <c r="K172" s="713"/>
      <c r="L172">
        <f t="shared" si="22"/>
        <v>1</v>
      </c>
      <c r="M172">
        <f>COUNTIFS('Trade Log'!$D$14:$D$25863,"&lt;"&amp;F172,'Trade Log'!$D$14:$D$25863,"&gt;="&amp;F171)</f>
        <v>0</v>
      </c>
      <c r="N172">
        <f t="shared" si="23"/>
        <v>47</v>
      </c>
      <c r="O172" t="str">
        <f>IF(D172="","",COUNTIF($D$15:D172,"="&amp;D172))</f>
        <v/>
      </c>
      <c r="P172">
        <f t="shared" si="28"/>
        <v>1.5800000000000035E-3</v>
      </c>
      <c r="Q172">
        <f t="shared" si="24"/>
        <v>0</v>
      </c>
      <c r="R172" t="str">
        <f t="shared" si="29"/>
        <v/>
      </c>
      <c r="S172" t="e">
        <f t="shared" si="25"/>
        <v>#NUM!</v>
      </c>
      <c r="T172" t="e">
        <f t="shared" si="26"/>
        <v>#NUM!</v>
      </c>
    </row>
    <row r="173" spans="3:20" ht="20.100000000000001" customHeight="1">
      <c r="C173" s="666">
        <f t="shared" si="27"/>
        <v>159</v>
      </c>
      <c r="D173" s="696"/>
      <c r="E173" s="696"/>
      <c r="F173" s="697"/>
      <c r="G173" s="935"/>
      <c r="H173" s="1112"/>
      <c r="I173" s="1112"/>
      <c r="J173" s="1112"/>
      <c r="K173" s="713"/>
      <c r="L173">
        <f t="shared" si="22"/>
        <v>1</v>
      </c>
      <c r="M173">
        <f>COUNTIFS('Trade Log'!$D$14:$D$25863,"&lt;"&amp;F173,'Trade Log'!$D$14:$D$25863,"&gt;="&amp;F172)</f>
        <v>0</v>
      </c>
      <c r="N173">
        <f t="shared" si="23"/>
        <v>47</v>
      </c>
      <c r="O173" t="str">
        <f>IF(D173="","",COUNTIF($D$15:D173,"="&amp;D173))</f>
        <v/>
      </c>
      <c r="P173">
        <f t="shared" si="28"/>
        <v>1.5900000000000035E-3</v>
      </c>
      <c r="Q173">
        <f t="shared" si="24"/>
        <v>0</v>
      </c>
      <c r="R173" t="str">
        <f t="shared" si="29"/>
        <v/>
      </c>
      <c r="S173" t="e">
        <f t="shared" si="25"/>
        <v>#NUM!</v>
      </c>
      <c r="T173" t="e">
        <f t="shared" si="26"/>
        <v>#NUM!</v>
      </c>
    </row>
    <row r="174" spans="3:20" ht="20.100000000000001" customHeight="1">
      <c r="C174" s="666">
        <f t="shared" si="27"/>
        <v>160</v>
      </c>
      <c r="D174" s="696"/>
      <c r="E174" s="696"/>
      <c r="F174" s="697"/>
      <c r="G174" s="935"/>
      <c r="H174" s="1112"/>
      <c r="I174" s="1112"/>
      <c r="J174" s="1112"/>
      <c r="K174" s="713"/>
      <c r="L174">
        <f t="shared" si="18"/>
        <v>1</v>
      </c>
      <c r="M174">
        <f>COUNTIFS('Trade Log'!$D$14:$D$25863,"&lt;"&amp;F174,'Trade Log'!$D$14:$D$25863,"&gt;="&amp;F173)</f>
        <v>0</v>
      </c>
      <c r="N174">
        <f>M174+N113</f>
        <v>47</v>
      </c>
      <c r="O174" t="str">
        <f>IF(D174="","",COUNTIF($D$15:D174,"="&amp;D174))</f>
        <v/>
      </c>
      <c r="P174">
        <f t="shared" si="28"/>
        <v>1.6000000000000035E-3</v>
      </c>
      <c r="Q174">
        <f t="shared" si="24"/>
        <v>0</v>
      </c>
      <c r="R174" t="str">
        <f t="shared" si="29"/>
        <v/>
      </c>
      <c r="S174" t="e">
        <f t="shared" si="25"/>
        <v>#NUM!</v>
      </c>
      <c r="T174" t="e">
        <f t="shared" si="26"/>
        <v>#NUM!</v>
      </c>
    </row>
    <row r="175" spans="3:20" ht="20.100000000000001" hidden="1" customHeight="1">
      <c r="C175" s="95"/>
      <c r="D175" s="693"/>
      <c r="E175" s="694"/>
      <c r="F175" s="695"/>
      <c r="G175" s="936"/>
      <c r="H175" s="1113"/>
      <c r="I175" s="1113"/>
      <c r="J175" s="1114"/>
      <c r="K175" s="713"/>
    </row>
    <row r="176" spans="3:20" ht="20.100000000000001" hidden="1" customHeight="1">
      <c r="C176" s="134"/>
      <c r="D176" s="131"/>
      <c r="E176" s="132"/>
      <c r="F176" s="133"/>
      <c r="G176" s="937"/>
      <c r="H176" s="1110"/>
      <c r="I176" s="1110"/>
      <c r="J176" s="1111"/>
      <c r="K176" s="157"/>
    </row>
    <row r="177" spans="1:11" ht="20.100000000000001" customHeight="1">
      <c r="A177" s="157"/>
      <c r="B177" s="157"/>
      <c r="C177" s="157"/>
      <c r="D177" s="157"/>
      <c r="E177" s="157"/>
      <c r="F177" s="157"/>
      <c r="G177" s="157"/>
      <c r="H177" s="157"/>
      <c r="I177" s="157"/>
      <c r="J177" s="157"/>
      <c r="K177" s="157"/>
    </row>
    <row r="178" spans="1:11" ht="20.100000000000001" customHeight="1">
      <c r="A178" s="157"/>
      <c r="B178" s="157"/>
      <c r="C178" s="157"/>
      <c r="D178" s="157"/>
      <c r="E178" s="157"/>
      <c r="F178" s="157"/>
      <c r="G178" s="157"/>
      <c r="H178" s="157"/>
      <c r="I178" s="157"/>
      <c r="J178" s="157"/>
      <c r="K178" s="157"/>
    </row>
    <row r="179" spans="1:11" ht="20.100000000000001" customHeight="1">
      <c r="A179" s="157"/>
      <c r="B179" s="157"/>
      <c r="C179" s="157"/>
      <c r="D179" s="157"/>
      <c r="E179" s="157"/>
      <c r="F179" s="157"/>
      <c r="G179" s="157"/>
      <c r="H179" s="157"/>
      <c r="I179" s="157"/>
      <c r="J179" s="157"/>
      <c r="K179" s="157"/>
    </row>
    <row r="180" spans="1:11" ht="20.100000000000001" customHeight="1">
      <c r="A180" s="157"/>
      <c r="B180" s="157"/>
      <c r="C180" s="157"/>
      <c r="D180" s="157"/>
      <c r="E180" s="157"/>
      <c r="F180" s="157"/>
      <c r="G180" s="157"/>
      <c r="H180" s="157"/>
      <c r="I180" s="157"/>
      <c r="J180" s="157"/>
      <c r="K180" s="157"/>
    </row>
    <row r="181" spans="1:11" ht="20.100000000000001" customHeight="1">
      <c r="A181" s="157"/>
      <c r="B181" s="157"/>
      <c r="C181" s="157"/>
      <c r="D181" s="157"/>
      <c r="E181" s="157"/>
      <c r="F181" s="157"/>
      <c r="G181" s="157"/>
      <c r="H181" s="157"/>
      <c r="I181" s="157"/>
      <c r="J181" s="157"/>
      <c r="K181" s="157"/>
    </row>
    <row r="182" spans="1:11" ht="20.100000000000001" customHeight="1">
      <c r="A182" s="157"/>
      <c r="B182" s="157"/>
      <c r="C182" s="157"/>
      <c r="D182" s="157"/>
      <c r="E182" s="157"/>
      <c r="F182" s="157"/>
      <c r="G182" s="157"/>
      <c r="H182" s="157"/>
      <c r="I182" s="157"/>
      <c r="J182" s="157"/>
      <c r="K182" s="157"/>
    </row>
    <row r="183" spans="1:11" ht="20.100000000000001" customHeight="1">
      <c r="A183" s="157"/>
      <c r="B183" s="157"/>
      <c r="C183" s="157"/>
      <c r="D183" s="157"/>
      <c r="E183" s="157"/>
      <c r="F183" s="157"/>
      <c r="G183" s="157"/>
      <c r="H183" s="157"/>
      <c r="I183" s="157"/>
      <c r="J183" s="157"/>
      <c r="K183" s="157"/>
    </row>
    <row r="184" spans="1:11" ht="20.100000000000001" customHeight="1">
      <c r="A184" s="157"/>
      <c r="B184" s="157"/>
      <c r="C184" s="157"/>
      <c r="D184" s="157"/>
      <c r="E184" s="157"/>
      <c r="F184" s="157"/>
      <c r="G184" s="157"/>
      <c r="H184" s="157"/>
      <c r="I184" s="157"/>
      <c r="J184" s="157"/>
      <c r="K184" s="157"/>
    </row>
    <row r="185" spans="1:11" ht="20.100000000000001" customHeight="1">
      <c r="A185" s="157"/>
      <c r="B185" s="157"/>
      <c r="C185" s="157"/>
      <c r="D185" s="157"/>
      <c r="E185" s="157"/>
      <c r="F185" s="157"/>
      <c r="G185" s="157"/>
      <c r="H185" s="157"/>
      <c r="I185" s="157"/>
      <c r="J185" s="157"/>
      <c r="K185" s="157"/>
    </row>
    <row r="186" spans="1:11" ht="20.100000000000001" customHeight="1">
      <c r="A186" s="157"/>
      <c r="B186" s="157"/>
      <c r="C186" s="157"/>
      <c r="D186" s="157"/>
      <c r="E186" s="157"/>
      <c r="F186" s="157"/>
      <c r="G186" s="157"/>
      <c r="H186" s="157"/>
      <c r="I186" s="157"/>
      <c r="J186" s="157"/>
      <c r="K186" s="157"/>
    </row>
    <row r="187" spans="1:11" ht="20.100000000000001" customHeight="1">
      <c r="A187" s="157"/>
      <c r="B187" s="157"/>
      <c r="C187" s="157"/>
      <c r="D187" s="157"/>
      <c r="E187" s="157"/>
      <c r="F187" s="157"/>
      <c r="G187" s="157"/>
      <c r="H187" s="157"/>
      <c r="I187" s="157"/>
      <c r="J187" s="157"/>
      <c r="K187" s="157"/>
    </row>
    <row r="188" spans="1:11" ht="20.100000000000001" customHeight="1">
      <c r="A188" s="157"/>
      <c r="B188" s="157"/>
      <c r="C188" s="157"/>
      <c r="D188" s="157"/>
      <c r="E188" s="157"/>
      <c r="F188" s="157"/>
      <c r="G188" s="157"/>
      <c r="H188" s="157"/>
      <c r="I188" s="157"/>
      <c r="J188" s="157"/>
      <c r="K188" s="157"/>
    </row>
    <row r="189" spans="1:11" ht="20.100000000000001" customHeight="1">
      <c r="A189" s="157"/>
      <c r="B189" s="157"/>
      <c r="C189" s="157"/>
      <c r="D189" s="157"/>
      <c r="E189" s="157"/>
      <c r="F189" s="157"/>
      <c r="G189" s="157"/>
      <c r="H189" s="157"/>
      <c r="I189" s="157"/>
      <c r="J189" s="157"/>
      <c r="K189" s="157"/>
    </row>
    <row r="190" spans="1:11" ht="20.100000000000001" customHeight="1">
      <c r="A190" s="157"/>
      <c r="B190" s="157"/>
      <c r="C190" s="157"/>
      <c r="D190" s="157"/>
      <c r="E190" s="157"/>
      <c r="F190" s="157"/>
      <c r="G190" s="157"/>
      <c r="H190" s="157"/>
      <c r="I190" s="157"/>
      <c r="J190" s="157"/>
      <c r="K190" s="157"/>
    </row>
    <row r="191" spans="1:11" ht="20.100000000000001" customHeight="1">
      <c r="A191" s="157"/>
      <c r="B191" s="157"/>
      <c r="C191" s="157"/>
      <c r="D191" s="157"/>
      <c r="E191" s="157"/>
      <c r="F191" s="157"/>
      <c r="G191" s="157"/>
      <c r="H191" s="157"/>
      <c r="I191" s="157"/>
      <c r="J191" s="157"/>
      <c r="K191" s="157"/>
    </row>
    <row r="192" spans="1:11" ht="20.100000000000001" customHeight="1">
      <c r="A192" s="157"/>
      <c r="B192" s="157"/>
      <c r="C192" s="157"/>
      <c r="D192" s="157"/>
      <c r="E192" s="157"/>
      <c r="F192" s="157"/>
      <c r="G192" s="157"/>
      <c r="H192" s="157"/>
      <c r="I192" s="157"/>
      <c r="J192" s="157"/>
      <c r="K192" s="157"/>
    </row>
    <row r="193" spans="1:11" ht="20.100000000000001" customHeight="1">
      <c r="A193" s="157"/>
      <c r="B193" s="157"/>
      <c r="C193" s="157"/>
      <c r="D193" s="157"/>
      <c r="E193" s="157"/>
      <c r="F193" s="157"/>
      <c r="G193" s="157"/>
      <c r="H193" s="157"/>
      <c r="I193" s="157"/>
      <c r="J193" s="157"/>
      <c r="K193" s="157"/>
    </row>
    <row r="194" spans="1:11" ht="20.100000000000001" customHeight="1">
      <c r="A194" s="157"/>
      <c r="B194" s="157"/>
      <c r="C194" s="157"/>
      <c r="D194" s="157"/>
      <c r="E194" s="157"/>
      <c r="F194" s="157"/>
      <c r="G194" s="157"/>
      <c r="H194" s="157"/>
      <c r="I194" s="157"/>
      <c r="J194" s="157"/>
      <c r="K194" s="157"/>
    </row>
    <row r="195" spans="1:11" ht="20.100000000000001" customHeight="1">
      <c r="A195" s="157"/>
      <c r="B195" s="157"/>
      <c r="C195" s="157"/>
      <c r="D195" s="157"/>
      <c r="E195" s="157"/>
      <c r="F195" s="157"/>
      <c r="G195" s="157"/>
      <c r="H195" s="157"/>
      <c r="I195" s="157"/>
      <c r="J195" s="157"/>
      <c r="K195" s="157"/>
    </row>
    <row r="196" spans="1:11" ht="20.100000000000001" customHeight="1"/>
    <row r="197" spans="1:11" ht="20.100000000000001" customHeight="1"/>
    <row r="198" spans="1:11" ht="20.100000000000001" customHeight="1"/>
    <row r="199" spans="1:11" ht="20.100000000000001" customHeight="1"/>
    <row r="200" spans="1:11" ht="20.100000000000001" customHeight="1"/>
    <row r="201" spans="1:11" ht="20.100000000000001" customHeight="1"/>
    <row r="202" spans="1:11" ht="20.100000000000001" customHeight="1"/>
    <row r="203" spans="1:11" ht="20.100000000000001" customHeight="1"/>
    <row r="204" spans="1:11" ht="20.100000000000001" customHeight="1"/>
    <row r="205" spans="1:11" ht="20.100000000000001" customHeight="1"/>
    <row r="206" spans="1:11" ht="20.100000000000001" customHeight="1"/>
    <row r="207" spans="1:11" ht="20.100000000000001" customHeight="1"/>
    <row r="208" spans="1:11"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sheetData>
  <sheetProtection algorithmName="SHA-512" hashValue="hUFe/BY8idIFKMd86i4YYHPWiewq16mEHCvcvyfx7n6iW661TPNcVUYcg40xgF6l3tXiGe2eRDzkrMkk4UZdcw==" saltValue="K67jfMwVTSlMZ8pXi7m0hA==" spinCount="100000" sheet="1" objects="1" scenarios="1" formatCells="0"/>
  <protectedRanges>
    <protectedRange sqref="D14:J14 G4:I4" name="text"/>
    <protectedRange sqref="D15:J500" name="InputData"/>
  </protectedRanges>
  <mergeCells count="163">
    <mergeCell ref="H14:J14"/>
    <mergeCell ref="H15:J15"/>
    <mergeCell ref="H16:J16"/>
    <mergeCell ref="H17:J17"/>
    <mergeCell ref="H18:J18"/>
    <mergeCell ref="H19:J19"/>
    <mergeCell ref="H26:J26"/>
    <mergeCell ref="H27:J27"/>
    <mergeCell ref="H28:J28"/>
    <mergeCell ref="H29:J29"/>
    <mergeCell ref="H30:J30"/>
    <mergeCell ref="H31:J31"/>
    <mergeCell ref="H20:J20"/>
    <mergeCell ref="H21:J21"/>
    <mergeCell ref="H22:J22"/>
    <mergeCell ref="H23:J23"/>
    <mergeCell ref="H24:J24"/>
    <mergeCell ref="H25:J25"/>
    <mergeCell ref="H38:J38"/>
    <mergeCell ref="H39:J39"/>
    <mergeCell ref="H40:J40"/>
    <mergeCell ref="H41:J41"/>
    <mergeCell ref="H42:J42"/>
    <mergeCell ref="H43:J43"/>
    <mergeCell ref="H32:J32"/>
    <mergeCell ref="H33:J33"/>
    <mergeCell ref="H34:J34"/>
    <mergeCell ref="H35:J35"/>
    <mergeCell ref="H36:J36"/>
    <mergeCell ref="H37:J37"/>
    <mergeCell ref="H50:J50"/>
    <mergeCell ref="H51:J51"/>
    <mergeCell ref="H52:J52"/>
    <mergeCell ref="H53:J53"/>
    <mergeCell ref="H54:J54"/>
    <mergeCell ref="H55:J55"/>
    <mergeCell ref="H44:J44"/>
    <mergeCell ref="H45:J45"/>
    <mergeCell ref="H46:J46"/>
    <mergeCell ref="H47:J47"/>
    <mergeCell ref="H48:J48"/>
    <mergeCell ref="H49:J49"/>
    <mergeCell ref="H62:J62"/>
    <mergeCell ref="H63:J63"/>
    <mergeCell ref="H64:J64"/>
    <mergeCell ref="H65:J65"/>
    <mergeCell ref="H66:J66"/>
    <mergeCell ref="H67:J67"/>
    <mergeCell ref="H56:J56"/>
    <mergeCell ref="H57:J57"/>
    <mergeCell ref="H58:J58"/>
    <mergeCell ref="H59:J59"/>
    <mergeCell ref="H60:J60"/>
    <mergeCell ref="H61:J61"/>
    <mergeCell ref="H74:J74"/>
    <mergeCell ref="H75:J75"/>
    <mergeCell ref="H76:J76"/>
    <mergeCell ref="H77:J77"/>
    <mergeCell ref="H78:J78"/>
    <mergeCell ref="H79:J79"/>
    <mergeCell ref="H68:J68"/>
    <mergeCell ref="H69:J69"/>
    <mergeCell ref="H70:J70"/>
    <mergeCell ref="H71:J71"/>
    <mergeCell ref="H72:J72"/>
    <mergeCell ref="H73:J73"/>
    <mergeCell ref="H86:J86"/>
    <mergeCell ref="H87:J87"/>
    <mergeCell ref="H88:J88"/>
    <mergeCell ref="H89:J89"/>
    <mergeCell ref="H90:J90"/>
    <mergeCell ref="H91:J91"/>
    <mergeCell ref="H80:J80"/>
    <mergeCell ref="H81:J81"/>
    <mergeCell ref="H82:J82"/>
    <mergeCell ref="H83:J83"/>
    <mergeCell ref="H84:J84"/>
    <mergeCell ref="H85:J85"/>
    <mergeCell ref="H98:J98"/>
    <mergeCell ref="H99:J99"/>
    <mergeCell ref="H100:J100"/>
    <mergeCell ref="H101:J101"/>
    <mergeCell ref="H102:J102"/>
    <mergeCell ref="H103:J103"/>
    <mergeCell ref="H92:J92"/>
    <mergeCell ref="H93:J93"/>
    <mergeCell ref="H94:J94"/>
    <mergeCell ref="H95:J95"/>
    <mergeCell ref="H96:J96"/>
    <mergeCell ref="H97:J97"/>
    <mergeCell ref="H110:J110"/>
    <mergeCell ref="H111:J111"/>
    <mergeCell ref="H112:J112"/>
    <mergeCell ref="H113:J113"/>
    <mergeCell ref="H114:J114"/>
    <mergeCell ref="H115:J115"/>
    <mergeCell ref="H104:J104"/>
    <mergeCell ref="H105:J105"/>
    <mergeCell ref="H106:J106"/>
    <mergeCell ref="H107:J107"/>
    <mergeCell ref="H108:J108"/>
    <mergeCell ref="H109:J109"/>
    <mergeCell ref="H122:J122"/>
    <mergeCell ref="H123:J123"/>
    <mergeCell ref="H124:J124"/>
    <mergeCell ref="H125:J125"/>
    <mergeCell ref="H126:J126"/>
    <mergeCell ref="H127:J127"/>
    <mergeCell ref="H116:J116"/>
    <mergeCell ref="H117:J117"/>
    <mergeCell ref="H118:J118"/>
    <mergeCell ref="H119:J119"/>
    <mergeCell ref="H120:J120"/>
    <mergeCell ref="H121:J121"/>
    <mergeCell ref="H134:J134"/>
    <mergeCell ref="H135:J135"/>
    <mergeCell ref="H136:J136"/>
    <mergeCell ref="H137:J137"/>
    <mergeCell ref="H138:J138"/>
    <mergeCell ref="H139:J139"/>
    <mergeCell ref="H128:J128"/>
    <mergeCell ref="H129:J129"/>
    <mergeCell ref="H130:J130"/>
    <mergeCell ref="H131:J131"/>
    <mergeCell ref="H132:J132"/>
    <mergeCell ref="H133:J133"/>
    <mergeCell ref="H146:J146"/>
    <mergeCell ref="H147:J147"/>
    <mergeCell ref="H148:J148"/>
    <mergeCell ref="H149:J149"/>
    <mergeCell ref="H150:J150"/>
    <mergeCell ref="H151:J151"/>
    <mergeCell ref="H140:J140"/>
    <mergeCell ref="H141:J141"/>
    <mergeCell ref="H142:J142"/>
    <mergeCell ref="H143:J143"/>
    <mergeCell ref="H144:J144"/>
    <mergeCell ref="H145:J145"/>
    <mergeCell ref="H158:J158"/>
    <mergeCell ref="H159:J159"/>
    <mergeCell ref="H160:J160"/>
    <mergeCell ref="H161:J161"/>
    <mergeCell ref="H162:J162"/>
    <mergeCell ref="H163:J163"/>
    <mergeCell ref="H152:J152"/>
    <mergeCell ref="H153:J153"/>
    <mergeCell ref="H154:J154"/>
    <mergeCell ref="H155:J155"/>
    <mergeCell ref="H156:J156"/>
    <mergeCell ref="H157:J157"/>
    <mergeCell ref="H176:J176"/>
    <mergeCell ref="H170:J170"/>
    <mergeCell ref="H171:J171"/>
    <mergeCell ref="H172:J172"/>
    <mergeCell ref="H173:J173"/>
    <mergeCell ref="H174:J174"/>
    <mergeCell ref="H175:J175"/>
    <mergeCell ref="H164:J164"/>
    <mergeCell ref="H165:J165"/>
    <mergeCell ref="H166:J166"/>
    <mergeCell ref="H167:J167"/>
    <mergeCell ref="H168:J168"/>
    <mergeCell ref="H169:J169"/>
  </mergeCells>
  <dataValidations count="1">
    <dataValidation type="list" errorStyle="information" allowBlank="1" showInputMessage="1" showErrorMessage="1" error="Enter &quot;Cash or Stock&quot;" sqref="E15:E174" xr:uid="{00000000-0002-0000-0800-000000000000}">
      <formula1>"Cash, Stock"</formula1>
    </dataValidation>
  </dataValidations>
  <pageMargins left="0.7" right="0.7" top="0.75" bottom="0.75" header="0.3" footer="0.3"/>
  <pageSetup orientation="portrait" horizontalDpi="1200" verticalDpi="12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ettings">
    <tabColor rgb="FF2B3139"/>
  </sheetPr>
  <dimension ref="A1:BQ67"/>
  <sheetViews>
    <sheetView showGridLines="0" showRowColHeaders="0" topLeftCell="L1" zoomScaleNormal="100" workbookViewId="0">
      <selection activeCell="V13" sqref="V13"/>
    </sheetView>
  </sheetViews>
  <sheetFormatPr defaultColWidth="0" defaultRowHeight="15"/>
  <cols>
    <col min="1" max="1" width="8" hidden="1" customWidth="1"/>
    <col min="2" max="3" width="5.140625" hidden="1" customWidth="1"/>
    <col min="4" max="4" width="14" hidden="1" customWidth="1"/>
    <col min="5" max="9" width="10.42578125" hidden="1" customWidth="1"/>
    <col min="10" max="11" width="8" hidden="1" customWidth="1"/>
    <col min="12" max="12" width="2.28515625" customWidth="1"/>
    <col min="13" max="13" width="14.42578125" customWidth="1"/>
    <col min="14" max="14" width="25.140625" customWidth="1"/>
    <col min="15" max="15" width="2.28515625" customWidth="1"/>
    <col min="16" max="17" width="13.7109375" customWidth="1"/>
    <col min="18" max="18" width="2.28515625" customWidth="1"/>
    <col min="19" max="19" width="17.85546875" customWidth="1"/>
    <col min="20" max="20" width="14.28515625" customWidth="1"/>
    <col min="21" max="21" width="2.28515625" customWidth="1"/>
    <col min="22" max="27" width="13.5703125" customWidth="1"/>
    <col min="28" max="28" width="5.42578125" customWidth="1"/>
    <col min="29" max="29" width="88" customWidth="1"/>
    <col min="30" max="31" width="13.28515625" hidden="1" customWidth="1"/>
    <col min="32" max="32" width="15.85546875" hidden="1" customWidth="1"/>
    <col min="33" max="33" width="16.28515625" hidden="1" customWidth="1"/>
    <col min="34" max="47" width="9.42578125" hidden="1" customWidth="1"/>
    <col min="48" max="51" width="10.85546875" hidden="1" customWidth="1"/>
    <col min="52" max="52" width="8" hidden="1" customWidth="1"/>
    <col min="53" max="63" width="10.85546875" hidden="1" customWidth="1"/>
    <col min="64" max="65" width="4.28515625" hidden="1" customWidth="1"/>
    <col min="66" max="68" width="10.85546875" hidden="1" customWidth="1"/>
    <col min="69" max="69" width="11.28515625" hidden="1" customWidth="1"/>
    <col min="70" max="16384" width="10.85546875" hidden="1"/>
  </cols>
  <sheetData>
    <row r="1" spans="12:35" ht="24.95" customHeight="1">
      <c r="L1" s="91" t="s">
        <v>428</v>
      </c>
      <c r="M1" s="436"/>
      <c r="N1" s="210"/>
      <c r="O1" s="210"/>
      <c r="P1" s="210"/>
      <c r="Q1" s="210"/>
      <c r="R1" s="210"/>
      <c r="S1" s="210"/>
      <c r="T1" s="210"/>
      <c r="U1" s="210"/>
      <c r="V1" s="210"/>
      <c r="W1" s="210"/>
      <c r="X1" s="210"/>
      <c r="Y1" s="210"/>
      <c r="Z1" s="210"/>
      <c r="AA1" s="210"/>
      <c r="AB1" s="289"/>
      <c r="AC1" s="157"/>
      <c r="AD1" t="s">
        <v>575</v>
      </c>
      <c r="AG1">
        <v>43038</v>
      </c>
      <c r="AH1">
        <f>IFERROR(IF(W9="today",AI1,MAX(AG2:AG3)),AI1)</f>
        <v>43038</v>
      </c>
      <c r="AI1">
        <f ca="1">TODAY()</f>
        <v>45128</v>
      </c>
    </row>
    <row r="2" spans="12:35" ht="20.100000000000001" customHeight="1">
      <c r="L2" s="90"/>
      <c r="M2" s="1130" t="s">
        <v>623</v>
      </c>
      <c r="N2" s="1116"/>
      <c r="O2" s="210"/>
      <c r="P2" s="1116" t="s">
        <v>712</v>
      </c>
      <c r="Q2" s="1116"/>
      <c r="R2" s="946"/>
      <c r="S2" s="1116" t="s">
        <v>384</v>
      </c>
      <c r="T2" s="1116"/>
      <c r="U2" s="437"/>
      <c r="V2" s="1016" t="s">
        <v>200</v>
      </c>
      <c r="W2" s="1016" t="s">
        <v>380</v>
      </c>
      <c r="X2" s="1016" t="s">
        <v>381</v>
      </c>
      <c r="Y2" s="1016" t="s">
        <v>382</v>
      </c>
      <c r="Z2" s="1016" t="s">
        <v>380</v>
      </c>
      <c r="AA2" s="1016" t="s">
        <v>383</v>
      </c>
      <c r="AB2" s="289"/>
      <c r="AC2" s="157"/>
      <c r="AG2">
        <f>MAX(dateLog)</f>
        <v>43011</v>
      </c>
      <c r="AH2" t="s">
        <v>716</v>
      </c>
    </row>
    <row r="3" spans="12:35" ht="16.5" customHeight="1" thickBot="1">
      <c r="L3" s="90"/>
      <c r="M3" s="438"/>
      <c r="N3" s="1017" t="s">
        <v>579</v>
      </c>
      <c r="O3" s="210"/>
      <c r="P3" s="1014" t="s">
        <v>713</v>
      </c>
      <c r="Q3" s="943">
        <v>0.02</v>
      </c>
      <c r="R3" s="210"/>
      <c r="S3" s="1014" t="s">
        <v>544</v>
      </c>
      <c r="T3" s="482" t="s">
        <v>711</v>
      </c>
      <c r="U3" s="424"/>
      <c r="V3" s="467" t="s">
        <v>6</v>
      </c>
      <c r="W3" s="468" t="s">
        <v>9</v>
      </c>
      <c r="X3" s="469">
        <v>2.5000000000000001E-3</v>
      </c>
      <c r="Y3" s="470">
        <v>20</v>
      </c>
      <c r="Z3" s="468" t="s">
        <v>9</v>
      </c>
      <c r="AA3" s="471"/>
      <c r="AB3" s="289"/>
      <c r="AC3" s="157"/>
      <c r="AG3">
        <f>MAX('Bank Transfers'!D15:D114,Dividends!F15:F174)</f>
        <v>43038</v>
      </c>
      <c r="AH3" t="s">
        <v>717</v>
      </c>
    </row>
    <row r="4" spans="12:35" ht="20.100000000000001" customHeight="1">
      <c r="L4" s="90"/>
      <c r="M4" s="438"/>
      <c r="N4" s="485" t="str">
        <f>'Trade Log'!F3</f>
        <v>Rocketsheets</v>
      </c>
      <c r="O4" s="423"/>
      <c r="P4" s="289"/>
      <c r="Q4" s="289"/>
      <c r="R4" s="423"/>
      <c r="S4" s="1014" t="s">
        <v>545</v>
      </c>
      <c r="T4" s="885">
        <v>0</v>
      </c>
      <c r="U4" s="424"/>
      <c r="V4" s="472" t="s">
        <v>112</v>
      </c>
      <c r="W4" s="473" t="s">
        <v>9</v>
      </c>
      <c r="X4" s="474">
        <v>2.9999999999999997E-4</v>
      </c>
      <c r="Y4" s="475">
        <v>2.4</v>
      </c>
      <c r="Z4" s="468" t="s">
        <v>9</v>
      </c>
      <c r="AA4" s="476"/>
      <c r="AB4" s="289"/>
      <c r="AC4" s="157"/>
    </row>
    <row r="5" spans="12:35" ht="20.100000000000001" customHeight="1">
      <c r="L5" s="90"/>
      <c r="M5" s="421"/>
      <c r="N5" s="439"/>
      <c r="O5" s="440">
        <f>DATE(YEAR(AG1),MONTH(AG1),DAY(1))</f>
        <v>43009</v>
      </c>
      <c r="P5" s="465" t="s">
        <v>766</v>
      </c>
      <c r="Q5" s="289"/>
      <c r="R5" s="423"/>
      <c r="S5" s="210"/>
      <c r="T5" s="210"/>
      <c r="U5" s="424"/>
      <c r="V5" s="472" t="s">
        <v>113</v>
      </c>
      <c r="W5" s="473" t="s">
        <v>9</v>
      </c>
      <c r="X5" s="474">
        <v>1.4999999999999999E-4</v>
      </c>
      <c r="Y5" s="475"/>
      <c r="Z5" s="468" t="s">
        <v>9</v>
      </c>
      <c r="AA5" s="476"/>
      <c r="AB5" s="289"/>
      <c r="AC5" s="157"/>
    </row>
    <row r="6" spans="12:35" ht="20.100000000000001" customHeight="1">
      <c r="L6" s="90"/>
      <c r="M6" s="421"/>
      <c r="N6" s="441"/>
      <c r="O6" s="440">
        <f>EOMONTH(O5,0)+1</f>
        <v>43040</v>
      </c>
      <c r="P6" s="1015" t="s">
        <v>571</v>
      </c>
      <c r="Q6" s="959">
        <v>0</v>
      </c>
      <c r="R6" s="423"/>
      <c r="S6" s="210"/>
      <c r="T6" s="210"/>
      <c r="U6" s="424"/>
      <c r="V6" s="477" t="s">
        <v>114</v>
      </c>
      <c r="W6" s="478" t="s">
        <v>9</v>
      </c>
      <c r="X6" s="479">
        <v>6.0000000000000001E-3</v>
      </c>
      <c r="Y6" s="480"/>
      <c r="Z6" s="468" t="s">
        <v>9</v>
      </c>
      <c r="AA6" s="481"/>
      <c r="AB6" s="289"/>
      <c r="AC6" s="157"/>
    </row>
    <row r="7" spans="12:35" ht="20.100000000000001" customHeight="1">
      <c r="L7" s="90"/>
      <c r="M7" s="421"/>
      <c r="N7" s="422"/>
      <c r="O7" s="423"/>
      <c r="P7" s="1015" t="s">
        <v>570</v>
      </c>
      <c r="Q7" s="435">
        <v>100</v>
      </c>
      <c r="R7" s="423"/>
      <c r="S7" s="289"/>
      <c r="T7" s="289"/>
      <c r="U7" s="424"/>
      <c r="V7" s="210"/>
      <c r="W7" s="210"/>
      <c r="X7" s="210"/>
      <c r="Y7" s="210"/>
      <c r="Z7" s="210"/>
      <c r="AA7" s="210"/>
      <c r="AB7" s="289"/>
      <c r="AC7" s="157"/>
    </row>
    <row r="8" spans="12:35" ht="30" customHeight="1">
      <c r="L8" s="90"/>
      <c r="M8" s="421"/>
      <c r="N8" s="422"/>
      <c r="O8" s="425"/>
      <c r="P8" s="1116" t="s">
        <v>506</v>
      </c>
      <c r="Q8" s="1116"/>
      <c r="R8" s="425"/>
      <c r="S8" s="1116" t="s">
        <v>385</v>
      </c>
      <c r="T8" s="1116"/>
      <c r="U8" s="424"/>
      <c r="V8" s="1116" t="s">
        <v>714</v>
      </c>
      <c r="W8" s="1116"/>
      <c r="X8" s="210"/>
      <c r="Y8" s="210"/>
      <c r="Z8" s="210"/>
      <c r="AA8" s="210"/>
      <c r="AB8" s="289"/>
      <c r="AC8" s="157"/>
    </row>
    <row r="9" spans="12:35" ht="20.100000000000001" customHeight="1" thickBot="1">
      <c r="L9" s="90"/>
      <c r="M9" s="1123" t="s">
        <v>242</v>
      </c>
      <c r="N9" s="1124"/>
      <c r="O9" s="423"/>
      <c r="P9" s="1015" t="s">
        <v>513</v>
      </c>
      <c r="Q9" s="483">
        <v>20</v>
      </c>
      <c r="R9" s="423"/>
      <c r="S9" s="1015" t="s">
        <v>482</v>
      </c>
      <c r="T9" s="960" t="s">
        <v>765</v>
      </c>
      <c r="U9" s="424"/>
      <c r="V9" s="1015" t="s">
        <v>715</v>
      </c>
      <c r="W9" s="945" t="s">
        <v>764</v>
      </c>
      <c r="X9" s="426"/>
      <c r="Y9" s="427"/>
      <c r="Z9" s="210"/>
      <c r="AA9" s="210"/>
      <c r="AB9" s="289"/>
      <c r="AC9" s="157"/>
    </row>
    <row r="10" spans="12:35" ht="20.100000000000001" customHeight="1">
      <c r="L10" s="90"/>
      <c r="M10" s="1125" t="s">
        <v>243</v>
      </c>
      <c r="N10" s="1126"/>
      <c r="O10" s="423"/>
      <c r="P10" s="1015" t="s">
        <v>512</v>
      </c>
      <c r="Q10" s="484">
        <v>10</v>
      </c>
      <c r="R10" s="423"/>
      <c r="S10" s="1015" t="s">
        <v>455</v>
      </c>
      <c r="T10" s="435">
        <v>50</v>
      </c>
      <c r="U10" s="424"/>
      <c r="V10" s="289"/>
      <c r="W10" s="289"/>
      <c r="X10" s="428"/>
      <c r="Y10" s="427"/>
      <c r="Z10" s="210"/>
      <c r="AA10" s="210"/>
      <c r="AB10" s="289"/>
      <c r="AC10" s="157"/>
    </row>
    <row r="11" spans="12:35" ht="20.100000000000001" customHeight="1">
      <c r="L11" s="90"/>
      <c r="M11" s="429"/>
      <c r="N11" s="429"/>
      <c r="O11" s="429"/>
      <c r="P11" s="429"/>
      <c r="Q11" s="429"/>
      <c r="R11" s="429"/>
      <c r="S11" s="430"/>
      <c r="T11" s="430"/>
      <c r="U11" s="424"/>
      <c r="V11" s="289"/>
      <c r="W11" s="289"/>
      <c r="X11" s="289"/>
      <c r="Y11" s="289"/>
      <c r="Z11" s="210"/>
      <c r="AA11" s="210"/>
      <c r="AB11" s="289"/>
      <c r="AC11" s="157"/>
    </row>
    <row r="12" spans="12:35" ht="20.100000000000001" customHeight="1">
      <c r="L12" s="90"/>
      <c r="M12" s="465" t="s">
        <v>433</v>
      </c>
      <c r="N12" s="371"/>
      <c r="O12" s="371"/>
      <c r="P12" s="431"/>
      <c r="Q12" s="431"/>
      <c r="R12" s="429"/>
      <c r="S12" s="466" t="s">
        <v>497</v>
      </c>
      <c r="T12" s="432"/>
      <c r="U12" s="433"/>
      <c r="V12" s="433"/>
      <c r="W12" s="433"/>
      <c r="X12" s="465" t="s">
        <v>377</v>
      </c>
      <c r="Y12" s="371"/>
      <c r="Z12" s="459"/>
      <c r="AA12" s="459"/>
      <c r="AB12" s="289"/>
      <c r="AC12" s="157"/>
    </row>
    <row r="13" spans="12:35" ht="20.100000000000001" customHeight="1">
      <c r="L13" s="90"/>
      <c r="M13" s="1021" t="s">
        <v>431</v>
      </c>
      <c r="N13" s="1127" t="s">
        <v>432</v>
      </c>
      <c r="O13" s="1127"/>
      <c r="P13" s="1127"/>
      <c r="Q13" s="1127"/>
      <c r="R13" s="429"/>
      <c r="S13" s="1020" t="s">
        <v>374</v>
      </c>
      <c r="T13" s="1020"/>
      <c r="U13" s="434"/>
      <c r="V13" s="434"/>
      <c r="W13" s="434"/>
      <c r="X13" s="1018" t="s">
        <v>378</v>
      </c>
      <c r="Y13" s="1019" t="s">
        <v>483</v>
      </c>
      <c r="Z13" s="1019" t="s">
        <v>379</v>
      </c>
      <c r="AA13" s="1019" t="s">
        <v>483</v>
      </c>
      <c r="AB13" s="289"/>
      <c r="AC13" s="157"/>
    </row>
    <row r="14" spans="12:35" ht="20.100000000000001" customHeight="1">
      <c r="L14" s="59">
        <f>IF(M14="",NA(),1)</f>
        <v>1</v>
      </c>
      <c r="M14" s="444" t="s">
        <v>239</v>
      </c>
      <c r="N14" s="1128" t="s">
        <v>438</v>
      </c>
      <c r="O14" s="1129"/>
      <c r="P14" s="1129"/>
      <c r="Q14" s="1129"/>
      <c r="R14" s="445"/>
      <c r="S14" s="1119" t="s">
        <v>507</v>
      </c>
      <c r="T14" s="1120"/>
      <c r="U14" s="1120"/>
      <c r="V14" s="1120"/>
      <c r="W14" s="1120"/>
      <c r="X14" s="460" t="s">
        <v>86</v>
      </c>
      <c r="Y14" s="457">
        <v>-1</v>
      </c>
      <c r="Z14" s="458" t="s">
        <v>82</v>
      </c>
      <c r="AA14" s="462">
        <v>-1</v>
      </c>
      <c r="AB14" s="443"/>
      <c r="AC14" s="157"/>
    </row>
    <row r="15" spans="12:35" ht="20.100000000000001" customHeight="1">
      <c r="L15" s="59">
        <f>IF(Settings!M15="",NA(),1)</f>
        <v>1</v>
      </c>
      <c r="M15" s="446" t="s">
        <v>240</v>
      </c>
      <c r="N15" s="1117" t="s">
        <v>438</v>
      </c>
      <c r="O15" s="1118"/>
      <c r="P15" s="1118"/>
      <c r="Q15" s="1118"/>
      <c r="R15" s="447"/>
      <c r="S15" s="1121" t="s">
        <v>508</v>
      </c>
      <c r="T15" s="1122"/>
      <c r="U15" s="1122"/>
      <c r="V15" s="1122"/>
      <c r="W15" s="1122"/>
      <c r="X15" s="461" t="s">
        <v>88</v>
      </c>
      <c r="Y15" s="448">
        <v>-1</v>
      </c>
      <c r="Z15" s="449" t="s">
        <v>83</v>
      </c>
      <c r="AA15" s="463">
        <v>-1</v>
      </c>
      <c r="AB15" s="443"/>
      <c r="AC15" s="157"/>
    </row>
    <row r="16" spans="12:35" ht="20.100000000000001" customHeight="1">
      <c r="L16" s="59">
        <f t="shared" ref="L16:L33" si="0">IF(M16="",NA(),1)</f>
        <v>1</v>
      </c>
      <c r="M16" s="446" t="s">
        <v>51</v>
      </c>
      <c r="N16" s="1117" t="s">
        <v>438</v>
      </c>
      <c r="O16" s="1118"/>
      <c r="P16" s="1118"/>
      <c r="Q16" s="1118"/>
      <c r="R16" s="450"/>
      <c r="S16" s="1121" t="s">
        <v>509</v>
      </c>
      <c r="T16" s="1122"/>
      <c r="U16" s="1122"/>
      <c r="V16" s="1122"/>
      <c r="W16" s="1122"/>
      <c r="X16" s="461" t="s">
        <v>87</v>
      </c>
      <c r="Y16" s="448">
        <v>-1</v>
      </c>
      <c r="Z16" s="449" t="s">
        <v>84</v>
      </c>
      <c r="AA16" s="463">
        <v>-1</v>
      </c>
      <c r="AB16" s="443"/>
      <c r="AC16" s="157"/>
    </row>
    <row r="17" spans="12:29" ht="20.100000000000001" customHeight="1">
      <c r="L17" s="59">
        <f t="shared" si="0"/>
        <v>1</v>
      </c>
      <c r="M17" s="446" t="s">
        <v>238</v>
      </c>
      <c r="N17" s="1117" t="s">
        <v>438</v>
      </c>
      <c r="O17" s="1118"/>
      <c r="P17" s="1118"/>
      <c r="Q17" s="1118"/>
      <c r="R17" s="442"/>
      <c r="S17" s="1121" t="s">
        <v>510</v>
      </c>
      <c r="T17" s="1122"/>
      <c r="U17" s="1122"/>
      <c r="V17" s="1122"/>
      <c r="W17" s="1122"/>
      <c r="X17" s="461" t="s">
        <v>92</v>
      </c>
      <c r="Y17" s="448">
        <v>1</v>
      </c>
      <c r="Z17" s="449" t="s">
        <v>85</v>
      </c>
      <c r="AA17" s="463">
        <v>-1</v>
      </c>
      <c r="AB17" s="443"/>
      <c r="AC17" s="157"/>
    </row>
    <row r="18" spans="12:29" ht="20.100000000000001" customHeight="1">
      <c r="L18" s="59">
        <f t="shared" si="0"/>
        <v>1</v>
      </c>
      <c r="M18" s="446" t="s">
        <v>241</v>
      </c>
      <c r="N18" s="1117" t="s">
        <v>438</v>
      </c>
      <c r="O18" s="1118"/>
      <c r="P18" s="1118"/>
      <c r="Q18" s="1118"/>
      <c r="R18" s="451"/>
      <c r="S18" s="1121" t="s">
        <v>511</v>
      </c>
      <c r="T18" s="1122"/>
      <c r="U18" s="1122"/>
      <c r="V18" s="1122"/>
      <c r="W18" s="1122"/>
      <c r="X18" s="461" t="s">
        <v>89</v>
      </c>
      <c r="Y18" s="448">
        <v>-1</v>
      </c>
      <c r="Z18" s="449" t="s">
        <v>90</v>
      </c>
      <c r="AA18" s="463">
        <v>-1</v>
      </c>
      <c r="AB18" s="443"/>
      <c r="AC18" s="157"/>
    </row>
    <row r="19" spans="12:29" ht="20.100000000000001" customHeight="1">
      <c r="L19" s="59" t="e">
        <f t="shared" si="0"/>
        <v>#N/A</v>
      </c>
      <c r="M19" s="446"/>
      <c r="N19" s="1117"/>
      <c r="O19" s="1118"/>
      <c r="P19" s="1118"/>
      <c r="Q19" s="1118"/>
      <c r="R19" s="443"/>
      <c r="S19" s="1121"/>
      <c r="T19" s="1122"/>
      <c r="U19" s="1122"/>
      <c r="V19" s="1122"/>
      <c r="W19" s="1122"/>
      <c r="X19" s="461" t="s">
        <v>249</v>
      </c>
      <c r="Y19" s="448">
        <v>-1</v>
      </c>
      <c r="Z19" s="449" t="s">
        <v>91</v>
      </c>
      <c r="AA19" s="463">
        <v>-1</v>
      </c>
      <c r="AB19" s="443"/>
      <c r="AC19" s="157"/>
    </row>
    <row r="20" spans="12:29" ht="20.100000000000001" customHeight="1">
      <c r="L20" s="59" t="e">
        <f t="shared" si="0"/>
        <v>#N/A</v>
      </c>
      <c r="M20" s="446"/>
      <c r="N20" s="1117"/>
      <c r="O20" s="1118"/>
      <c r="P20" s="1118"/>
      <c r="Q20" s="1118"/>
      <c r="R20" s="443"/>
      <c r="S20" s="1121"/>
      <c r="T20" s="1122"/>
      <c r="U20" s="1122"/>
      <c r="V20" s="1122"/>
      <c r="W20" s="1122"/>
      <c r="X20" s="461" t="s">
        <v>250</v>
      </c>
      <c r="Y20" s="448">
        <v>1</v>
      </c>
      <c r="Z20" s="449" t="s">
        <v>147</v>
      </c>
      <c r="AA20" s="463">
        <v>1</v>
      </c>
      <c r="AB20" s="443"/>
      <c r="AC20" s="157"/>
    </row>
    <row r="21" spans="12:29" ht="20.100000000000001" customHeight="1">
      <c r="L21" s="59" t="e">
        <f t="shared" si="0"/>
        <v>#N/A</v>
      </c>
      <c r="M21" s="446"/>
      <c r="N21" s="1117"/>
      <c r="O21" s="1118"/>
      <c r="P21" s="1118"/>
      <c r="Q21" s="1118"/>
      <c r="R21" s="443"/>
      <c r="S21" s="1121"/>
      <c r="T21" s="1122"/>
      <c r="U21" s="1122"/>
      <c r="V21" s="1122"/>
      <c r="W21" s="1122"/>
      <c r="X21" s="461"/>
      <c r="Y21" s="448"/>
      <c r="Z21" s="449"/>
      <c r="AA21" s="463"/>
      <c r="AB21" s="443"/>
      <c r="AC21" s="157"/>
    </row>
    <row r="22" spans="12:29" ht="20.100000000000001" customHeight="1">
      <c r="L22" s="59" t="e">
        <f t="shared" si="0"/>
        <v>#N/A</v>
      </c>
      <c r="M22" s="446"/>
      <c r="N22" s="1117"/>
      <c r="O22" s="1118"/>
      <c r="P22" s="1118"/>
      <c r="Q22" s="1118"/>
      <c r="R22" s="443"/>
      <c r="S22" s="1121"/>
      <c r="T22" s="1122"/>
      <c r="U22" s="1122"/>
      <c r="V22" s="1122"/>
      <c r="W22" s="1122"/>
      <c r="X22" s="461"/>
      <c r="Y22" s="448"/>
      <c r="Z22" s="449"/>
      <c r="AA22" s="463"/>
      <c r="AB22" s="443"/>
      <c r="AC22" s="157"/>
    </row>
    <row r="23" spans="12:29" ht="20.100000000000001" customHeight="1">
      <c r="L23" s="59" t="e">
        <f t="shared" si="0"/>
        <v>#N/A</v>
      </c>
      <c r="M23" s="446"/>
      <c r="N23" s="1117"/>
      <c r="O23" s="1118"/>
      <c r="P23" s="1118"/>
      <c r="Q23" s="1118"/>
      <c r="R23" s="443"/>
      <c r="S23" s="1121"/>
      <c r="T23" s="1122"/>
      <c r="U23" s="1122"/>
      <c r="V23" s="1122"/>
      <c r="W23" s="1122"/>
      <c r="X23" s="461"/>
      <c r="Y23" s="448"/>
      <c r="Z23" s="449"/>
      <c r="AA23" s="463"/>
      <c r="AB23" s="443"/>
      <c r="AC23" s="157"/>
    </row>
    <row r="24" spans="12:29" ht="20.100000000000001" customHeight="1">
      <c r="L24" s="59" t="e">
        <f t="shared" si="0"/>
        <v>#N/A</v>
      </c>
      <c r="M24" s="446"/>
      <c r="N24" s="1117"/>
      <c r="O24" s="1118"/>
      <c r="P24" s="1118"/>
      <c r="Q24" s="1118"/>
      <c r="R24" s="443"/>
      <c r="S24" s="1121"/>
      <c r="T24" s="1122"/>
      <c r="U24" s="1122"/>
      <c r="V24" s="1122"/>
      <c r="W24" s="1122"/>
      <c r="X24" s="461"/>
      <c r="Y24" s="448"/>
      <c r="Z24" s="449"/>
      <c r="AA24" s="463"/>
      <c r="AB24" s="443"/>
      <c r="AC24" s="157"/>
    </row>
    <row r="25" spans="12:29" ht="20.100000000000001" customHeight="1">
      <c r="L25" s="59" t="e">
        <f t="shared" si="0"/>
        <v>#N/A</v>
      </c>
      <c r="M25" s="446"/>
      <c r="N25" s="1117"/>
      <c r="O25" s="1118"/>
      <c r="P25" s="1118"/>
      <c r="Q25" s="1118"/>
      <c r="R25" s="443"/>
      <c r="S25" s="1121"/>
      <c r="T25" s="1122"/>
      <c r="U25" s="1122"/>
      <c r="V25" s="1122"/>
      <c r="W25" s="1122"/>
      <c r="X25" s="461"/>
      <c r="Y25" s="448"/>
      <c r="Z25" s="449"/>
      <c r="AA25" s="463"/>
      <c r="AB25" s="443"/>
      <c r="AC25" s="157"/>
    </row>
    <row r="26" spans="12:29" ht="20.100000000000001" customHeight="1">
      <c r="L26" s="59" t="e">
        <f t="shared" si="0"/>
        <v>#N/A</v>
      </c>
      <c r="M26" s="446"/>
      <c r="N26" s="1117"/>
      <c r="O26" s="1118"/>
      <c r="P26" s="1118"/>
      <c r="Q26" s="1118"/>
      <c r="R26" s="443"/>
      <c r="S26" s="1121"/>
      <c r="T26" s="1122"/>
      <c r="U26" s="1122"/>
      <c r="V26" s="1122"/>
      <c r="W26" s="1122"/>
      <c r="X26" s="461"/>
      <c r="Y26" s="448"/>
      <c r="Z26" s="449"/>
      <c r="AA26" s="463"/>
      <c r="AB26" s="443"/>
      <c r="AC26" s="157"/>
    </row>
    <row r="27" spans="12:29" ht="20.100000000000001" customHeight="1">
      <c r="L27" s="59" t="e">
        <f t="shared" si="0"/>
        <v>#N/A</v>
      </c>
      <c r="M27" s="446"/>
      <c r="N27" s="1117"/>
      <c r="O27" s="1118"/>
      <c r="P27" s="1118"/>
      <c r="Q27" s="1118"/>
      <c r="R27" s="443"/>
      <c r="S27" s="1121"/>
      <c r="T27" s="1122"/>
      <c r="U27" s="1122"/>
      <c r="V27" s="1122"/>
      <c r="W27" s="1122"/>
      <c r="X27" s="461"/>
      <c r="Y27" s="448"/>
      <c r="Z27" s="449"/>
      <c r="AA27" s="463"/>
      <c r="AB27" s="443"/>
      <c r="AC27" s="157"/>
    </row>
    <row r="28" spans="12:29" ht="20.100000000000001" customHeight="1">
      <c r="L28" s="59" t="e">
        <f t="shared" si="0"/>
        <v>#N/A</v>
      </c>
      <c r="M28" s="446"/>
      <c r="N28" s="1117"/>
      <c r="O28" s="1118"/>
      <c r="P28" s="1118"/>
      <c r="Q28" s="1118"/>
      <c r="R28" s="443"/>
      <c r="S28" s="1121"/>
      <c r="T28" s="1122"/>
      <c r="U28" s="1122"/>
      <c r="V28" s="1122"/>
      <c r="W28" s="1122"/>
      <c r="X28" s="461"/>
      <c r="Y28" s="448"/>
      <c r="Z28" s="449"/>
      <c r="AA28" s="463"/>
      <c r="AB28" s="443"/>
      <c r="AC28" s="157"/>
    </row>
    <row r="29" spans="12:29" ht="20.100000000000001" customHeight="1">
      <c r="L29" s="59" t="e">
        <f t="shared" si="0"/>
        <v>#N/A</v>
      </c>
      <c r="M29" s="446"/>
      <c r="N29" s="1117"/>
      <c r="O29" s="1118"/>
      <c r="P29" s="1118"/>
      <c r="Q29" s="1118"/>
      <c r="R29" s="443"/>
      <c r="S29" s="1121"/>
      <c r="T29" s="1122"/>
      <c r="U29" s="1122"/>
      <c r="V29" s="1122"/>
      <c r="W29" s="1131"/>
      <c r="X29" s="452"/>
      <c r="Y29" s="453"/>
      <c r="Z29" s="453"/>
      <c r="AA29" s="443"/>
      <c r="AB29" s="443"/>
      <c r="AC29" s="157"/>
    </row>
    <row r="30" spans="12:29" ht="20.100000000000001" customHeight="1">
      <c r="L30" s="59" t="e">
        <f t="shared" si="0"/>
        <v>#N/A</v>
      </c>
      <c r="M30" s="446"/>
      <c r="N30" s="1117"/>
      <c r="O30" s="1118"/>
      <c r="P30" s="1118"/>
      <c r="Q30" s="1118"/>
      <c r="R30" s="443"/>
      <c r="S30" s="1121"/>
      <c r="T30" s="1122"/>
      <c r="U30" s="1122"/>
      <c r="V30" s="1122"/>
      <c r="W30" s="1131"/>
      <c r="X30" s="454" t="s">
        <v>578</v>
      </c>
      <c r="Y30" s="443"/>
      <c r="Z30" s="443"/>
      <c r="AA30" s="443"/>
      <c r="AB30" s="443"/>
      <c r="AC30" s="157"/>
    </row>
    <row r="31" spans="12:29" ht="20.100000000000001" customHeight="1">
      <c r="L31" s="59" t="e">
        <f t="shared" si="0"/>
        <v>#N/A</v>
      </c>
      <c r="M31" s="446"/>
      <c r="N31" s="1117"/>
      <c r="O31" s="1118"/>
      <c r="P31" s="1118"/>
      <c r="Q31" s="1118"/>
      <c r="R31" s="443"/>
      <c r="S31" s="1121"/>
      <c r="T31" s="1122"/>
      <c r="U31" s="1122"/>
      <c r="V31" s="1122"/>
      <c r="W31" s="1131"/>
      <c r="X31" s="443"/>
      <c r="Y31" s="443"/>
      <c r="Z31" s="443"/>
      <c r="AA31" s="443"/>
      <c r="AB31" s="443"/>
      <c r="AC31" s="157"/>
    </row>
    <row r="32" spans="12:29" ht="20.100000000000001" customHeight="1">
      <c r="L32" s="59" t="e">
        <f t="shared" si="0"/>
        <v>#N/A</v>
      </c>
      <c r="M32" s="446"/>
      <c r="N32" s="1117"/>
      <c r="O32" s="1118"/>
      <c r="P32" s="1118"/>
      <c r="Q32" s="1118"/>
      <c r="R32" s="443"/>
      <c r="S32" s="1121"/>
      <c r="T32" s="1122"/>
      <c r="U32" s="1122"/>
      <c r="V32" s="1122"/>
      <c r="W32" s="1131"/>
      <c r="X32" s="443"/>
      <c r="Y32" s="443"/>
      <c r="Z32" s="443"/>
      <c r="AA32" s="443"/>
      <c r="AB32" s="443"/>
      <c r="AC32" s="157"/>
    </row>
    <row r="33" spans="12:29" ht="20.100000000000001" customHeight="1">
      <c r="L33" s="59" t="e">
        <f t="shared" si="0"/>
        <v>#N/A</v>
      </c>
      <c r="M33" s="455"/>
      <c r="N33" s="1117"/>
      <c r="O33" s="1118"/>
      <c r="P33" s="1118"/>
      <c r="Q33" s="1118"/>
      <c r="R33" s="443"/>
      <c r="S33" s="1121"/>
      <c r="T33" s="1122"/>
      <c r="U33" s="1122"/>
      <c r="V33" s="1122"/>
      <c r="W33" s="1131"/>
      <c r="X33" s="443"/>
      <c r="Y33" s="443"/>
      <c r="Z33" s="443"/>
      <c r="AA33" s="443"/>
      <c r="AB33" s="443"/>
      <c r="AC33" s="157"/>
    </row>
    <row r="34" spans="12:29" ht="20.100000000000001" customHeight="1">
      <c r="L34" s="57"/>
      <c r="M34" s="456" t="s">
        <v>490</v>
      </c>
      <c r="N34" s="443"/>
      <c r="O34" s="443"/>
      <c r="P34" s="443"/>
      <c r="Q34" s="443"/>
      <c r="R34" s="443"/>
      <c r="S34" s="443"/>
      <c r="T34" s="443"/>
      <c r="U34" s="443"/>
      <c r="V34" s="443"/>
      <c r="W34" s="443"/>
      <c r="X34" s="443"/>
      <c r="Y34" s="443"/>
      <c r="Z34" s="443"/>
      <c r="AA34" s="443"/>
      <c r="AB34" s="443"/>
      <c r="AC34" s="157"/>
    </row>
    <row r="35" spans="12:29" ht="20.100000000000001" customHeight="1">
      <c r="L35" s="57"/>
      <c r="M35" s="443"/>
      <c r="N35" s="443"/>
      <c r="O35" s="443"/>
      <c r="P35" s="443"/>
      <c r="Q35" s="443"/>
      <c r="R35" s="443"/>
      <c r="S35" s="443"/>
      <c r="T35" s="443"/>
      <c r="U35" s="443"/>
      <c r="V35" s="443"/>
      <c r="W35" s="443"/>
      <c r="X35" s="464"/>
      <c r="Y35" s="443"/>
      <c r="Z35" s="443"/>
      <c r="AA35" s="443"/>
      <c r="AB35" s="443"/>
      <c r="AC35" s="157"/>
    </row>
    <row r="36" spans="12:29">
      <c r="L36" s="57"/>
      <c r="M36" s="57"/>
      <c r="N36" s="57"/>
      <c r="O36" s="57"/>
      <c r="P36" s="57"/>
      <c r="Q36" s="57"/>
      <c r="R36" s="57"/>
      <c r="S36" s="57"/>
      <c r="T36" s="57"/>
      <c r="U36" s="57"/>
      <c r="V36" s="57"/>
      <c r="W36" s="57"/>
      <c r="X36" s="57"/>
      <c r="Y36" s="57"/>
      <c r="Z36" s="57"/>
      <c r="AA36" s="57"/>
      <c r="AB36" s="443"/>
      <c r="AC36" s="157"/>
    </row>
    <row r="37" spans="12:29">
      <c r="L37" s="57"/>
      <c r="M37" s="57"/>
      <c r="N37" s="57"/>
      <c r="O37" s="57"/>
      <c r="P37" s="57"/>
      <c r="Q37" s="57"/>
      <c r="R37" s="57"/>
      <c r="S37" s="57"/>
      <c r="T37" s="57"/>
      <c r="U37" s="57"/>
      <c r="V37" s="57"/>
      <c r="W37" s="57"/>
      <c r="X37" s="57"/>
      <c r="Y37" s="57"/>
      <c r="Z37" s="57"/>
      <c r="AA37" s="57"/>
      <c r="AB37" s="57"/>
      <c r="AC37" s="157"/>
    </row>
    <row r="38" spans="12:29">
      <c r="L38" s="57"/>
      <c r="M38" s="57"/>
      <c r="N38" s="57"/>
      <c r="O38" s="57"/>
      <c r="P38" s="57"/>
      <c r="Q38" s="57"/>
      <c r="R38" s="57"/>
      <c r="S38" s="57"/>
      <c r="T38" s="57"/>
      <c r="U38" s="57"/>
      <c r="V38" s="57"/>
      <c r="W38" s="57"/>
      <c r="X38" s="57"/>
      <c r="Y38" s="57"/>
      <c r="Z38" s="57"/>
      <c r="AA38" s="57"/>
      <c r="AB38" s="57"/>
      <c r="AC38" s="157"/>
    </row>
    <row r="39" spans="12:29">
      <c r="L39" s="57"/>
      <c r="M39" s="57"/>
      <c r="N39" s="57"/>
      <c r="O39" s="57"/>
      <c r="P39" s="57"/>
      <c r="Q39" s="57"/>
      <c r="R39" s="57"/>
      <c r="S39" s="57"/>
      <c r="T39" s="57"/>
      <c r="U39" s="57"/>
      <c r="V39" s="57"/>
      <c r="W39" s="57"/>
      <c r="X39" s="57"/>
      <c r="Y39" s="57"/>
      <c r="Z39" s="57"/>
      <c r="AA39" s="57"/>
      <c r="AB39" s="57"/>
      <c r="AC39" s="157"/>
    </row>
    <row r="40" spans="12:29">
      <c r="L40" s="57"/>
      <c r="M40" s="57"/>
      <c r="N40" s="57"/>
      <c r="O40" s="57"/>
      <c r="P40" s="57"/>
      <c r="Q40" s="57"/>
      <c r="R40" s="57"/>
      <c r="S40" s="57"/>
      <c r="T40" s="57"/>
      <c r="U40" s="57"/>
      <c r="V40" s="57"/>
      <c r="W40" s="57"/>
      <c r="X40" s="57"/>
      <c r="Y40" s="57"/>
      <c r="Z40" s="57"/>
      <c r="AA40" s="57"/>
      <c r="AB40" s="57"/>
      <c r="AC40" s="157"/>
    </row>
    <row r="41" spans="12:29">
      <c r="L41" s="57"/>
      <c r="M41" s="57"/>
      <c r="N41" s="57"/>
      <c r="O41" s="57"/>
      <c r="P41" s="57"/>
      <c r="Q41" s="57"/>
      <c r="R41" s="57"/>
      <c r="S41" s="57"/>
      <c r="T41" s="57"/>
      <c r="U41" s="57"/>
      <c r="V41" s="57"/>
      <c r="W41" s="57"/>
      <c r="X41" s="57"/>
      <c r="Y41" s="57"/>
      <c r="Z41" s="57"/>
      <c r="AA41" s="57"/>
      <c r="AB41" s="57"/>
      <c r="AC41" s="157"/>
    </row>
    <row r="42" spans="12:29">
      <c r="L42" s="57"/>
      <c r="M42" s="57"/>
      <c r="N42" s="57"/>
      <c r="O42" s="57"/>
      <c r="P42" s="57"/>
      <c r="Q42" s="57"/>
      <c r="R42" s="57"/>
      <c r="S42" s="57"/>
      <c r="T42" s="57"/>
      <c r="U42" s="57"/>
      <c r="V42" s="57"/>
      <c r="W42" s="57"/>
      <c r="X42" s="57"/>
      <c r="Y42" s="57"/>
      <c r="Z42" s="57"/>
      <c r="AA42" s="57"/>
      <c r="AB42" s="57"/>
      <c r="AC42" s="157"/>
    </row>
    <row r="43" spans="12:29">
      <c r="L43" s="57"/>
      <c r="M43" s="57"/>
      <c r="N43" s="57"/>
      <c r="O43" s="57"/>
      <c r="P43" s="57"/>
      <c r="Q43" s="57"/>
      <c r="R43" s="57"/>
      <c r="S43" s="57"/>
      <c r="T43" s="57"/>
      <c r="U43" s="57"/>
      <c r="V43" s="57"/>
      <c r="W43" s="57"/>
      <c r="X43" s="57"/>
      <c r="Y43" s="57"/>
      <c r="Z43" s="57"/>
      <c r="AA43" s="57"/>
      <c r="AB43" s="57"/>
      <c r="AC43" s="157"/>
    </row>
    <row r="44" spans="12:29">
      <c r="L44" s="57"/>
      <c r="M44" s="57"/>
      <c r="N44" s="57"/>
      <c r="O44" s="57"/>
      <c r="P44" s="57"/>
      <c r="Q44" s="57"/>
      <c r="R44" s="57"/>
      <c r="S44" s="57"/>
      <c r="T44" s="57"/>
      <c r="U44" s="57"/>
      <c r="V44" s="57"/>
      <c r="W44" s="57"/>
      <c r="X44" s="57"/>
      <c r="Y44" s="57"/>
      <c r="Z44" s="57"/>
      <c r="AA44" s="57"/>
      <c r="AB44" s="57"/>
      <c r="AC44" s="157"/>
    </row>
    <row r="45" spans="12:29">
      <c r="L45" s="57"/>
      <c r="M45" s="57"/>
      <c r="N45" s="57"/>
      <c r="O45" s="57"/>
      <c r="P45" s="57"/>
      <c r="Q45" s="57"/>
      <c r="R45" s="57"/>
      <c r="S45" s="57"/>
      <c r="T45" s="57"/>
      <c r="U45" s="57"/>
      <c r="V45" s="57"/>
      <c r="W45" s="57"/>
      <c r="X45" s="57"/>
      <c r="Y45" s="57"/>
      <c r="Z45" s="57"/>
      <c r="AA45" s="57"/>
      <c r="AB45" s="57"/>
      <c r="AC45" s="157"/>
    </row>
    <row r="46" spans="12:29">
      <c r="L46" s="57"/>
      <c r="M46" s="57"/>
      <c r="N46" s="57"/>
      <c r="O46" s="57"/>
      <c r="P46" s="57"/>
      <c r="Q46" s="57"/>
      <c r="R46" s="57"/>
      <c r="S46" s="57"/>
      <c r="T46" s="57"/>
      <c r="U46" s="57"/>
      <c r="V46" s="57"/>
      <c r="W46" s="57"/>
      <c r="X46" s="57"/>
      <c r="Y46" s="57"/>
      <c r="Z46" s="57"/>
      <c r="AA46" s="57"/>
      <c r="AB46" s="57"/>
      <c r="AC46" s="157"/>
    </row>
    <row r="67" ht="15" customHeight="1"/>
  </sheetData>
  <sheetProtection algorithmName="SHA-512" hashValue="BaBB47CF4I+hL2s/EXa6m5RyYMKH0rALl3MFt8eg6cc/Bgwi8z2E56gMfLAobuc/pdW91MOLaedC1rUHSTHAEg==" saltValue="2ZgUdAGsi9B6Z/x+OaUsFg==" spinCount="100000" sheet="1" objects="1" scenarios="1" formatCells="0"/>
  <protectedRanges>
    <protectedRange sqref="P2:Q2 M2:N2 N3 S2:T2 V2:AA2 P3 S3:S4 P6:P7 P5 S8:T8 V8:W8 V9 S9:S10 P8:Q8 P9:P10 M12:AA13" name="text"/>
    <protectedRange sqref="M13:Q33 S13:W33 X13:AA28 T3 T9:T10 Q9:Q10 AG1 AD1 V3:AA6 Q6:Q7 Q3 W9" name="editable"/>
    <protectedRange sqref="AG1:AH3" name="Range2"/>
  </protectedRanges>
  <mergeCells count="49">
    <mergeCell ref="S32:W32"/>
    <mergeCell ref="S33:W33"/>
    <mergeCell ref="N22:Q22"/>
    <mergeCell ref="N23:Q23"/>
    <mergeCell ref="N24:Q24"/>
    <mergeCell ref="N25:Q25"/>
    <mergeCell ref="N26:Q26"/>
    <mergeCell ref="N27:Q27"/>
    <mergeCell ref="N28:Q28"/>
    <mergeCell ref="N29:Q29"/>
    <mergeCell ref="N30:Q30"/>
    <mergeCell ref="N31:Q31"/>
    <mergeCell ref="N32:Q32"/>
    <mergeCell ref="N33:Q33"/>
    <mergeCell ref="S27:W27"/>
    <mergeCell ref="S28:W28"/>
    <mergeCell ref="S29:W29"/>
    <mergeCell ref="S30:W30"/>
    <mergeCell ref="S31:W31"/>
    <mergeCell ref="S22:W22"/>
    <mergeCell ref="S23:W23"/>
    <mergeCell ref="S24:W24"/>
    <mergeCell ref="S25:W25"/>
    <mergeCell ref="S26:W26"/>
    <mergeCell ref="N21:Q21"/>
    <mergeCell ref="S8:T8"/>
    <mergeCell ref="S2:T2"/>
    <mergeCell ref="P8:Q8"/>
    <mergeCell ref="M9:N9"/>
    <mergeCell ref="M10:N10"/>
    <mergeCell ref="N13:Q13"/>
    <mergeCell ref="N14:Q14"/>
    <mergeCell ref="N15:Q15"/>
    <mergeCell ref="N16:Q16"/>
    <mergeCell ref="M2:N2"/>
    <mergeCell ref="P2:Q2"/>
    <mergeCell ref="S18:W18"/>
    <mergeCell ref="S19:W19"/>
    <mergeCell ref="S20:W20"/>
    <mergeCell ref="S21:W21"/>
    <mergeCell ref="V8:W8"/>
    <mergeCell ref="N17:Q17"/>
    <mergeCell ref="N18:Q18"/>
    <mergeCell ref="N19:Q19"/>
    <mergeCell ref="N20:Q20"/>
    <mergeCell ref="S14:W14"/>
    <mergeCell ref="S15:W15"/>
    <mergeCell ref="S16:W16"/>
    <mergeCell ref="S17:W17"/>
  </mergeCells>
  <conditionalFormatting sqref="T4">
    <cfRule type="expression" dxfId="28" priority="1">
      <formula>$T$3="RIYAL"</formula>
    </cfRule>
    <cfRule type="expression" dxfId="27" priority="2">
      <formula>$T$3="RUPEE"</formula>
    </cfRule>
    <cfRule type="expression" dxfId="26" priority="3">
      <formula>$T$3="DONG"</formula>
    </cfRule>
    <cfRule type="expression" dxfId="25" priority="4">
      <formula>$T$3="PESO"</formula>
    </cfRule>
    <cfRule type="cellIs" dxfId="24" priority="10" operator="lessThan">
      <formula>0</formula>
    </cfRule>
  </conditionalFormatting>
  <conditionalFormatting sqref="T4">
    <cfRule type="expression" dxfId="23" priority="5">
      <formula>$T$3="SWISS"</formula>
    </cfRule>
    <cfRule type="expression" dxfId="22" priority="6">
      <formula>$T$3="YEN"</formula>
    </cfRule>
    <cfRule type="expression" dxfId="21" priority="7">
      <formula>$T$3="POUNDS"</formula>
    </cfRule>
    <cfRule type="expression" dxfId="20" priority="8">
      <formula>$T$3="EURO"</formula>
    </cfRule>
    <cfRule type="expression" dxfId="19" priority="9">
      <formula>$T$3="DOLLAR"</formula>
    </cfRule>
  </conditionalFormatting>
  <dataValidations count="12">
    <dataValidation allowBlank="1" showInputMessage="1" showErrorMessage="1" prompt="Enter value in decimals" sqref="X3:X6" xr:uid="{00000000-0002-0000-0900-000000000000}"/>
    <dataValidation type="list" allowBlank="1" showInputMessage="1" showErrorMessage="1" sqref="T9" xr:uid="{00000000-0002-0000-0900-000001000000}">
      <formula1>"Sold All Position,Per Tranche"</formula1>
    </dataValidation>
    <dataValidation allowBlank="1" showInputMessage="1" showErrorMessage="1" prompt="List below will appear in &quot;trade log sheet&quot; notes drop-down list" sqref="M13" xr:uid="{00000000-0002-0000-0900-000002000000}"/>
    <dataValidation type="whole" allowBlank="1" showInputMessage="1" showErrorMessage="1" error="Input Whole Number from 1 to 100" prompt="Input a whole number from 1 to 100" sqref="Q9" xr:uid="{00000000-0002-0000-0900-000003000000}">
      <formula1>1</formula1>
      <formula2>100</formula2>
    </dataValidation>
    <dataValidation type="list" allowBlank="1" showInputMessage="1" showErrorMessage="1" sqref="Z3:Z6 W3:W6" xr:uid="{00000000-0002-0000-0900-000004000000}">
      <formula1>"Amount,Total Shares,Per Trade"</formula1>
    </dataValidation>
    <dataValidation type="whole" allowBlank="1" showInputMessage="1" showErrorMessage="1" error="Input Whole Number from 1 to 100" prompt="Input a whole number from 1 to 1000" sqref="Q10" xr:uid="{00000000-0002-0000-0900-000005000000}">
      <formula1>1</formula1>
      <formula2>1000</formula2>
    </dataValidation>
    <dataValidation type="list" allowBlank="1" showInputMessage="1" showErrorMessage="1" sqref="Q7" xr:uid="{00000000-0002-0000-0900-000006000000}">
      <formula1>"All,20,50,100,500,1000"</formula1>
    </dataValidation>
    <dataValidation type="decimal" allowBlank="1" showInputMessage="1" showErrorMessage="1" error="Input 0% to 10%" sqref="Q6" xr:uid="{00000000-0002-0000-0900-000007000000}">
      <formula1>0</formula1>
      <formula2>0.1</formula2>
    </dataValidation>
    <dataValidation type="whole" allowBlank="1" showInputMessage="1" showErrorMessage="1" error="Enter -10 to 10" sqref="AA17:AA28 Y17:Y28" xr:uid="{00000000-0002-0000-0900-000008000000}">
      <formula1>-10</formula1>
      <formula2>10</formula2>
    </dataValidation>
    <dataValidation type="whole" allowBlank="1" showInputMessage="1" showErrorMessage="1" error="Enter -10 to 10" prompt="Assign evaluation score, negative for bad trades, positive for good trades" sqref="Y14:Y16 AA14:AA16" xr:uid="{00000000-0002-0000-0900-000009000000}">
      <formula1>-10</formula1>
      <formula2>10</formula2>
    </dataValidation>
    <dataValidation type="list" allowBlank="1" showInputMessage="1" showErrorMessage="1" sqref="W9" xr:uid="{57C20E3A-4EC6-474F-9279-4F1110EEE61C}">
      <formula1>"Today, Last Trade Data"</formula1>
    </dataValidation>
    <dataValidation type="list" allowBlank="1" showInputMessage="1" showErrorMessage="1" sqref="V12" xr:uid="{E9A1832F-2E7F-4382-A4F2-EC7879F27436}">
      <formula1>listEntryExit</formula1>
    </dataValidation>
  </dataValidations>
  <pageMargins left="0.7" right="0.7" top="0.75" bottom="0.75" header="0.3" footer="0.3"/>
  <pageSetup orientation="portrait" verticalDpi="12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C644E-8DB8-456E-A313-371CC0DD62DF}">
  <sheetPr codeName="Sheet1"/>
  <dimension ref="A12:CP251"/>
  <sheetViews>
    <sheetView topLeftCell="Y1" workbookViewId="0">
      <selection activeCell="BJ9" sqref="BJ9"/>
    </sheetView>
  </sheetViews>
  <sheetFormatPr defaultRowHeight="15"/>
  <cols>
    <col min="1" max="32" width="2.28515625" customWidth="1"/>
    <col min="33" max="38" width="2.42578125" customWidth="1"/>
    <col min="41" max="68" width="2.7109375" customWidth="1"/>
  </cols>
  <sheetData>
    <row r="12" spans="1:93">
      <c r="B12" t="s">
        <v>212</v>
      </c>
      <c r="W12" t="s">
        <v>559</v>
      </c>
      <c r="X12">
        <f>SUM(W14:X28)</f>
        <v>10</v>
      </c>
      <c r="Y12" t="s">
        <v>631</v>
      </c>
      <c r="AA12" t="s">
        <v>515</v>
      </c>
      <c r="AE12">
        <f>SUM(AE22:AE28)</f>
        <v>0</v>
      </c>
      <c r="AK12">
        <f>SUM(AK22:AK28)</f>
        <v>0</v>
      </c>
      <c r="BU12" s="33" t="s">
        <v>151</v>
      </c>
      <c r="BV12" s="33">
        <f>COUNTA('Trade Log'!E15:E26022)</f>
        <v>47</v>
      </c>
    </row>
    <row r="13" spans="1:93">
      <c r="A13" t="s">
        <v>523</v>
      </c>
      <c r="B13">
        <f>SUM(B14:B21)</f>
        <v>11</v>
      </c>
      <c r="C13" s="492" t="s">
        <v>52</v>
      </c>
      <c r="D13" s="492" t="s">
        <v>34</v>
      </c>
      <c r="E13" t="s">
        <v>484</v>
      </c>
      <c r="F13" t="s">
        <v>106</v>
      </c>
      <c r="G13" t="s">
        <v>486</v>
      </c>
      <c r="H13" t="s">
        <v>457</v>
      </c>
      <c r="I13" t="s">
        <v>458</v>
      </c>
      <c r="J13" t="s">
        <v>492</v>
      </c>
      <c r="K13" t="s">
        <v>487</v>
      </c>
      <c r="O13" t="s">
        <v>488</v>
      </c>
      <c r="P13" t="s">
        <v>489</v>
      </c>
      <c r="Q13" t="s">
        <v>491</v>
      </c>
      <c r="R13" t="s">
        <v>355</v>
      </c>
      <c r="S13" t="s">
        <v>429</v>
      </c>
      <c r="T13" t="s">
        <v>493</v>
      </c>
      <c r="U13" t="s">
        <v>442</v>
      </c>
      <c r="W13" t="s">
        <v>495</v>
      </c>
      <c r="X13" t="s">
        <v>496</v>
      </c>
      <c r="Y13" t="s">
        <v>632</v>
      </c>
      <c r="Z13" t="s">
        <v>496</v>
      </c>
      <c r="AA13" t="s">
        <v>501</v>
      </c>
      <c r="AB13" t="s">
        <v>500</v>
      </c>
      <c r="AC13" t="s">
        <v>503</v>
      </c>
      <c r="AD13" t="s">
        <v>498</v>
      </c>
      <c r="AE13" t="s">
        <v>499</v>
      </c>
      <c r="AF13" t="s">
        <v>504</v>
      </c>
      <c r="AI13" t="s">
        <v>502</v>
      </c>
      <c r="AJ13" t="s">
        <v>498</v>
      </c>
      <c r="AK13" t="s">
        <v>499</v>
      </c>
      <c r="AL13" t="s">
        <v>504</v>
      </c>
    </row>
    <row r="14" spans="1:93">
      <c r="A14">
        <f>IF(Settings!S14="",NA(),1)</f>
        <v>1</v>
      </c>
      <c r="B14">
        <f t="shared" ref="B14:B33" si="0">C14+D14</f>
        <v>4</v>
      </c>
      <c r="C14">
        <f>COUNTIFS(setupLog,Settings!M14,stats,2)</f>
        <v>3</v>
      </c>
      <c r="D14">
        <f>COUNTIFS(setupLog,Settings!M14,stats,1)</f>
        <v>1</v>
      </c>
      <c r="E14">
        <f t="shared" ref="E14:E33" si="1">IFERROR(C14/B14,"")</f>
        <v>0.75</v>
      </c>
      <c r="F14">
        <f>SUMIFS(profitLoss,stats,2,setupLog,Settings!M14)</f>
        <v>16783.843549999998</v>
      </c>
      <c r="G14">
        <f>SUMIFS(profitLoss,stats,1,setupLog,Settings!M14)</f>
        <v>-1085.2450000000026</v>
      </c>
      <c r="H14">
        <f t="shared" ref="H14:H33" si="2">IFERROR(IF(AND(F14&gt;0,C14=0),F14,F14/C14),0)</f>
        <v>5594.6145166666656</v>
      </c>
      <c r="I14">
        <f t="shared" ref="I14:I35" si="3">IFERROR(G14/D14,0)</f>
        <v>-1085.2450000000026</v>
      </c>
      <c r="J14">
        <f t="shared" ref="J14:J35" si="4">H14/I14</f>
        <v>-5.1551626744805574</v>
      </c>
      <c r="K14">
        <f t="shared" ref="K14:K33" si="5">IF(F14+G14=0,"",IFERROR((H14*E14)-(-I14*(1-E14)),MAX(H14:I14)))</f>
        <v>3924.6496374999988</v>
      </c>
      <c r="L14">
        <v>1</v>
      </c>
      <c r="M14">
        <v>9.9999999999999995E-7</v>
      </c>
      <c r="N14">
        <f t="shared" ref="N14:N34" si="6">IFERROR(M14+K14,"")</f>
        <v>3924.6496384999987</v>
      </c>
      <c r="O14">
        <f t="shared" ref="O14:O35" si="7">IFERROR(LARGE($N$14:$N$33,L14),"")</f>
        <v>3924.6496384999987</v>
      </c>
      <c r="P14">
        <f t="shared" ref="P14:P35" si="8">MATCH(O14,$N$14:$N$33,0)</f>
        <v>1</v>
      </c>
      <c r="Q14" t="str">
        <f>IF(O14="","",INDEX(Settings!$M$14:$M$34,P14))</f>
        <v>Momentum</v>
      </c>
      <c r="R14">
        <f t="shared" ref="R14:R35" si="9">IF($O14="","",INDEX($B$14:$B$34,$P14))</f>
        <v>4</v>
      </c>
      <c r="S14">
        <f t="shared" ref="S14:S35" si="10">IF($O14="","",INDEX($E$14:$E$34,$P14))</f>
        <v>0.75</v>
      </c>
      <c r="T14">
        <f t="shared" ref="T14:T35" si="11">IFERROR(IF($O14="","",INDEX($J$14:$J$34,$P14)),"")</f>
        <v>-5.1551626744805574</v>
      </c>
      <c r="U14">
        <f t="shared" ref="U14:U35" si="12">IF($O14="","",INDEX($K$14:$K$34,$P14))</f>
        <v>3924.6496374999988</v>
      </c>
      <c r="W14">
        <f>IFERROR(COUNTIFS(execution,Settings!X14,'Trade Review'!$I$17:$I$20100,"&gt;="&amp;1)*Settings!Y14,"")</f>
        <v>-2</v>
      </c>
      <c r="X14">
        <f>IFERROR(COUNTIFS(emotion,Settings!Z14,'Trade Review'!$I$17:$I$20100,"&gt;="&amp;1)*Settings!AA14,"")</f>
        <v>-3</v>
      </c>
      <c r="Y14" s="495">
        <f t="shared" ref="Y14:Y28" si="13">IF(W14=0,"",W14+M14)</f>
        <v>-1.9999990000000001</v>
      </c>
      <c r="Z14" s="495">
        <f t="shared" ref="Z14:Z28" si="14">IF(X14=0,"",X14+M14)</f>
        <v>-2.9999989999999999</v>
      </c>
      <c r="AA14" s="495">
        <f t="shared" ref="AA14:AA28" si="15">IFERROR(SMALL($Y$14:$Y$34,L14),"")</f>
        <v>-2.9999950000000002</v>
      </c>
      <c r="AB14" s="495">
        <f t="shared" ref="AB14:AB28" si="16">IFERROR(SMALL($Z$14:$Z$34,L14),"")</f>
        <v>-2.9999989999999999</v>
      </c>
      <c r="AC14">
        <f t="shared" ref="AC14:AC28" si="17">MATCH(AA14,$Y$14:$Y$28,0)</f>
        <v>5</v>
      </c>
      <c r="AD14" t="str">
        <f>IF($AA14="","",INDEX(Settings!$X$14:$X$28,$AC14))</f>
        <v>BROKE RULES</v>
      </c>
      <c r="AE14">
        <f t="shared" ref="AE14:AE28" si="18">IF($AA14="","",INDEX($W$14:$W$28,$AC14))</f>
        <v>-3</v>
      </c>
      <c r="AF14">
        <f>IF(AD14="","",SUMIF(execution,AD14,'Trade Review'!$K$17:$K$20100))</f>
        <v>17827.937800000007</v>
      </c>
      <c r="AI14">
        <f t="shared" ref="AI14:AI28" si="19">MATCH(AB14,$Z$14:$Z$28,0)</f>
        <v>1</v>
      </c>
      <c r="AJ14" t="str">
        <f>IF($AB14="","",INDEX(Settings!$Z$14:$Z$28,$AI14))</f>
        <v>FEAR</v>
      </c>
      <c r="AK14">
        <f t="shared" ref="AK14:AK28" si="20">IF($AB14="","",INDEX($X$14:$X$28,$AI14))</f>
        <v>-3</v>
      </c>
      <c r="AL14">
        <f>IF(AJ14="","",SUMIF(emotion,AJ14,'Trade Review'!$K$17:$K$20100))</f>
        <v>9089.4843000000037</v>
      </c>
      <c r="AO14" t="s">
        <v>108</v>
      </c>
      <c r="AP14" t="s">
        <v>234</v>
      </c>
      <c r="AQ14" t="s">
        <v>187</v>
      </c>
      <c r="AR14" t="s">
        <v>188</v>
      </c>
      <c r="AS14" s="489" t="s">
        <v>32</v>
      </c>
      <c r="AT14" s="489" t="s">
        <v>461</v>
      </c>
      <c r="AU14" s="489" t="s">
        <v>71</v>
      </c>
      <c r="AV14" s="489" t="s">
        <v>637</v>
      </c>
      <c r="AW14" s="489" t="s">
        <v>458</v>
      </c>
      <c r="AX14" s="489" t="s">
        <v>30</v>
      </c>
      <c r="AY14" s="489" t="s">
        <v>484</v>
      </c>
      <c r="AZ14" s="489" t="s">
        <v>638</v>
      </c>
      <c r="BA14" s="489" t="s">
        <v>487</v>
      </c>
      <c r="BB14" s="489" t="s">
        <v>400</v>
      </c>
      <c r="BG14" t="s">
        <v>237</v>
      </c>
      <c r="BI14" t="s">
        <v>477</v>
      </c>
      <c r="BJ14" t="s">
        <v>28</v>
      </c>
      <c r="BK14" t="s">
        <v>29</v>
      </c>
      <c r="BL14" t="s">
        <v>9</v>
      </c>
      <c r="BM14" t="s">
        <v>538</v>
      </c>
      <c r="BN14" t="s">
        <v>539</v>
      </c>
      <c r="BP14" t="s">
        <v>186</v>
      </c>
    </row>
    <row r="15" spans="1:93">
      <c r="A15">
        <f>IF(Settings!S15="",NA(),1)</f>
        <v>1</v>
      </c>
      <c r="B15">
        <f t="shared" si="0"/>
        <v>2</v>
      </c>
      <c r="C15">
        <f>COUNTIFS(setupLog,Settings!M15,stats,2)</f>
        <v>1</v>
      </c>
      <c r="D15">
        <f>COUNTIFS(setupLog,Settings!M15,stats,1)</f>
        <v>1</v>
      </c>
      <c r="E15">
        <f t="shared" si="1"/>
        <v>0.5</v>
      </c>
      <c r="F15">
        <f>SUMIFS(profitLoss,stats,2,setupLog,Settings!M15)</f>
        <v>9115.3559999999925</v>
      </c>
      <c r="G15">
        <f>SUMIFS(profitLoss,stats,1,setupLog,Settings!M15)</f>
        <v>-2085.8367999999973</v>
      </c>
      <c r="H15">
        <f t="shared" si="2"/>
        <v>9115.3559999999925</v>
      </c>
      <c r="I15">
        <f t="shared" si="3"/>
        <v>-2085.8367999999973</v>
      </c>
      <c r="J15">
        <f t="shared" si="4"/>
        <v>-4.3701194647634969</v>
      </c>
      <c r="K15">
        <f t="shared" si="5"/>
        <v>3514.7595999999976</v>
      </c>
      <c r="L15">
        <v>2</v>
      </c>
      <c r="M15">
        <f t="shared" ref="M15:M34" si="21">M14+0.000001</f>
        <v>1.9999999999999999E-6</v>
      </c>
      <c r="N15">
        <f t="shared" si="6"/>
        <v>3514.7596019999978</v>
      </c>
      <c r="O15">
        <f t="shared" si="7"/>
        <v>3514.7596019999978</v>
      </c>
      <c r="P15">
        <f t="shared" si="8"/>
        <v>2</v>
      </c>
      <c r="Q15" t="str">
        <f>IF(O15="","",INDEX(Settings!$M$14:$M$34,P15))</f>
        <v>Bounce</v>
      </c>
      <c r="R15">
        <f t="shared" si="9"/>
        <v>2</v>
      </c>
      <c r="S15">
        <f t="shared" si="10"/>
        <v>0.5</v>
      </c>
      <c r="T15">
        <f t="shared" si="11"/>
        <v>-4.3701194647634969</v>
      </c>
      <c r="U15">
        <f t="shared" si="12"/>
        <v>3514.7595999999976</v>
      </c>
      <c r="W15">
        <f>IFERROR(COUNTIFS(execution,Settings!X15,'Trade Review'!$I$17:$I$20100,"&gt;="&amp;1)*Settings!Y15,"")</f>
        <v>0</v>
      </c>
      <c r="X15">
        <f>IFERROR(COUNTIFS(emotion,Settings!Z15,'Trade Review'!$I$17:$I$20100,"&gt;="&amp;1)*Settings!AA15,"")</f>
        <v>0</v>
      </c>
      <c r="Y15" s="495" t="str">
        <f t="shared" si="13"/>
        <v/>
      </c>
      <c r="Z15" s="495" t="str">
        <f t="shared" si="14"/>
        <v/>
      </c>
      <c r="AA15" s="495">
        <f t="shared" si="15"/>
        <v>-1.9999990000000001</v>
      </c>
      <c r="AB15" s="495">
        <f t="shared" si="16"/>
        <v>-2.999994</v>
      </c>
      <c r="AC15">
        <f t="shared" si="17"/>
        <v>1</v>
      </c>
      <c r="AD15" t="str">
        <f>IF(AA15="","",INDEX(Settings!$X$14:$X$28,AC15))</f>
        <v>TOO EARLY</v>
      </c>
      <c r="AE15">
        <f t="shared" si="18"/>
        <v>-2</v>
      </c>
      <c r="AF15">
        <f>IF(AD15="","",SUMIF(execution,AD15,'Trade Review'!$K$17:$K$20100))</f>
        <v>0</v>
      </c>
      <c r="AI15">
        <f t="shared" si="19"/>
        <v>6</v>
      </c>
      <c r="AJ15" t="str">
        <f>IF($AB15="","",INDEX(Settings!$Z$14:$Z$28,$AI15))</f>
        <v>FOMO</v>
      </c>
      <c r="AK15">
        <f t="shared" si="20"/>
        <v>-3</v>
      </c>
      <c r="AL15">
        <f>IF(AJ15="","",SUMIF(emotion,AJ15,'Trade Review'!$K$17:$K$20100))</f>
        <v>9700.6192500000034</v>
      </c>
      <c r="AO15">
        <f>IF(AQ15&lt;0,"",MATCH('Stock Position'!E15,$AX$15:$AX$251,0))</f>
        <v>4</v>
      </c>
      <c r="AP15">
        <f>IF(AR15&gt;0,"",MATCH('Stock Position'!N15,$AX$15:$AX$251,0))</f>
        <v>2</v>
      </c>
      <c r="AQ15">
        <f>LARGE($AX$15:$AX$251,'Stock Position'!C15)</f>
        <v>22728.11774999999</v>
      </c>
      <c r="AR15">
        <f>SMALL($AX$15:$AX$251,'Stock Position'!C15)</f>
        <v>-1874.8869499999964</v>
      </c>
      <c r="AS15" t="str">
        <f>'Trade Log'!BT15</f>
        <v>WLCON</v>
      </c>
      <c r="AT15">
        <f t="shared" ref="AT15:AT78" si="22">COUNTIFS(symbol,AS15,stats,2)</f>
        <v>1</v>
      </c>
      <c r="AU15">
        <f t="shared" ref="AU15:AU78" si="23">COUNTIFS(symbol,AS15,stats,1)</f>
        <v>0</v>
      </c>
      <c r="AV15" s="491">
        <f t="shared" ref="AV15:AV78" si="24">(SUMIFS(profitLoss,profitLoss,"&gt;=0",symbol,AS15)/AT15)*AY15</f>
        <v>359.38979999999719</v>
      </c>
      <c r="AW15" t="e">
        <f t="shared" ref="AW15:AW78" si="25">-(SUMIFS(profitLoss,profitLoss,"&lt;0",symbol,AS15)/AU15)*(1-AY15)</f>
        <v>#DIV/0!</v>
      </c>
      <c r="AX15" s="17">
        <f t="shared" ref="AX15:AX78" si="26">SUMIFS(profitLoss,symbol,AS15)</f>
        <v>359.38979999999719</v>
      </c>
      <c r="AY15" s="30">
        <f t="shared" ref="AY15:AY78" si="27">AT15/(AT15+AU15)</f>
        <v>1</v>
      </c>
      <c r="AZ15" s="17" t="str">
        <f t="shared" ref="AZ15:AZ78" si="28">IFERROR(AV15/AW15,"NA")</f>
        <v>NA</v>
      </c>
      <c r="BA15" s="491" t="str">
        <f t="shared" ref="BA15:BA78" si="29">IFERROR(AV15-AW15,"NA")</f>
        <v>NA</v>
      </c>
      <c r="BB15">
        <f t="shared" ref="BB15:BB78" si="30">AU15+AT15</f>
        <v>1</v>
      </c>
      <c r="BG15">
        <f>IFERROR(LARGE('Trade Log'!$BY$15:$BY$1672,'Trade Log'!C15),"")</f>
        <v>46366.378499999999</v>
      </c>
      <c r="BH15">
        <f>MATCH(BG15,'Trade Log'!$BY$15:$BY$1672,0)</f>
        <v>4</v>
      </c>
      <c r="BI15" t="str">
        <f>IF(BG15=0,"",INDEX('Trade Log'!$BT$15:$BT$1172,BH15))</f>
        <v>PXP</v>
      </c>
      <c r="BJ15">
        <f>INDEX('Trade Log'!$BU$15:$BU$1172,BH15,0)</f>
        <v>6900</v>
      </c>
      <c r="BK15">
        <f>INDEX('Trade Log'!$BV$15:$BV$1172,BH15,0)</f>
        <v>6.7197649999999998</v>
      </c>
      <c r="BL15">
        <f t="shared" ref="BL15:BL54" si="31">BK15*BJ15</f>
        <v>46366.378499999999</v>
      </c>
      <c r="BM15" t="str">
        <f>INDEX('Trade Log'!$BX$15:$BX$977,MATCH(BI15,'Trade Log'!$BT$15:$BT$977,0))</f>
        <v>PXP7</v>
      </c>
      <c r="BN15" s="10">
        <f t="shared" ref="BN15:BN54" si="32">INDEX(dateLog,MATCH(BM15,symbolCode,0))</f>
        <v>43011</v>
      </c>
      <c r="BO15" s="496">
        <f>'Trade Log'!$I$10-BN15</f>
        <v>27</v>
      </c>
      <c r="BP15" t="str">
        <f>INDEX('Trade Log'!$BQ$15:$BQ$20100,MATCH(BI15,'Trade Log'!$BT$15:$BT$20100,0))</f>
        <v>L</v>
      </c>
      <c r="BU15" s="33" t="s">
        <v>148</v>
      </c>
      <c r="BV15" s="33">
        <v>0</v>
      </c>
      <c r="BW15" s="33">
        <v>0</v>
      </c>
      <c r="BX15" s="33">
        <v>0</v>
      </c>
      <c r="BY15" s="33">
        <v>0</v>
      </c>
      <c r="BZ15" s="33">
        <v>0</v>
      </c>
      <c r="CA15" s="33">
        <v>0</v>
      </c>
      <c r="CB15" s="33">
        <v>0</v>
      </c>
      <c r="CC15" s="33">
        <v>0</v>
      </c>
      <c r="CD15" s="33">
        <v>0</v>
      </c>
      <c r="CE15" s="33">
        <v>0</v>
      </c>
      <c r="CF15" s="33">
        <v>0</v>
      </c>
      <c r="CG15" s="33">
        <v>0</v>
      </c>
      <c r="CH15" s="33">
        <v>0</v>
      </c>
      <c r="CI15" s="33">
        <v>0</v>
      </c>
      <c r="CJ15" s="33">
        <v>0</v>
      </c>
      <c r="CK15" s="33">
        <v>0</v>
      </c>
      <c r="CL15" s="33">
        <v>0</v>
      </c>
      <c r="CM15" s="33">
        <v>0</v>
      </c>
      <c r="CN15" s="33">
        <v>0</v>
      </c>
      <c r="CO15" s="33">
        <v>0</v>
      </c>
    </row>
    <row r="16" spans="1:93">
      <c r="A16">
        <f>IF(Settings!S16="",NA(),1)</f>
        <v>1</v>
      </c>
      <c r="B16">
        <f t="shared" si="0"/>
        <v>2</v>
      </c>
      <c r="C16">
        <f>COUNTIFS(setupLog,Settings!M16,stats,2)</f>
        <v>2</v>
      </c>
      <c r="D16">
        <f>COUNTIFS(setupLog,Settings!M16,stats,1)</f>
        <v>0</v>
      </c>
      <c r="E16">
        <f t="shared" si="1"/>
        <v>1</v>
      </c>
      <c r="F16">
        <f>SUMIFS(profitLoss,stats,2,setupLog,Settings!M16)</f>
        <v>4985.1546999999919</v>
      </c>
      <c r="G16">
        <f>SUMIFS(profitLoss,stats,1,setupLog,Settings!M16)</f>
        <v>0</v>
      </c>
      <c r="H16">
        <f t="shared" si="2"/>
        <v>2492.5773499999959</v>
      </c>
      <c r="I16">
        <f t="shared" si="3"/>
        <v>0</v>
      </c>
      <c r="J16" t="e">
        <f t="shared" si="4"/>
        <v>#DIV/0!</v>
      </c>
      <c r="K16">
        <f t="shared" si="5"/>
        <v>2492.5773499999959</v>
      </c>
      <c r="L16">
        <v>3</v>
      </c>
      <c r="M16">
        <f t="shared" si="21"/>
        <v>3.0000000000000001E-6</v>
      </c>
      <c r="N16">
        <f t="shared" si="6"/>
        <v>2492.577352999996</v>
      </c>
      <c r="O16">
        <f t="shared" si="7"/>
        <v>2714.6080039999965</v>
      </c>
      <c r="P16">
        <f t="shared" si="8"/>
        <v>4</v>
      </c>
      <c r="Q16" t="str">
        <f>IF(O16="","",INDEX(Settings!$M$14:$M$34,P16))</f>
        <v>Swing Trade</v>
      </c>
      <c r="R16">
        <f t="shared" si="9"/>
        <v>1</v>
      </c>
      <c r="S16">
        <f t="shared" si="10"/>
        <v>1</v>
      </c>
      <c r="T16" t="str">
        <f t="shared" si="11"/>
        <v/>
      </c>
      <c r="U16">
        <f t="shared" si="12"/>
        <v>2714.6079999999965</v>
      </c>
      <c r="W16">
        <f>IFERROR(COUNTIFS(execution,Settings!X16,'Trade Review'!$I$17:$I$20100,"&gt;="&amp;1)*Settings!Y16,"")</f>
        <v>0</v>
      </c>
      <c r="X16">
        <f>IFERROR(COUNTIFS(emotion,Settings!Z16,'Trade Review'!$I$17:$I$20100,"&gt;="&amp;1)*Settings!AA16,"")</f>
        <v>-1</v>
      </c>
      <c r="Y16" s="495" t="str">
        <f t="shared" si="13"/>
        <v/>
      </c>
      <c r="Z16" s="495">
        <f t="shared" si="14"/>
        <v>-0.99999700000000002</v>
      </c>
      <c r="AA16" s="495">
        <f t="shared" si="15"/>
        <v>13.000004000000001</v>
      </c>
      <c r="AB16" s="495">
        <f t="shared" si="16"/>
        <v>-0.99999700000000002</v>
      </c>
      <c r="AC16">
        <f t="shared" si="17"/>
        <v>4</v>
      </c>
      <c r="AD16" t="str">
        <f>IF(AA16="","",INDEX(Settings!$X$14:$X$28,AC16))</f>
        <v>AS PLANNED</v>
      </c>
      <c r="AE16">
        <f t="shared" si="18"/>
        <v>13</v>
      </c>
      <c r="AF16">
        <f>IF(AD16="","",SUMIF(execution,AD16,'Trade Review'!$K$17:$K$20100))</f>
        <v>23175.782449999988</v>
      </c>
      <c r="AI16">
        <f t="shared" si="19"/>
        <v>3</v>
      </c>
      <c r="AJ16" t="str">
        <f>IF($AB16="","",INDEX(Settings!$Z$14:$Z$28,$AI16))</f>
        <v>GREED</v>
      </c>
      <c r="AK16">
        <f t="shared" si="20"/>
        <v>-1</v>
      </c>
      <c r="AL16">
        <f>IF(AJ16="","",SUMIF(emotion,AJ16,'Trade Review'!$K$17:$K$20100))</f>
        <v>0</v>
      </c>
      <c r="AO16">
        <f>IF(AQ16&lt;0,"",MATCH('Stock Position'!E16,$AX$15:$AX$251,0))</f>
        <v>7</v>
      </c>
      <c r="AP16">
        <f>IF(AR16&gt;0,"",MATCH('Stock Position'!N16,$AX$15:$AX$251,0))</f>
        <v>10</v>
      </c>
      <c r="AQ16">
        <f>LARGE($AX$15:$AX$251,'Stock Position'!C16)</f>
        <v>7448.7155000000021</v>
      </c>
      <c r="AR16">
        <f>SMALL($AX$15:$AX$251,'Stock Position'!C16)</f>
        <v>-1012.9002000000037</v>
      </c>
      <c r="AS16" t="str">
        <f>'Trade Log'!BT16</f>
        <v>CHP</v>
      </c>
      <c r="AT16">
        <f t="shared" si="22"/>
        <v>0</v>
      </c>
      <c r="AU16">
        <f t="shared" si="23"/>
        <v>2</v>
      </c>
      <c r="AV16" s="491" t="e">
        <f t="shared" si="24"/>
        <v>#DIV/0!</v>
      </c>
      <c r="AW16">
        <f t="shared" si="25"/>
        <v>937.44347499999822</v>
      </c>
      <c r="AX16" s="17">
        <f t="shared" si="26"/>
        <v>-1874.8869499999964</v>
      </c>
      <c r="AY16" s="30">
        <f t="shared" si="27"/>
        <v>0</v>
      </c>
      <c r="AZ16" s="17" t="str">
        <f t="shared" si="28"/>
        <v>NA</v>
      </c>
      <c r="BA16" s="491" t="str">
        <f t="shared" si="29"/>
        <v>NA</v>
      </c>
      <c r="BB16">
        <f t="shared" si="30"/>
        <v>2</v>
      </c>
      <c r="BG16">
        <f>IFERROR(LARGE('Trade Log'!$BY$15:$BY$1672,'Trade Log'!C16),"")</f>
        <v>0</v>
      </c>
      <c r="BH16">
        <f>MATCH(BG16,'Trade Log'!$BY$15:$BY$1672,0)</f>
        <v>1</v>
      </c>
      <c r="BI16" t="str">
        <f>IF(BG16=0,"",INDEX('Trade Log'!$BT$15:$BT$1172,BH16))</f>
        <v/>
      </c>
      <c r="BJ16">
        <f>INDEX('Trade Log'!$BU$15:$BU$1172,BH16,0)</f>
        <v>0</v>
      </c>
      <c r="BK16">
        <f>INDEX('Trade Log'!$BV$15:$BV$1172,BH16,0)</f>
        <v>0</v>
      </c>
      <c r="BL16">
        <f t="shared" si="31"/>
        <v>0</v>
      </c>
      <c r="BM16" t="str">
        <f>INDEX('Trade Log'!$BX$15:$BX$977,MATCH(BI16,'Trade Log'!$BT$15:$BT$977,0))</f>
        <v>3</v>
      </c>
      <c r="BN16" s="10" t="e">
        <f t="shared" si="32"/>
        <v>#N/A</v>
      </c>
      <c r="BO16" s="496" t="e">
        <f>'Trade Log'!$I$10-BN16</f>
        <v>#N/A</v>
      </c>
      <c r="BP16" t="e">
        <f>INDEX('Trade Log'!$BQ$15:$BQ$20100,MATCH(BI16,'Trade Log'!$BT$15:$BT$20100,0))</f>
        <v>#N/A</v>
      </c>
      <c r="BU16" s="33" t="s">
        <v>149</v>
      </c>
      <c r="BV16" s="33">
        <f t="shared" ref="BV16:CN16" si="33">BW16-1</f>
        <v>28</v>
      </c>
      <c r="BW16" s="33">
        <f t="shared" si="33"/>
        <v>29</v>
      </c>
      <c r="BX16" s="33">
        <f t="shared" si="33"/>
        <v>30</v>
      </c>
      <c r="BY16" s="33">
        <f t="shared" si="33"/>
        <v>31</v>
      </c>
      <c r="BZ16" s="33">
        <f t="shared" si="33"/>
        <v>32</v>
      </c>
      <c r="CA16" s="33">
        <f t="shared" si="33"/>
        <v>33</v>
      </c>
      <c r="CB16" s="33">
        <f t="shared" si="33"/>
        <v>34</v>
      </c>
      <c r="CC16" s="33">
        <f t="shared" si="33"/>
        <v>35</v>
      </c>
      <c r="CD16" s="33">
        <f t="shared" si="33"/>
        <v>36</v>
      </c>
      <c r="CE16" s="33">
        <f t="shared" si="33"/>
        <v>37</v>
      </c>
      <c r="CF16" s="33">
        <f t="shared" si="33"/>
        <v>38</v>
      </c>
      <c r="CG16" s="33">
        <f t="shared" si="33"/>
        <v>39</v>
      </c>
      <c r="CH16" s="33">
        <f t="shared" si="33"/>
        <v>40</v>
      </c>
      <c r="CI16" s="33">
        <f t="shared" si="33"/>
        <v>41</v>
      </c>
      <c r="CJ16" s="33">
        <f t="shared" si="33"/>
        <v>42</v>
      </c>
      <c r="CK16" s="33">
        <f t="shared" si="33"/>
        <v>43</v>
      </c>
      <c r="CL16" s="33">
        <f t="shared" si="33"/>
        <v>44</v>
      </c>
      <c r="CM16" s="33">
        <f t="shared" si="33"/>
        <v>45</v>
      </c>
      <c r="CN16" s="33">
        <f t="shared" si="33"/>
        <v>46</v>
      </c>
      <c r="CO16" s="33">
        <f>BV12</f>
        <v>47</v>
      </c>
    </row>
    <row r="17" spans="1:94">
      <c r="A17">
        <f>IF(Settings!S17="",NA(),1)</f>
        <v>1</v>
      </c>
      <c r="B17">
        <f t="shared" si="0"/>
        <v>1</v>
      </c>
      <c r="C17">
        <f>COUNTIFS(setupLog,Settings!M17,stats,2)</f>
        <v>1</v>
      </c>
      <c r="D17">
        <f>COUNTIFS(setupLog,Settings!M17,stats,1)</f>
        <v>0</v>
      </c>
      <c r="E17">
        <f t="shared" si="1"/>
        <v>1</v>
      </c>
      <c r="F17">
        <f>SUMIFS(profitLoss,stats,2,setupLog,Settings!M17)</f>
        <v>2714.6079999999965</v>
      </c>
      <c r="G17">
        <f>SUMIFS(profitLoss,stats,1,setupLog,Settings!M17)</f>
        <v>0</v>
      </c>
      <c r="H17">
        <f t="shared" si="2"/>
        <v>2714.6079999999965</v>
      </c>
      <c r="I17">
        <f t="shared" si="3"/>
        <v>0</v>
      </c>
      <c r="J17" t="e">
        <f t="shared" si="4"/>
        <v>#DIV/0!</v>
      </c>
      <c r="K17">
        <f t="shared" si="5"/>
        <v>2714.6079999999965</v>
      </c>
      <c r="L17">
        <v>4</v>
      </c>
      <c r="M17">
        <f t="shared" si="21"/>
        <v>3.9999999999999998E-6</v>
      </c>
      <c r="N17">
        <f t="shared" si="6"/>
        <v>2714.6080039999965</v>
      </c>
      <c r="O17">
        <f t="shared" si="7"/>
        <v>2492.577352999996</v>
      </c>
      <c r="P17">
        <f t="shared" si="8"/>
        <v>3</v>
      </c>
      <c r="Q17" t="str">
        <f>IF(O17="","",INDEX(Settings!$M$14:$M$34,P17))</f>
        <v>Trend Follow</v>
      </c>
      <c r="R17">
        <f t="shared" si="9"/>
        <v>2</v>
      </c>
      <c r="S17">
        <f t="shared" si="10"/>
        <v>1</v>
      </c>
      <c r="T17" t="str">
        <f t="shared" si="11"/>
        <v/>
      </c>
      <c r="U17">
        <f t="shared" si="12"/>
        <v>2492.5773499999959</v>
      </c>
      <c r="W17">
        <f>IFERROR(COUNTIFS(execution,Settings!X17,'Trade Review'!$I$17:$I$20100,"&gt;="&amp;1)*Settings!Y17,"")</f>
        <v>13</v>
      </c>
      <c r="X17">
        <f>IFERROR(COUNTIFS(emotion,Settings!Z17,'Trade Review'!$I$17:$I$20100,"&gt;="&amp;1)*Settings!AA17,"")</f>
        <v>-1</v>
      </c>
      <c r="Y17" s="495">
        <f t="shared" si="13"/>
        <v>13.000004000000001</v>
      </c>
      <c r="Z17" s="495">
        <f t="shared" si="14"/>
        <v>-0.999996</v>
      </c>
      <c r="AA17" s="495" t="str">
        <f t="shared" si="15"/>
        <v/>
      </c>
      <c r="AB17" s="495">
        <f t="shared" si="16"/>
        <v>-0.999996</v>
      </c>
      <c r="AC17">
        <f t="shared" si="17"/>
        <v>2</v>
      </c>
      <c r="AD17" t="str">
        <f>IF(AA17="","",INDEX(Settings!$X$14:$X$28,AC17))</f>
        <v/>
      </c>
      <c r="AE17" t="str">
        <f t="shared" si="18"/>
        <v/>
      </c>
      <c r="AF17" t="str">
        <f>IF(AD17="","",SUMIF(execution,AD17,'Trade Review'!$K$17:$K$20100))</f>
        <v/>
      </c>
      <c r="AI17">
        <f t="shared" si="19"/>
        <v>4</v>
      </c>
      <c r="AJ17" t="str">
        <f>IF($AB17="","",INDEX(Settings!$Z$14:$Z$28,$AI17))</f>
        <v>BORED</v>
      </c>
      <c r="AK17">
        <f t="shared" si="20"/>
        <v>-1</v>
      </c>
      <c r="AL17">
        <f>IF(AJ17="","",SUMIF(emotion,AJ17,'Trade Review'!$K$17:$K$20100))</f>
        <v>0</v>
      </c>
      <c r="AO17">
        <f>IF(AQ17&lt;0,"",MATCH('Stock Position'!E17,$AX$15:$AX$251,0))</f>
        <v>5</v>
      </c>
      <c r="AP17">
        <f>IF(AR17&gt;0,"",MATCH('Stock Position'!N17,$AX$15:$AX$251,0))</f>
        <v>12</v>
      </c>
      <c r="AQ17">
        <f>LARGE($AX$15:$AX$251,'Stock Position'!C17)</f>
        <v>5899.5693000000028</v>
      </c>
      <c r="AR17">
        <f>SMALL($AX$15:$AX$251,'Stock Position'!C17)</f>
        <v>-903.31150000000343</v>
      </c>
      <c r="AS17" t="str">
        <f>'Trade Log'!BT17</f>
        <v>TUGS</v>
      </c>
      <c r="AT17">
        <f t="shared" si="22"/>
        <v>1</v>
      </c>
      <c r="AU17">
        <f t="shared" si="23"/>
        <v>0</v>
      </c>
      <c r="AV17" s="491">
        <f t="shared" si="24"/>
        <v>2714.6079999999965</v>
      </c>
      <c r="AW17" t="e">
        <f t="shared" si="25"/>
        <v>#DIV/0!</v>
      </c>
      <c r="AX17" s="17">
        <f t="shared" si="26"/>
        <v>2714.6079999999965</v>
      </c>
      <c r="AY17" s="30">
        <f t="shared" si="27"/>
        <v>1</v>
      </c>
      <c r="AZ17" s="17" t="str">
        <f t="shared" si="28"/>
        <v>NA</v>
      </c>
      <c r="BA17" s="491" t="str">
        <f t="shared" si="29"/>
        <v>NA</v>
      </c>
      <c r="BB17">
        <f t="shared" si="30"/>
        <v>1</v>
      </c>
      <c r="BG17">
        <f>IFERROR(LARGE('Trade Log'!$BY$15:$BY$1672,'Trade Log'!C17),"")</f>
        <v>0</v>
      </c>
      <c r="BH17">
        <f>MATCH(BG17,'Trade Log'!$BY$15:$BY$1672,0)</f>
        <v>1</v>
      </c>
      <c r="BI17" t="str">
        <f>IF(BG17=0,"",INDEX('Trade Log'!$BT$15:$BT$1172,BH17))</f>
        <v/>
      </c>
      <c r="BJ17">
        <f>INDEX('Trade Log'!$BU$15:$BU$1172,BH17,0)</f>
        <v>0</v>
      </c>
      <c r="BK17">
        <f>INDEX('Trade Log'!$BV$15:$BV$1172,BH17,0)</f>
        <v>0</v>
      </c>
      <c r="BL17">
        <f t="shared" si="31"/>
        <v>0</v>
      </c>
      <c r="BM17" t="str">
        <f>INDEX('Trade Log'!$BX$15:$BX$977,MATCH(BI17,'Trade Log'!$BT$15:$BT$977,0))</f>
        <v>3</v>
      </c>
      <c r="BN17" s="10" t="e">
        <f t="shared" si="32"/>
        <v>#N/A</v>
      </c>
      <c r="BO17" s="496" t="e">
        <f>'Trade Log'!$I$10-BN17</f>
        <v>#N/A</v>
      </c>
      <c r="BP17" t="e">
        <f>INDEX('Trade Log'!$BQ$15:$BQ$20100,MATCH(BI17,'Trade Log'!$BT$15:$BT$20100,0))</f>
        <v>#N/A</v>
      </c>
      <c r="BU17" s="33" t="s">
        <v>150</v>
      </c>
      <c r="BV17" s="33">
        <f>BV18</f>
        <v>8</v>
      </c>
      <c r="BW17" s="33">
        <f t="shared" ref="BW17:CN17" si="34">BV17+BW18</f>
        <v>8</v>
      </c>
      <c r="BX17" s="33">
        <f t="shared" si="34"/>
        <v>6</v>
      </c>
      <c r="BY17" s="33">
        <f t="shared" si="34"/>
        <v>6</v>
      </c>
      <c r="BZ17" s="33">
        <f t="shared" si="34"/>
        <v>4</v>
      </c>
      <c r="CA17" s="33">
        <f t="shared" si="34"/>
        <v>4</v>
      </c>
      <c r="CB17" s="33">
        <f t="shared" si="34"/>
        <v>6</v>
      </c>
      <c r="CC17" s="33">
        <f t="shared" si="34"/>
        <v>6</v>
      </c>
      <c r="CD17" s="33">
        <f t="shared" si="34"/>
        <v>6</v>
      </c>
      <c r="CE17" s="33">
        <f t="shared" si="34"/>
        <v>6</v>
      </c>
      <c r="CF17" s="33">
        <f t="shared" si="34"/>
        <v>6</v>
      </c>
      <c r="CG17" s="33">
        <f t="shared" si="34"/>
        <v>8</v>
      </c>
      <c r="CH17" s="33">
        <f t="shared" si="34"/>
        <v>8</v>
      </c>
      <c r="CI17" s="33">
        <f t="shared" si="34"/>
        <v>8</v>
      </c>
      <c r="CJ17" s="33">
        <f t="shared" si="34"/>
        <v>8</v>
      </c>
      <c r="CK17" s="33">
        <f t="shared" si="34"/>
        <v>8</v>
      </c>
      <c r="CL17" s="33">
        <f t="shared" si="34"/>
        <v>8</v>
      </c>
      <c r="CM17" s="33">
        <f t="shared" si="34"/>
        <v>10</v>
      </c>
      <c r="CN17" s="33">
        <f t="shared" si="34"/>
        <v>10</v>
      </c>
      <c r="CO17" s="33">
        <f>CN17+CO18+CP18</f>
        <v>10</v>
      </c>
    </row>
    <row r="18" spans="1:94">
      <c r="A18">
        <f>IF(Settings!S18="",NA(),1)</f>
        <v>1</v>
      </c>
      <c r="B18">
        <f t="shared" si="0"/>
        <v>2</v>
      </c>
      <c r="C18">
        <f>COUNTIFS(setupLog,Settings!M18,stats,2)</f>
        <v>0</v>
      </c>
      <c r="D18">
        <f>COUNTIFS(setupLog,Settings!M18,stats,1)</f>
        <v>2</v>
      </c>
      <c r="E18">
        <f t="shared" si="1"/>
        <v>0</v>
      </c>
      <c r="F18">
        <f>SUMIFS(profitLoss,stats,2,setupLog,Settings!M18)</f>
        <v>0</v>
      </c>
      <c r="G18">
        <f>SUMIFS(profitLoss,stats,1,setupLog,Settings!M18)</f>
        <v>-1874.8869499999964</v>
      </c>
      <c r="H18">
        <f t="shared" si="2"/>
        <v>0</v>
      </c>
      <c r="I18">
        <f t="shared" si="3"/>
        <v>-937.44347499999822</v>
      </c>
      <c r="J18">
        <f t="shared" si="4"/>
        <v>0</v>
      </c>
      <c r="K18">
        <f t="shared" si="5"/>
        <v>-937.44347499999822</v>
      </c>
      <c r="L18">
        <v>5</v>
      </c>
      <c r="M18">
        <f t="shared" si="21"/>
        <v>4.9999999999999996E-6</v>
      </c>
      <c r="N18">
        <f t="shared" si="6"/>
        <v>-937.44346999999823</v>
      </c>
      <c r="O18">
        <f t="shared" si="7"/>
        <v>-937.44346999999823</v>
      </c>
      <c r="P18">
        <f t="shared" si="8"/>
        <v>5</v>
      </c>
      <c r="Q18" t="str">
        <f>IF(O18="","",INDEX(Settings!$M$14:$M$34,P18))</f>
        <v>Bottom fishing</v>
      </c>
      <c r="R18">
        <f t="shared" si="9"/>
        <v>2</v>
      </c>
      <c r="S18">
        <f t="shared" si="10"/>
        <v>0</v>
      </c>
      <c r="T18">
        <f t="shared" si="11"/>
        <v>0</v>
      </c>
      <c r="U18">
        <f t="shared" si="12"/>
        <v>-937.44347499999822</v>
      </c>
      <c r="W18">
        <f>IFERROR(COUNTIFS(execution,Settings!X18,'Trade Review'!$I$17:$I$20100,"&gt;="&amp;1)*Settings!Y18,"")</f>
        <v>-3</v>
      </c>
      <c r="X18">
        <f>IFERROR(COUNTIFS(emotion,Settings!Z18,'Trade Review'!$I$17:$I$20100,"&gt;="&amp;1)*Settings!AA18,"")</f>
        <v>0</v>
      </c>
      <c r="Y18" s="495">
        <f t="shared" si="13"/>
        <v>-2.9999950000000002</v>
      </c>
      <c r="Z18" s="495" t="str">
        <f t="shared" si="14"/>
        <v/>
      </c>
      <c r="AA18" s="495" t="str">
        <f t="shared" si="15"/>
        <v/>
      </c>
      <c r="AB18" s="495">
        <f t="shared" si="16"/>
        <v>10.000007</v>
      </c>
      <c r="AC18">
        <f t="shared" si="17"/>
        <v>2</v>
      </c>
      <c r="AD18" t="str">
        <f>IF(AA18="","",INDEX(Settings!$X$14:$X$28,AC18))</f>
        <v/>
      </c>
      <c r="AE18" t="str">
        <f t="shared" si="18"/>
        <v/>
      </c>
      <c r="AF18" t="str">
        <f>IF(AD18="","",SUMIF(execution,AD18,'Trade Review'!$K$17:$K$20100))</f>
        <v/>
      </c>
      <c r="AI18">
        <f t="shared" si="19"/>
        <v>7</v>
      </c>
      <c r="AJ18" t="str">
        <f>IF($AB18="","",INDEX(Settings!$Z$14:$Z$28,$AI18))</f>
        <v>CONFIDENT</v>
      </c>
      <c r="AK18">
        <f t="shared" si="20"/>
        <v>10</v>
      </c>
      <c r="AL18">
        <f>IF(AJ18="","",SUMIF(emotion,AJ18,'Trade Review'!$K$17:$K$20100))</f>
        <v>22213.616699999988</v>
      </c>
      <c r="AO18">
        <f>IF(AQ18&lt;0,"",MATCH('Stock Position'!E18,$AX$15:$AX$251,0))</f>
        <v>8</v>
      </c>
      <c r="AP18">
        <f>IF(AR18&gt;0,"",MATCH('Stock Position'!N18,$AX$15:$AX$251,0))</f>
        <v>11</v>
      </c>
      <c r="AQ18">
        <f>LARGE($AX$15:$AX$251,'Stock Position'!C18)</f>
        <v>4625.7648999999947</v>
      </c>
      <c r="AR18">
        <f>SMALL($AX$15:$AX$251,'Stock Position'!C18)</f>
        <v>-708.27960000000166</v>
      </c>
      <c r="AS18" t="str">
        <f>'Trade Log'!BT18</f>
        <v>PXP</v>
      </c>
      <c r="AT18">
        <f t="shared" si="22"/>
        <v>4</v>
      </c>
      <c r="AU18">
        <f t="shared" si="23"/>
        <v>2</v>
      </c>
      <c r="AV18" s="491">
        <f t="shared" si="24"/>
        <v>4316.5332583333311</v>
      </c>
      <c r="AW18">
        <f t="shared" si="25"/>
        <v>528.51363333333336</v>
      </c>
      <c r="AX18" s="17">
        <f t="shared" si="26"/>
        <v>22728.11774999999</v>
      </c>
      <c r="AY18" s="30">
        <f t="shared" si="27"/>
        <v>0.66666666666666663</v>
      </c>
      <c r="AZ18" s="17">
        <f t="shared" si="28"/>
        <v>8.16730730503388</v>
      </c>
      <c r="BA18" s="491">
        <f t="shared" si="29"/>
        <v>3788.0196249999976</v>
      </c>
      <c r="BB18">
        <f t="shared" si="30"/>
        <v>6</v>
      </c>
      <c r="BG18">
        <f>IFERROR(LARGE('Trade Log'!$BY$15:$BY$1672,'Trade Log'!C18),"")</f>
        <v>0</v>
      </c>
      <c r="BH18">
        <f>MATCH(BG18,'Trade Log'!$BY$15:$BY$1672,0)</f>
        <v>1</v>
      </c>
      <c r="BI18" t="str">
        <f>IF(BG18=0,"",INDEX('Trade Log'!$BT$15:$BT$1172,BH18))</f>
        <v/>
      </c>
      <c r="BJ18">
        <f>INDEX('Trade Log'!$BU$15:$BU$1172,BH18,0)</f>
        <v>0</v>
      </c>
      <c r="BK18">
        <f>INDEX('Trade Log'!$BV$15:$BV$1172,BH18,0)</f>
        <v>0</v>
      </c>
      <c r="BL18">
        <f t="shared" si="31"/>
        <v>0</v>
      </c>
      <c r="BM18" t="str">
        <f>INDEX('Trade Log'!$BX$15:$BX$977,MATCH(BI18,'Trade Log'!$BT$15:$BT$977,0))</f>
        <v>3</v>
      </c>
      <c r="BN18" s="10" t="e">
        <f t="shared" si="32"/>
        <v>#N/A</v>
      </c>
      <c r="BO18" s="496" t="e">
        <f>'Trade Log'!$I$10-BN18</f>
        <v>#N/A</v>
      </c>
      <c r="BP18" t="e">
        <f>INDEX('Trade Log'!$BQ$15:$BQ$20100,MATCH(BI18,'Trade Log'!$BT$15:$BT$20100,0))</f>
        <v>#N/A</v>
      </c>
      <c r="BU18" s="33" t="s">
        <v>213</v>
      </c>
      <c r="BV18" s="33">
        <f t="shared" ref="BV18:CO18" si="35">SUM(BV19:BV48)</f>
        <v>8</v>
      </c>
      <c r="BW18" s="33">
        <f t="shared" si="35"/>
        <v>0</v>
      </c>
      <c r="BX18" s="33">
        <f t="shared" si="35"/>
        <v>-2</v>
      </c>
      <c r="BY18" s="33">
        <f t="shared" si="35"/>
        <v>0</v>
      </c>
      <c r="BZ18" s="33">
        <f t="shared" si="35"/>
        <v>-2</v>
      </c>
      <c r="CA18" s="33">
        <f t="shared" si="35"/>
        <v>0</v>
      </c>
      <c r="CB18" s="33">
        <f t="shared" si="35"/>
        <v>2</v>
      </c>
      <c r="CC18" s="33">
        <f t="shared" si="35"/>
        <v>0</v>
      </c>
      <c r="CD18" s="33">
        <f t="shared" si="35"/>
        <v>0</v>
      </c>
      <c r="CE18" s="33">
        <f t="shared" si="35"/>
        <v>0</v>
      </c>
      <c r="CF18" s="33">
        <f t="shared" si="35"/>
        <v>0</v>
      </c>
      <c r="CG18" s="33">
        <f t="shared" si="35"/>
        <v>2</v>
      </c>
      <c r="CH18" s="33">
        <f t="shared" si="35"/>
        <v>0</v>
      </c>
      <c r="CI18" s="33">
        <f t="shared" si="35"/>
        <v>0</v>
      </c>
      <c r="CJ18" s="33">
        <f t="shared" si="35"/>
        <v>0</v>
      </c>
      <c r="CK18" s="33">
        <f t="shared" si="35"/>
        <v>0</v>
      </c>
      <c r="CL18" s="33">
        <f t="shared" si="35"/>
        <v>0</v>
      </c>
      <c r="CM18" s="33">
        <f t="shared" si="35"/>
        <v>2</v>
      </c>
      <c r="CN18" s="33">
        <f t="shared" si="35"/>
        <v>0</v>
      </c>
      <c r="CO18" s="33">
        <f t="shared" si="35"/>
        <v>0</v>
      </c>
      <c r="CP18">
        <f>IF(COUNT('Monthly Report'!$W$22)=0,BT18,0)</f>
        <v>0</v>
      </c>
    </row>
    <row r="19" spans="1:94">
      <c r="A19" t="e">
        <f>IF(Settings!S19="",NA(),1)</f>
        <v>#N/A</v>
      </c>
      <c r="B19">
        <f t="shared" si="0"/>
        <v>0</v>
      </c>
      <c r="C19">
        <f>COUNTIFS(setupLog,Settings!M19,stats,2)</f>
        <v>0</v>
      </c>
      <c r="D19">
        <f>COUNTIFS(setupLog,Settings!M19,stats,1)</f>
        <v>0</v>
      </c>
      <c r="E19" t="str">
        <f t="shared" si="1"/>
        <v/>
      </c>
      <c r="F19">
        <f>SUMIFS(profitLoss,stats,2,setupLog,Settings!M19)</f>
        <v>0</v>
      </c>
      <c r="G19">
        <f>SUMIFS(profitLoss,stats,1,setupLog,Settings!M19)</f>
        <v>0</v>
      </c>
      <c r="H19">
        <f t="shared" si="2"/>
        <v>0</v>
      </c>
      <c r="I19">
        <f t="shared" si="3"/>
        <v>0</v>
      </c>
      <c r="J19" t="e">
        <f t="shared" si="4"/>
        <v>#DIV/0!</v>
      </c>
      <c r="K19" t="str">
        <f t="shared" si="5"/>
        <v/>
      </c>
      <c r="L19">
        <v>6</v>
      </c>
      <c r="M19">
        <f t="shared" si="21"/>
        <v>5.9999999999999993E-6</v>
      </c>
      <c r="N19" t="str">
        <f t="shared" si="6"/>
        <v/>
      </c>
      <c r="O19" t="str">
        <f t="shared" si="7"/>
        <v/>
      </c>
      <c r="P19">
        <f t="shared" si="8"/>
        <v>6</v>
      </c>
      <c r="Q19" t="str">
        <f>IF(O19="","",INDEX(Settings!$M$14:$M$34,P19))</f>
        <v/>
      </c>
      <c r="R19" t="str">
        <f t="shared" si="9"/>
        <v/>
      </c>
      <c r="S19" t="str">
        <f t="shared" si="10"/>
        <v/>
      </c>
      <c r="T19" t="str">
        <f t="shared" si="11"/>
        <v/>
      </c>
      <c r="U19" t="str">
        <f t="shared" si="12"/>
        <v/>
      </c>
      <c r="W19">
        <f>IFERROR(COUNTIFS(execution,Settings!X19,'Trade Review'!$I$17:$I$20100,"&gt;="&amp;1)*Settings!Y19,"")</f>
        <v>0</v>
      </c>
      <c r="X19">
        <f>IFERROR(COUNTIFS(emotion,Settings!Z19,'Trade Review'!$I$17:$I$20100,"&gt;="&amp;1)*Settings!AA19,"")</f>
        <v>-3</v>
      </c>
      <c r="Y19" s="495" t="str">
        <f t="shared" si="13"/>
        <v/>
      </c>
      <c r="Z19" s="495">
        <f t="shared" si="14"/>
        <v>-2.999994</v>
      </c>
      <c r="AA19" s="495" t="str">
        <f t="shared" si="15"/>
        <v/>
      </c>
      <c r="AB19" s="495" t="str">
        <f t="shared" si="16"/>
        <v/>
      </c>
      <c r="AC19">
        <f t="shared" si="17"/>
        <v>2</v>
      </c>
      <c r="AD19" t="str">
        <f>IF(AA19="","",INDEX(Settings!$X$14:$X$28,AC19))</f>
        <v/>
      </c>
      <c r="AE19" t="str">
        <f t="shared" si="18"/>
        <v/>
      </c>
      <c r="AF19" t="str">
        <f>IF(AD19="","",SUMIF(execution,AD19,'Trade Review'!$K$17:$K$20100))</f>
        <v/>
      </c>
      <c r="AI19">
        <f t="shared" si="19"/>
        <v>2</v>
      </c>
      <c r="AJ19" t="str">
        <f>IF($AB19="","",INDEX(Settings!$Z$14:$Z$28,$AI19))</f>
        <v/>
      </c>
      <c r="AK19" t="str">
        <f t="shared" si="20"/>
        <v/>
      </c>
      <c r="AL19" t="str">
        <f>IF(AJ19="","",SUMIF(emotion,AJ19,'Trade Review'!$K$17:$K$20100))</f>
        <v/>
      </c>
      <c r="AO19">
        <f>IF(AQ19&lt;0,"",MATCH('Stock Position'!E19,$AX$15:$AX$251,0))</f>
        <v>3</v>
      </c>
      <c r="AP19">
        <f>IF(AR19&gt;0,"",MATCH('Stock Position'!N19,$AX$15:$AX$251,0))</f>
        <v>9</v>
      </c>
      <c r="AQ19">
        <f>LARGE($AX$15:$AX$251,'Stock Position'!C19)</f>
        <v>2714.6079999999965</v>
      </c>
      <c r="AR19">
        <f>SMALL($AX$15:$AX$251,'Stock Position'!C19)</f>
        <v>-213.78105000000505</v>
      </c>
      <c r="AS19" t="str">
        <f>'Trade Log'!BT19</f>
        <v>MAC</v>
      </c>
      <c r="AT19">
        <f t="shared" si="22"/>
        <v>1</v>
      </c>
      <c r="AU19">
        <f t="shared" si="23"/>
        <v>1</v>
      </c>
      <c r="AV19" s="491">
        <f t="shared" si="24"/>
        <v>4544.7421500000019</v>
      </c>
      <c r="AW19">
        <f t="shared" si="25"/>
        <v>1594.9575000000004</v>
      </c>
      <c r="AX19" s="17">
        <f t="shared" si="26"/>
        <v>5899.5693000000028</v>
      </c>
      <c r="AY19" s="30">
        <f t="shared" si="27"/>
        <v>0.5</v>
      </c>
      <c r="AZ19" s="17">
        <f t="shared" si="28"/>
        <v>2.8494440447472744</v>
      </c>
      <c r="BA19" s="491">
        <f t="shared" si="29"/>
        <v>2949.7846500000014</v>
      </c>
      <c r="BB19">
        <f t="shared" si="30"/>
        <v>2</v>
      </c>
      <c r="BG19">
        <f>IFERROR(LARGE('Trade Log'!$BY$15:$BY$1672,'Trade Log'!C19),"")</f>
        <v>0</v>
      </c>
      <c r="BH19">
        <f>MATCH(BG19,'Trade Log'!$BY$15:$BY$1672,0)</f>
        <v>1</v>
      </c>
      <c r="BI19" t="str">
        <f>IF(BG19=0,"",INDEX('Trade Log'!$BT$15:$BT$1172,BH19))</f>
        <v/>
      </c>
      <c r="BJ19">
        <f>INDEX('Trade Log'!$BU$15:$BU$1172,BH19,0)</f>
        <v>0</v>
      </c>
      <c r="BK19">
        <f>INDEX('Trade Log'!$BV$15:$BV$1172,BH19,0)</f>
        <v>0</v>
      </c>
      <c r="BL19">
        <f t="shared" si="31"/>
        <v>0</v>
      </c>
      <c r="BM19" t="str">
        <f>INDEX('Trade Log'!$BX$15:$BX$977,MATCH(BI19,'Trade Log'!$BT$15:$BT$977,0))</f>
        <v>3</v>
      </c>
      <c r="BN19" s="10" t="e">
        <f t="shared" si="32"/>
        <v>#N/A</v>
      </c>
      <c r="BO19" s="496" t="e">
        <f>'Trade Log'!$I$10-BN19</f>
        <v>#N/A</v>
      </c>
      <c r="BP19" t="e">
        <f>INDEX('Trade Log'!$BQ$15:$BQ$20100,MATCH(BI19,'Trade Log'!$BT$15:$BT$20100,0))</f>
        <v>#N/A</v>
      </c>
      <c r="BS19" t="str">
        <f t="shared" ref="BS19:BS33" si="36">AD14</f>
        <v>BROKE RULES</v>
      </c>
      <c r="BT19">
        <f>INDEX(Settings!$Y$14:$Y$28,MATCH(BS19,Settings!$X$14:$X$28,0))</f>
        <v>-1</v>
      </c>
      <c r="BV19">
        <f t="shared" ref="BV19:BV33" si="37">IFERROR($BT19*IF($BS19="",0,COUNTIFS(reviewNo,"&gt;="&amp;1,reviewNo,"&lt;="&amp;BV$16,execution,$BS19)),"")</f>
        <v>-1</v>
      </c>
      <c r="BW19">
        <f t="shared" ref="BW19:CF33" si="38">IFERROR($BT19*COUNTIFS(reviewNo,BW$16,execution,$BS19),"")</f>
        <v>0</v>
      </c>
      <c r="BX19">
        <f t="shared" si="38"/>
        <v>-1</v>
      </c>
      <c r="BY19">
        <f t="shared" si="38"/>
        <v>0</v>
      </c>
      <c r="BZ19">
        <f t="shared" si="38"/>
        <v>-1</v>
      </c>
      <c r="CA19">
        <f t="shared" si="38"/>
        <v>0</v>
      </c>
      <c r="CB19">
        <f t="shared" si="38"/>
        <v>0</v>
      </c>
      <c r="CC19">
        <f t="shared" si="38"/>
        <v>0</v>
      </c>
      <c r="CD19">
        <f t="shared" si="38"/>
        <v>0</v>
      </c>
      <c r="CE19">
        <f t="shared" si="38"/>
        <v>0</v>
      </c>
      <c r="CF19">
        <f t="shared" si="38"/>
        <v>0</v>
      </c>
      <c r="CG19">
        <f t="shared" ref="CG19:CO33" si="39">IFERROR($BT19*COUNTIFS(reviewNo,CG$16,execution,$BS19),"")</f>
        <v>0</v>
      </c>
      <c r="CH19">
        <f t="shared" si="39"/>
        <v>0</v>
      </c>
      <c r="CI19">
        <f t="shared" si="39"/>
        <v>0</v>
      </c>
      <c r="CJ19">
        <f t="shared" si="39"/>
        <v>0</v>
      </c>
      <c r="CK19">
        <f t="shared" si="39"/>
        <v>0</v>
      </c>
      <c r="CL19">
        <f t="shared" si="39"/>
        <v>0</v>
      </c>
      <c r="CM19">
        <f t="shared" si="39"/>
        <v>0</v>
      </c>
      <c r="CN19">
        <f t="shared" si="39"/>
        <v>0</v>
      </c>
      <c r="CO19">
        <f t="shared" si="39"/>
        <v>0</v>
      </c>
    </row>
    <row r="20" spans="1:94">
      <c r="A20" t="e">
        <f>IF(Settings!S20="",NA(),1)</f>
        <v>#N/A</v>
      </c>
      <c r="B20">
        <f t="shared" si="0"/>
        <v>0</v>
      </c>
      <c r="C20">
        <f>COUNTIFS(setupLog,Settings!M20,stats,2)</f>
        <v>0</v>
      </c>
      <c r="D20">
        <f>COUNTIFS(setupLog,Settings!M20,stats,1)</f>
        <v>0</v>
      </c>
      <c r="E20" t="str">
        <f t="shared" si="1"/>
        <v/>
      </c>
      <c r="F20">
        <f>SUMIFS(profitLoss,stats,2,setupLog,Settings!M20)</f>
        <v>0</v>
      </c>
      <c r="G20">
        <f>SUMIFS(profitLoss,stats,1,setupLog,Settings!M20)</f>
        <v>0</v>
      </c>
      <c r="H20">
        <f t="shared" si="2"/>
        <v>0</v>
      </c>
      <c r="I20">
        <f t="shared" si="3"/>
        <v>0</v>
      </c>
      <c r="J20" t="e">
        <f t="shared" si="4"/>
        <v>#DIV/0!</v>
      </c>
      <c r="K20" t="str">
        <f t="shared" si="5"/>
        <v/>
      </c>
      <c r="L20">
        <v>7</v>
      </c>
      <c r="M20">
        <f t="shared" si="21"/>
        <v>6.999999999999999E-6</v>
      </c>
      <c r="N20" t="str">
        <f t="shared" si="6"/>
        <v/>
      </c>
      <c r="O20" t="str">
        <f t="shared" si="7"/>
        <v/>
      </c>
      <c r="P20">
        <f t="shared" si="8"/>
        <v>6</v>
      </c>
      <c r="Q20" t="str">
        <f>IF(O20="","",INDEX(Settings!$M$14:$M$34,P20))</f>
        <v/>
      </c>
      <c r="R20" t="str">
        <f t="shared" si="9"/>
        <v/>
      </c>
      <c r="S20" t="str">
        <f t="shared" si="10"/>
        <v/>
      </c>
      <c r="T20" t="str">
        <f t="shared" si="11"/>
        <v/>
      </c>
      <c r="U20" t="str">
        <f t="shared" si="12"/>
        <v/>
      </c>
      <c r="W20">
        <f>IFERROR(COUNTIFS(execution,Settings!X20,'Trade Review'!$I$17:$I$20100,"&gt;="&amp;1)*Settings!Y20,"")</f>
        <v>0</v>
      </c>
      <c r="X20">
        <f>IFERROR(COUNTIFS(emotion,Settings!Z20,'Trade Review'!$I$17:$I$20100,"&gt;="&amp;1)*Settings!AA20,"")</f>
        <v>10</v>
      </c>
      <c r="Y20" s="495" t="str">
        <f t="shared" si="13"/>
        <v/>
      </c>
      <c r="Z20" s="495">
        <f t="shared" si="14"/>
        <v>10.000007</v>
      </c>
      <c r="AA20" s="495" t="str">
        <f t="shared" si="15"/>
        <v/>
      </c>
      <c r="AB20" s="495" t="str">
        <f t="shared" si="16"/>
        <v/>
      </c>
      <c r="AC20">
        <f t="shared" si="17"/>
        <v>2</v>
      </c>
      <c r="AD20" t="str">
        <f>IF(AA20="","",INDEX(Settings!$X$14:$X$28,AC20))</f>
        <v/>
      </c>
      <c r="AE20" t="str">
        <f t="shared" si="18"/>
        <v/>
      </c>
      <c r="AF20" t="str">
        <f>IF(AD20="","",SUMIF(execution,AD20,'Trade Review'!$K$17:$K$20100))</f>
        <v/>
      </c>
      <c r="AI20">
        <f t="shared" si="19"/>
        <v>2</v>
      </c>
      <c r="AJ20" t="str">
        <f>IF($AB20="","",INDEX(Settings!$Z$14:$Z$28,$AI20))</f>
        <v/>
      </c>
      <c r="AK20" t="str">
        <f t="shared" si="20"/>
        <v/>
      </c>
      <c r="AL20" t="str">
        <f>IF(AJ20="","",SUMIF(emotion,AJ20,'Trade Review'!$K$17:$K$20100))</f>
        <v/>
      </c>
      <c r="AO20">
        <f>IF(AQ20&lt;0,"",MATCH('Stock Position'!E20,$AX$15:$AX$251,0))</f>
        <v>1</v>
      </c>
      <c r="AP20">
        <f>IF(AR20&gt;0,"",MATCH('Stock Position'!N20,$AX$15:$AX$251,0))</f>
        <v>6</v>
      </c>
      <c r="AQ20">
        <f>LARGE($AX$15:$AX$251,'Stock Position'!C20)</f>
        <v>359.38979999999719</v>
      </c>
      <c r="AR20">
        <f>SMALL($AX$15:$AX$251,'Stock Position'!C20)</f>
        <v>-131.47110000000248</v>
      </c>
      <c r="AS20" t="str">
        <f>'Trade Log'!BT20</f>
        <v>X</v>
      </c>
      <c r="AT20">
        <f t="shared" si="22"/>
        <v>0</v>
      </c>
      <c r="AU20">
        <f t="shared" si="23"/>
        <v>1</v>
      </c>
      <c r="AV20" s="491" t="e">
        <f t="shared" si="24"/>
        <v>#DIV/0!</v>
      </c>
      <c r="AW20">
        <f t="shared" si="25"/>
        <v>131.47110000000248</v>
      </c>
      <c r="AX20" s="17">
        <f t="shared" si="26"/>
        <v>-131.47110000000248</v>
      </c>
      <c r="AY20" s="30">
        <f t="shared" si="27"/>
        <v>0</v>
      </c>
      <c r="AZ20" s="17" t="str">
        <f t="shared" si="28"/>
        <v>NA</v>
      </c>
      <c r="BA20" s="491" t="str">
        <f t="shared" si="29"/>
        <v>NA</v>
      </c>
      <c r="BB20">
        <f t="shared" si="30"/>
        <v>1</v>
      </c>
      <c r="BG20">
        <f>IFERROR(LARGE('Trade Log'!$BY$15:$BY$1672,'Trade Log'!C20),"")</f>
        <v>0</v>
      </c>
      <c r="BH20">
        <f>MATCH(BG20,'Trade Log'!$BY$15:$BY$1672,0)</f>
        <v>1</v>
      </c>
      <c r="BI20" t="str">
        <f>IF(BG20=0,"",INDEX('Trade Log'!$BT$15:$BT$1172,BH20))</f>
        <v/>
      </c>
      <c r="BJ20">
        <f>INDEX('Trade Log'!$BU$15:$BU$1172,BH20,0)</f>
        <v>0</v>
      </c>
      <c r="BK20">
        <f>INDEX('Trade Log'!$BV$15:$BV$1172,BH20,0)</f>
        <v>0</v>
      </c>
      <c r="BL20">
        <f t="shared" si="31"/>
        <v>0</v>
      </c>
      <c r="BM20" t="str">
        <f>INDEX('Trade Log'!$BX$15:$BX$977,MATCH(BI20,'Trade Log'!$BT$15:$BT$977,0))</f>
        <v>3</v>
      </c>
      <c r="BN20" s="10" t="e">
        <f t="shared" si="32"/>
        <v>#N/A</v>
      </c>
      <c r="BO20" s="496" t="e">
        <f>'Trade Log'!$I$10-BN20</f>
        <v>#N/A</v>
      </c>
      <c r="BP20" t="e">
        <f>INDEX('Trade Log'!$BQ$15:$BQ$20100,MATCH(BI20,'Trade Log'!$BT$15:$BT$20100,0))</f>
        <v>#N/A</v>
      </c>
      <c r="BS20" t="str">
        <f t="shared" si="36"/>
        <v>TOO EARLY</v>
      </c>
      <c r="BT20">
        <f>INDEX(Settings!$Y$14:$Y$28,MATCH(BS20,Settings!$X$14:$X$28,0))</f>
        <v>-1</v>
      </c>
      <c r="BV20">
        <f t="shared" si="37"/>
        <v>-2</v>
      </c>
      <c r="BW20">
        <f t="shared" si="38"/>
        <v>0</v>
      </c>
      <c r="BX20">
        <f t="shared" si="38"/>
        <v>0</v>
      </c>
      <c r="BY20">
        <f t="shared" si="38"/>
        <v>0</v>
      </c>
      <c r="BZ20">
        <f t="shared" si="38"/>
        <v>0</v>
      </c>
      <c r="CA20">
        <f t="shared" si="38"/>
        <v>0</v>
      </c>
      <c r="CB20">
        <f t="shared" si="38"/>
        <v>0</v>
      </c>
      <c r="CC20">
        <f t="shared" si="38"/>
        <v>0</v>
      </c>
      <c r="CD20">
        <f t="shared" si="38"/>
        <v>0</v>
      </c>
      <c r="CE20">
        <f t="shared" si="38"/>
        <v>0</v>
      </c>
      <c r="CF20">
        <f t="shared" si="38"/>
        <v>0</v>
      </c>
      <c r="CG20">
        <f t="shared" si="39"/>
        <v>0</v>
      </c>
      <c r="CH20">
        <f t="shared" si="39"/>
        <v>0</v>
      </c>
      <c r="CI20">
        <f t="shared" si="39"/>
        <v>0</v>
      </c>
      <c r="CJ20">
        <f t="shared" si="39"/>
        <v>0</v>
      </c>
      <c r="CK20">
        <f t="shared" si="39"/>
        <v>0</v>
      </c>
      <c r="CL20">
        <f t="shared" si="39"/>
        <v>0</v>
      </c>
      <c r="CM20">
        <f t="shared" si="39"/>
        <v>0</v>
      </c>
      <c r="CN20">
        <f t="shared" si="39"/>
        <v>0</v>
      </c>
      <c r="CO20">
        <f t="shared" si="39"/>
        <v>0</v>
      </c>
    </row>
    <row r="21" spans="1:94">
      <c r="A21" t="e">
        <f>IF(Settings!S21="",NA(),1)</f>
        <v>#N/A</v>
      </c>
      <c r="B21">
        <f t="shared" si="0"/>
        <v>0</v>
      </c>
      <c r="C21">
        <f>COUNTIFS(setupLog,Settings!M21,stats,2)</f>
        <v>0</v>
      </c>
      <c r="D21">
        <f>COUNTIFS(setupLog,Settings!M21,stats,1)</f>
        <v>0</v>
      </c>
      <c r="E21" t="str">
        <f t="shared" si="1"/>
        <v/>
      </c>
      <c r="F21">
        <f>SUMIFS(profitLoss,stats,2,setupLog,Settings!M21)</f>
        <v>0</v>
      </c>
      <c r="G21">
        <f>SUMIFS(profitLoss,stats,1,setupLog,Settings!M21)</f>
        <v>0</v>
      </c>
      <c r="H21">
        <f t="shared" si="2"/>
        <v>0</v>
      </c>
      <c r="I21">
        <f t="shared" si="3"/>
        <v>0</v>
      </c>
      <c r="J21" t="e">
        <f t="shared" si="4"/>
        <v>#DIV/0!</v>
      </c>
      <c r="K21" t="str">
        <f t="shared" si="5"/>
        <v/>
      </c>
      <c r="L21">
        <v>8</v>
      </c>
      <c r="M21">
        <f t="shared" si="21"/>
        <v>7.9999999999999996E-6</v>
      </c>
      <c r="N21" t="str">
        <f t="shared" si="6"/>
        <v/>
      </c>
      <c r="O21" t="str">
        <f t="shared" si="7"/>
        <v/>
      </c>
      <c r="P21">
        <f t="shared" si="8"/>
        <v>6</v>
      </c>
      <c r="Q21" t="str">
        <f>IF(O21="","",INDEX(Settings!$M$14:$M$34,P21))</f>
        <v/>
      </c>
      <c r="R21" t="str">
        <f t="shared" si="9"/>
        <v/>
      </c>
      <c r="S21" t="str">
        <f t="shared" si="10"/>
        <v/>
      </c>
      <c r="T21" t="str">
        <f t="shared" si="11"/>
        <v/>
      </c>
      <c r="U21" t="str">
        <f t="shared" si="12"/>
        <v/>
      </c>
      <c r="W21">
        <f>IFERROR(COUNTIFS(execution,Settings!X21,'Trade Review'!$I$17:$I$20100,"&gt;="&amp;1)*Settings!Y21,"")</f>
        <v>0</v>
      </c>
      <c r="X21">
        <f>IFERROR(COUNTIFS(emotion,Settings!Z21,'Trade Review'!$I$17:$I$20100,"&gt;="&amp;1)*Settings!AA21,"")</f>
        <v>0</v>
      </c>
      <c r="Y21" s="495" t="str">
        <f t="shared" si="13"/>
        <v/>
      </c>
      <c r="Z21" s="495" t="str">
        <f t="shared" si="14"/>
        <v/>
      </c>
      <c r="AA21" s="495" t="str">
        <f t="shared" si="15"/>
        <v/>
      </c>
      <c r="AB21" s="495" t="str">
        <f t="shared" si="16"/>
        <v/>
      </c>
      <c r="AC21">
        <f t="shared" si="17"/>
        <v>2</v>
      </c>
      <c r="AD21" t="str">
        <f>IF(AA21="","",INDEX(Settings!$X$14:$X$28,AC21))</f>
        <v/>
      </c>
      <c r="AE21" t="str">
        <f t="shared" si="18"/>
        <v/>
      </c>
      <c r="AF21" t="str">
        <f>IF(AD21="","",SUMIF(execution,AD21,'Trade Review'!$K$17:$K$20100))</f>
        <v/>
      </c>
      <c r="AI21">
        <f t="shared" si="19"/>
        <v>2</v>
      </c>
      <c r="AJ21" t="str">
        <f>IF($AB21="","",INDEX(Settings!$Z$14:$Z$28,$AI21))</f>
        <v/>
      </c>
      <c r="AK21" t="str">
        <f t="shared" si="20"/>
        <v/>
      </c>
      <c r="AL21" t="str">
        <f>IF(AJ21="","",SUMIF(emotion,AJ21,'Trade Review'!$K$17:$K$20100))</f>
        <v/>
      </c>
      <c r="AO21" t="e">
        <f>IF(AQ21&lt;0,"",MATCH('Stock Position'!E21,$AX$15:$AX$251,0))</f>
        <v>#N/A</v>
      </c>
      <c r="AP21" t="e">
        <f>IF(AR21&gt;0,"",MATCH('Stock Position'!N21,$AX$15:$AX$251,0))</f>
        <v>#N/A</v>
      </c>
      <c r="AQ21">
        <f>LARGE($AX$15:$AX$251,'Stock Position'!C21)</f>
        <v>0</v>
      </c>
      <c r="AR21">
        <f>SMALL($AX$15:$AX$251,'Stock Position'!C21)</f>
        <v>0</v>
      </c>
      <c r="AS21" t="str">
        <f>'Trade Log'!BT21</f>
        <v>APX</v>
      </c>
      <c r="AT21">
        <f t="shared" si="22"/>
        <v>1</v>
      </c>
      <c r="AU21">
        <f t="shared" si="23"/>
        <v>2</v>
      </c>
      <c r="AV21" s="491">
        <f t="shared" si="24"/>
        <v>2912.8178333333344</v>
      </c>
      <c r="AW21">
        <f t="shared" si="25"/>
        <v>429.91266666666712</v>
      </c>
      <c r="AX21" s="17">
        <f t="shared" si="26"/>
        <v>7448.7155000000021</v>
      </c>
      <c r="AY21" s="30">
        <f t="shared" si="27"/>
        <v>0.33333333333333331</v>
      </c>
      <c r="AZ21" s="17">
        <f t="shared" si="28"/>
        <v>6.7753710443516386</v>
      </c>
      <c r="BA21" s="491">
        <f t="shared" si="29"/>
        <v>2482.9051666666674</v>
      </c>
      <c r="BB21">
        <f t="shared" si="30"/>
        <v>3</v>
      </c>
      <c r="BG21">
        <f>IFERROR(LARGE('Trade Log'!$BY$15:$BY$1672,'Trade Log'!C21),"")</f>
        <v>0</v>
      </c>
      <c r="BH21">
        <f>MATCH(BG21,'Trade Log'!$BY$15:$BY$1672,0)</f>
        <v>1</v>
      </c>
      <c r="BI21" t="str">
        <f>IF(BG21=0,"",INDEX('Trade Log'!$BT$15:$BT$1172,BH21))</f>
        <v/>
      </c>
      <c r="BJ21">
        <f>INDEX('Trade Log'!$BU$15:$BU$1172,BH21,0)</f>
        <v>0</v>
      </c>
      <c r="BK21">
        <f>INDEX('Trade Log'!$BV$15:$BV$1172,BH21,0)</f>
        <v>0</v>
      </c>
      <c r="BL21">
        <f t="shared" si="31"/>
        <v>0</v>
      </c>
      <c r="BM21" t="str">
        <f>INDEX('Trade Log'!$BX$15:$BX$977,MATCH(BI21,'Trade Log'!$BT$15:$BT$977,0))</f>
        <v>3</v>
      </c>
      <c r="BN21" s="10" t="e">
        <f t="shared" si="32"/>
        <v>#N/A</v>
      </c>
      <c r="BO21" s="496" t="e">
        <f>'Trade Log'!$I$10-BN21</f>
        <v>#N/A</v>
      </c>
      <c r="BP21" t="e">
        <f>INDEX('Trade Log'!$BQ$15:$BQ$20100,MATCH(BI21,'Trade Log'!$BT$15:$BT$20100,0))</f>
        <v>#N/A</v>
      </c>
      <c r="BS21" t="str">
        <f t="shared" si="36"/>
        <v>AS PLANNED</v>
      </c>
      <c r="BT21">
        <f>INDEX(Settings!$Y$14:$Y$28,MATCH(BS21,Settings!$X$14:$X$28,0))</f>
        <v>1</v>
      </c>
      <c r="BV21">
        <f t="shared" si="37"/>
        <v>9</v>
      </c>
      <c r="BW21">
        <f t="shared" si="38"/>
        <v>0</v>
      </c>
      <c r="BX21">
        <f t="shared" si="38"/>
        <v>0</v>
      </c>
      <c r="BY21">
        <f t="shared" si="38"/>
        <v>0</v>
      </c>
      <c r="BZ21">
        <f t="shared" si="38"/>
        <v>0</v>
      </c>
      <c r="CA21">
        <f t="shared" si="38"/>
        <v>0</v>
      </c>
      <c r="CB21">
        <f t="shared" si="38"/>
        <v>1</v>
      </c>
      <c r="CC21">
        <f t="shared" si="38"/>
        <v>0</v>
      </c>
      <c r="CD21">
        <f t="shared" si="38"/>
        <v>0</v>
      </c>
      <c r="CE21">
        <f t="shared" si="38"/>
        <v>0</v>
      </c>
      <c r="CF21">
        <f t="shared" si="38"/>
        <v>0</v>
      </c>
      <c r="CG21">
        <f t="shared" si="39"/>
        <v>1</v>
      </c>
      <c r="CH21">
        <f t="shared" si="39"/>
        <v>1</v>
      </c>
      <c r="CI21">
        <f t="shared" si="39"/>
        <v>0</v>
      </c>
      <c r="CJ21">
        <f t="shared" si="39"/>
        <v>0</v>
      </c>
      <c r="CK21">
        <f t="shared" si="39"/>
        <v>0</v>
      </c>
      <c r="CL21">
        <f t="shared" si="39"/>
        <v>0</v>
      </c>
      <c r="CM21">
        <f t="shared" si="39"/>
        <v>1</v>
      </c>
      <c r="CN21">
        <f t="shared" si="39"/>
        <v>0</v>
      </c>
      <c r="CO21">
        <f t="shared" si="39"/>
        <v>0</v>
      </c>
    </row>
    <row r="22" spans="1:94">
      <c r="A22" t="e">
        <f>IF(Settings!S22="",NA(),1)</f>
        <v>#N/A</v>
      </c>
      <c r="B22">
        <f t="shared" si="0"/>
        <v>0</v>
      </c>
      <c r="C22">
        <f>COUNTIFS(setupLog,Settings!M22,stats,2)</f>
        <v>0</v>
      </c>
      <c r="D22">
        <f>COUNTIFS(setupLog,Settings!M22,stats,1)</f>
        <v>0</v>
      </c>
      <c r="E22" t="str">
        <f t="shared" si="1"/>
        <v/>
      </c>
      <c r="F22">
        <f>SUMIFS(profitLoss,stats,2,setupLog,Settings!M22)</f>
        <v>0</v>
      </c>
      <c r="G22">
        <f>SUMIFS(profitLoss,stats,1,setupLog,Settings!M22)</f>
        <v>0</v>
      </c>
      <c r="H22">
        <f t="shared" si="2"/>
        <v>0</v>
      </c>
      <c r="I22">
        <f t="shared" si="3"/>
        <v>0</v>
      </c>
      <c r="J22" t="e">
        <f t="shared" si="4"/>
        <v>#DIV/0!</v>
      </c>
      <c r="K22" t="str">
        <f t="shared" si="5"/>
        <v/>
      </c>
      <c r="L22">
        <v>9</v>
      </c>
      <c r="M22">
        <f t="shared" si="21"/>
        <v>9.0000000000000002E-6</v>
      </c>
      <c r="N22" t="str">
        <f t="shared" si="6"/>
        <v/>
      </c>
      <c r="O22" t="str">
        <f t="shared" si="7"/>
        <v/>
      </c>
      <c r="P22">
        <f t="shared" si="8"/>
        <v>6</v>
      </c>
      <c r="Q22" t="str">
        <f>IF(O22="","",INDEX(Settings!$M$14:$M$34,P22))</f>
        <v/>
      </c>
      <c r="R22" t="str">
        <f t="shared" si="9"/>
        <v/>
      </c>
      <c r="S22" t="str">
        <f t="shared" si="10"/>
        <v/>
      </c>
      <c r="T22" t="str">
        <f t="shared" si="11"/>
        <v/>
      </c>
      <c r="U22" t="str">
        <f t="shared" si="12"/>
        <v/>
      </c>
      <c r="W22">
        <f>IFERROR(COUNTIFS(execution,Settings!X22,'Trade Review'!$I$17:$I$20100,"&gt;="&amp;1)*Settings!Y22,"")</f>
        <v>0</v>
      </c>
      <c r="X22">
        <f>IFERROR(COUNTIFS(emotion,Settings!Z22,'Trade Review'!$I$17:$I$20100,"&gt;="&amp;1)*Settings!AA22,"")</f>
        <v>0</v>
      </c>
      <c r="Y22" s="495" t="str">
        <f t="shared" si="13"/>
        <v/>
      </c>
      <c r="Z22" s="495" t="str">
        <f t="shared" si="14"/>
        <v/>
      </c>
      <c r="AA22" s="495" t="str">
        <f t="shared" si="15"/>
        <v/>
      </c>
      <c r="AB22" s="495" t="str">
        <f t="shared" si="16"/>
        <v/>
      </c>
      <c r="AC22">
        <f t="shared" si="17"/>
        <v>2</v>
      </c>
      <c r="AD22" t="str">
        <f>IF(AA22="","",INDEX(Settings!$X$14:$X$28,AC22))</f>
        <v/>
      </c>
      <c r="AE22" t="str">
        <f t="shared" si="18"/>
        <v/>
      </c>
      <c r="AF22" t="str">
        <f>IF(AD22="","",SUMIF(execution,AD22,'Trade Review'!$K$17:$K$20100))</f>
        <v/>
      </c>
      <c r="AI22">
        <f t="shared" si="19"/>
        <v>2</v>
      </c>
      <c r="AJ22" t="str">
        <f>IF($AB22="","",INDEX(Settings!$Z$14:$Z$28,$AI22))</f>
        <v/>
      </c>
      <c r="AK22" t="str">
        <f t="shared" si="20"/>
        <v/>
      </c>
      <c r="AL22" t="str">
        <f>IF(AJ22="","",SUMIF(emotion,AJ22,'Trade Review'!$K$17:$K$20100))</f>
        <v/>
      </c>
      <c r="AO22" t="e">
        <f>IF(AQ22&lt;0,"",MATCH('Stock Position'!E22,$AX$15:$AX$251,0))</f>
        <v>#N/A</v>
      </c>
      <c r="AP22" t="e">
        <f>IF(AR22&gt;0,"",MATCH('Stock Position'!N22,$AX$15:$AX$251,0))</f>
        <v>#N/A</v>
      </c>
      <c r="AQ22">
        <f>LARGE($AX$15:$AX$251,'Stock Position'!C22)</f>
        <v>0</v>
      </c>
      <c r="AR22">
        <f>SMALL($AX$15:$AX$251,'Stock Position'!C22)</f>
        <v>0</v>
      </c>
      <c r="AS22" t="str">
        <f>'Trade Log'!BT22</f>
        <v>IMI</v>
      </c>
      <c r="AT22">
        <f t="shared" si="22"/>
        <v>1</v>
      </c>
      <c r="AU22">
        <f t="shared" si="23"/>
        <v>0</v>
      </c>
      <c r="AV22" s="491">
        <f t="shared" si="24"/>
        <v>4625.7648999999947</v>
      </c>
      <c r="AW22" t="e">
        <f t="shared" si="25"/>
        <v>#DIV/0!</v>
      </c>
      <c r="AX22" s="17">
        <f t="shared" si="26"/>
        <v>4625.7648999999947</v>
      </c>
      <c r="AY22" s="30">
        <f t="shared" si="27"/>
        <v>1</v>
      </c>
      <c r="AZ22" s="17" t="str">
        <f t="shared" si="28"/>
        <v>NA</v>
      </c>
      <c r="BA22" s="491" t="str">
        <f t="shared" si="29"/>
        <v>NA</v>
      </c>
      <c r="BB22">
        <f t="shared" si="30"/>
        <v>1</v>
      </c>
      <c r="BG22">
        <f>IFERROR(LARGE('Trade Log'!$BY$15:$BY$1672,'Trade Log'!C22),"")</f>
        <v>0</v>
      </c>
      <c r="BH22">
        <f>MATCH(BG22,'Trade Log'!$BY$15:$BY$1672,0)</f>
        <v>1</v>
      </c>
      <c r="BI22" t="str">
        <f>IF(BG22=0,"",INDEX('Trade Log'!$BT$15:$BT$1172,BH22))</f>
        <v/>
      </c>
      <c r="BJ22">
        <f>INDEX('Trade Log'!$BU$15:$BU$1172,BH22,0)</f>
        <v>0</v>
      </c>
      <c r="BK22">
        <f>INDEX('Trade Log'!$BV$15:$BV$1172,BH22,0)</f>
        <v>0</v>
      </c>
      <c r="BL22">
        <f t="shared" si="31"/>
        <v>0</v>
      </c>
      <c r="BM22" t="str">
        <f>INDEX('Trade Log'!$BX$15:$BX$977,MATCH(BI22,'Trade Log'!$BT$15:$BT$977,0))</f>
        <v>3</v>
      </c>
      <c r="BN22" s="10" t="e">
        <f t="shared" si="32"/>
        <v>#N/A</v>
      </c>
      <c r="BO22" s="496" t="e">
        <f>'Trade Log'!$I$10-BN22</f>
        <v>#N/A</v>
      </c>
      <c r="BP22" t="e">
        <f>INDEX('Trade Log'!$BQ$15:$BQ$20100,MATCH(BI22,'Trade Log'!$BT$15:$BT$20100,0))</f>
        <v>#N/A</v>
      </c>
      <c r="BS22" t="str">
        <f t="shared" si="36"/>
        <v/>
      </c>
      <c r="BT22" t="e">
        <f>INDEX(Settings!$Y$14:$Y$28,MATCH(BS22,Settings!$X$14:$X$28,0))</f>
        <v>#N/A</v>
      </c>
      <c r="BV22" t="str">
        <f t="shared" si="37"/>
        <v/>
      </c>
      <c r="BW22" t="str">
        <f t="shared" si="38"/>
        <v/>
      </c>
      <c r="BX22" t="str">
        <f t="shared" si="38"/>
        <v/>
      </c>
      <c r="BY22" t="str">
        <f t="shared" si="38"/>
        <v/>
      </c>
      <c r="BZ22" t="str">
        <f t="shared" si="38"/>
        <v/>
      </c>
      <c r="CA22" t="str">
        <f t="shared" si="38"/>
        <v/>
      </c>
      <c r="CB22" t="str">
        <f t="shared" si="38"/>
        <v/>
      </c>
      <c r="CC22" t="str">
        <f t="shared" si="38"/>
        <v/>
      </c>
      <c r="CD22" t="str">
        <f t="shared" si="38"/>
        <v/>
      </c>
      <c r="CE22" t="str">
        <f t="shared" si="38"/>
        <v/>
      </c>
      <c r="CF22" t="str">
        <f t="shared" si="38"/>
        <v/>
      </c>
      <c r="CG22" t="str">
        <f t="shared" si="39"/>
        <v/>
      </c>
      <c r="CH22" t="str">
        <f t="shared" si="39"/>
        <v/>
      </c>
      <c r="CI22" t="str">
        <f t="shared" si="39"/>
        <v/>
      </c>
      <c r="CJ22" t="str">
        <f t="shared" si="39"/>
        <v/>
      </c>
      <c r="CK22" t="str">
        <f t="shared" si="39"/>
        <v/>
      </c>
      <c r="CL22" t="str">
        <f t="shared" si="39"/>
        <v/>
      </c>
      <c r="CM22" t="str">
        <f t="shared" si="39"/>
        <v/>
      </c>
      <c r="CN22" t="str">
        <f t="shared" si="39"/>
        <v/>
      </c>
      <c r="CO22" t="str">
        <f t="shared" si="39"/>
        <v/>
      </c>
    </row>
    <row r="23" spans="1:94">
      <c r="A23" t="e">
        <f>IF(Settings!S23="",NA(),1)</f>
        <v>#N/A</v>
      </c>
      <c r="B23">
        <f t="shared" si="0"/>
        <v>0</v>
      </c>
      <c r="C23">
        <f>COUNTIFS(setupLog,Settings!M23,stats,2)</f>
        <v>0</v>
      </c>
      <c r="D23">
        <f>COUNTIFS(setupLog,Settings!M23,stats,1)</f>
        <v>0</v>
      </c>
      <c r="E23" t="str">
        <f t="shared" si="1"/>
        <v/>
      </c>
      <c r="F23">
        <f>SUMIFS(profitLoss,stats,2,setupLog,Settings!M23)</f>
        <v>0</v>
      </c>
      <c r="G23">
        <f>SUMIFS(profitLoss,stats,1,setupLog,Settings!M23)</f>
        <v>0</v>
      </c>
      <c r="H23">
        <f t="shared" si="2"/>
        <v>0</v>
      </c>
      <c r="I23">
        <f t="shared" si="3"/>
        <v>0</v>
      </c>
      <c r="J23" t="e">
        <f t="shared" si="4"/>
        <v>#DIV/0!</v>
      </c>
      <c r="K23" t="str">
        <f t="shared" si="5"/>
        <v/>
      </c>
      <c r="L23">
        <v>10</v>
      </c>
      <c r="M23">
        <f t="shared" si="21"/>
        <v>1.0000000000000001E-5</v>
      </c>
      <c r="N23" t="str">
        <f t="shared" si="6"/>
        <v/>
      </c>
      <c r="O23" t="str">
        <f t="shared" si="7"/>
        <v/>
      </c>
      <c r="P23">
        <f t="shared" si="8"/>
        <v>6</v>
      </c>
      <c r="Q23" t="str">
        <f>IF(O23="","",INDEX(Settings!$M$14:$M$34,P23))</f>
        <v/>
      </c>
      <c r="R23" t="str">
        <f t="shared" si="9"/>
        <v/>
      </c>
      <c r="S23" t="str">
        <f t="shared" si="10"/>
        <v/>
      </c>
      <c r="T23" t="str">
        <f t="shared" si="11"/>
        <v/>
      </c>
      <c r="U23" t="str">
        <f t="shared" si="12"/>
        <v/>
      </c>
      <c r="W23">
        <f>IFERROR(COUNTIFS(execution,Settings!X23,'Trade Review'!$I$17:$I$20100,"&gt;="&amp;1)*Settings!Y23,"")</f>
        <v>0</v>
      </c>
      <c r="X23">
        <f>IFERROR(COUNTIFS(emotion,Settings!Z23,'Trade Review'!$I$17:$I$20100,"&gt;="&amp;1)*Settings!AA23,"")</f>
        <v>0</v>
      </c>
      <c r="Y23" s="495" t="str">
        <f t="shared" si="13"/>
        <v/>
      </c>
      <c r="Z23" s="495" t="str">
        <f t="shared" si="14"/>
        <v/>
      </c>
      <c r="AA23" s="495" t="str">
        <f t="shared" si="15"/>
        <v/>
      </c>
      <c r="AB23" s="495" t="str">
        <f t="shared" si="16"/>
        <v/>
      </c>
      <c r="AC23">
        <f t="shared" si="17"/>
        <v>2</v>
      </c>
      <c r="AD23" t="str">
        <f>IF(AA23="","",INDEX(Settings!$X$14:$X$28,AC23))</f>
        <v/>
      </c>
      <c r="AE23" t="str">
        <f t="shared" si="18"/>
        <v/>
      </c>
      <c r="AF23" t="str">
        <f>IF(AD23="","",SUMIF(execution,AD23,'Trade Review'!$K$17:$K$20100))</f>
        <v/>
      </c>
      <c r="AI23">
        <f t="shared" si="19"/>
        <v>2</v>
      </c>
      <c r="AJ23" t="str">
        <f>IF($AB23="","",INDEX(Settings!$Z$14:$Z$28,$AI23))</f>
        <v/>
      </c>
      <c r="AK23" t="str">
        <f t="shared" si="20"/>
        <v/>
      </c>
      <c r="AL23" t="str">
        <f>IF(AJ23="","",SUMIF(emotion,AJ23,'Trade Review'!$K$17:$K$20100))</f>
        <v/>
      </c>
      <c r="AO23" t="e">
        <f>IF(AQ23&lt;0,"",MATCH('Stock Position'!E23,$AX$15:$AX$251,0))</f>
        <v>#N/A</v>
      </c>
      <c r="AP23" t="e">
        <f>IF(AR23&gt;0,"",MATCH('Stock Position'!N23,$AX$15:$AX$251,0))</f>
        <v>#N/A</v>
      </c>
      <c r="AQ23">
        <f>LARGE($AX$15:$AX$251,'Stock Position'!C23)</f>
        <v>0</v>
      </c>
      <c r="AR23">
        <f>SMALL($AX$15:$AX$251,'Stock Position'!C23)</f>
        <v>0</v>
      </c>
      <c r="AS23" t="str">
        <f>'Trade Log'!BT23</f>
        <v>MEG</v>
      </c>
      <c r="AT23">
        <f t="shared" si="22"/>
        <v>0</v>
      </c>
      <c r="AU23">
        <f t="shared" si="23"/>
        <v>1</v>
      </c>
      <c r="AV23" s="491" t="e">
        <f t="shared" si="24"/>
        <v>#DIV/0!</v>
      </c>
      <c r="AW23">
        <f t="shared" si="25"/>
        <v>213.78105000000505</v>
      </c>
      <c r="AX23" s="17">
        <f t="shared" si="26"/>
        <v>-213.78105000000505</v>
      </c>
      <c r="AY23" s="30">
        <f t="shared" si="27"/>
        <v>0</v>
      </c>
      <c r="AZ23" s="17" t="str">
        <f t="shared" si="28"/>
        <v>NA</v>
      </c>
      <c r="BA23" s="491" t="str">
        <f t="shared" si="29"/>
        <v>NA</v>
      </c>
      <c r="BB23">
        <f t="shared" si="30"/>
        <v>1</v>
      </c>
      <c r="BG23">
        <f>IFERROR(LARGE('Trade Log'!$BY$15:$BY$1672,'Trade Log'!C23),"")</f>
        <v>0</v>
      </c>
      <c r="BH23">
        <f>MATCH(BG23,'Trade Log'!$BY$15:$BY$1672,0)</f>
        <v>1</v>
      </c>
      <c r="BI23" t="str">
        <f>IF(BG23=0,"",INDEX('Trade Log'!$BT$15:$BT$1172,BH23))</f>
        <v/>
      </c>
      <c r="BJ23">
        <f>INDEX('Trade Log'!$BU$15:$BU$1172,BH23,0)</f>
        <v>0</v>
      </c>
      <c r="BK23">
        <f>INDEX('Trade Log'!$BV$15:$BV$1172,BH23,0)</f>
        <v>0</v>
      </c>
      <c r="BL23">
        <f t="shared" si="31"/>
        <v>0</v>
      </c>
      <c r="BM23" t="str">
        <f>INDEX('Trade Log'!$BX$15:$BX$977,MATCH(BI23,'Trade Log'!$BT$15:$BT$977,0))</f>
        <v>3</v>
      </c>
      <c r="BN23" s="10" t="e">
        <f t="shared" si="32"/>
        <v>#N/A</v>
      </c>
      <c r="BO23" s="496" t="e">
        <f>'Trade Log'!$I$10-BN23</f>
        <v>#N/A</v>
      </c>
      <c r="BP23" t="e">
        <f>INDEX('Trade Log'!$BQ$15:$BQ$20100,MATCH(BI23,'Trade Log'!$BT$15:$BT$20100,0))</f>
        <v>#N/A</v>
      </c>
      <c r="BS23" t="str">
        <f t="shared" si="36"/>
        <v/>
      </c>
      <c r="BT23" t="e">
        <f>INDEX(Settings!$Y$14:$Y$28,MATCH(BS23,Settings!$X$14:$X$28,0))</f>
        <v>#N/A</v>
      </c>
      <c r="BV23" t="str">
        <f t="shared" si="37"/>
        <v/>
      </c>
      <c r="BW23" t="str">
        <f t="shared" si="38"/>
        <v/>
      </c>
      <c r="BX23" t="str">
        <f t="shared" si="38"/>
        <v/>
      </c>
      <c r="BY23" t="str">
        <f t="shared" si="38"/>
        <v/>
      </c>
      <c r="BZ23" t="str">
        <f t="shared" si="38"/>
        <v/>
      </c>
      <c r="CA23" t="str">
        <f t="shared" si="38"/>
        <v/>
      </c>
      <c r="CB23" t="str">
        <f t="shared" si="38"/>
        <v/>
      </c>
      <c r="CC23" t="str">
        <f t="shared" si="38"/>
        <v/>
      </c>
      <c r="CD23" t="str">
        <f t="shared" si="38"/>
        <v/>
      </c>
      <c r="CE23" t="str">
        <f t="shared" si="38"/>
        <v/>
      </c>
      <c r="CF23" t="str">
        <f t="shared" si="38"/>
        <v/>
      </c>
      <c r="CG23" t="str">
        <f t="shared" si="39"/>
        <v/>
      </c>
      <c r="CH23" t="str">
        <f t="shared" si="39"/>
        <v/>
      </c>
      <c r="CI23" t="str">
        <f t="shared" si="39"/>
        <v/>
      </c>
      <c r="CJ23" t="str">
        <f t="shared" si="39"/>
        <v/>
      </c>
      <c r="CK23" t="str">
        <f t="shared" si="39"/>
        <v/>
      </c>
      <c r="CL23" t="str">
        <f t="shared" si="39"/>
        <v/>
      </c>
      <c r="CM23" t="str">
        <f t="shared" si="39"/>
        <v/>
      </c>
      <c r="CN23" t="str">
        <f t="shared" si="39"/>
        <v/>
      </c>
      <c r="CO23" t="str">
        <f t="shared" si="39"/>
        <v/>
      </c>
    </row>
    <row r="24" spans="1:94">
      <c r="A24" t="e">
        <f>IF(Settings!S24="",NA(),1)</f>
        <v>#N/A</v>
      </c>
      <c r="B24">
        <f t="shared" si="0"/>
        <v>0</v>
      </c>
      <c r="C24">
        <f>COUNTIFS(setupLog,Settings!M24,stats,2)</f>
        <v>0</v>
      </c>
      <c r="D24">
        <f>COUNTIFS(setupLog,Settings!M24,stats,1)</f>
        <v>0</v>
      </c>
      <c r="E24" t="str">
        <f t="shared" si="1"/>
        <v/>
      </c>
      <c r="F24">
        <f>SUMIFS(profitLoss,stats,2,setupLog,Settings!M24)</f>
        <v>0</v>
      </c>
      <c r="G24">
        <f>SUMIFS(profitLoss,stats,1,setupLog,Settings!M24)</f>
        <v>0</v>
      </c>
      <c r="H24">
        <f t="shared" si="2"/>
        <v>0</v>
      </c>
      <c r="I24">
        <f t="shared" si="3"/>
        <v>0</v>
      </c>
      <c r="J24" t="e">
        <f t="shared" si="4"/>
        <v>#DIV/0!</v>
      </c>
      <c r="K24" t="str">
        <f t="shared" si="5"/>
        <v/>
      </c>
      <c r="L24">
        <v>11</v>
      </c>
      <c r="M24">
        <f t="shared" si="21"/>
        <v>1.1000000000000001E-5</v>
      </c>
      <c r="N24" t="str">
        <f t="shared" si="6"/>
        <v/>
      </c>
      <c r="O24" t="str">
        <f t="shared" si="7"/>
        <v/>
      </c>
      <c r="P24">
        <f t="shared" si="8"/>
        <v>6</v>
      </c>
      <c r="Q24" t="str">
        <f>IF(O24="","",INDEX(Settings!$M$14:$M$34,P24))</f>
        <v/>
      </c>
      <c r="R24" t="str">
        <f t="shared" si="9"/>
        <v/>
      </c>
      <c r="S24" t="str">
        <f t="shared" si="10"/>
        <v/>
      </c>
      <c r="T24" t="str">
        <f t="shared" si="11"/>
        <v/>
      </c>
      <c r="U24" t="str">
        <f t="shared" si="12"/>
        <v/>
      </c>
      <c r="W24">
        <f>IFERROR(COUNTIFS(execution,Settings!X24,'Trade Review'!$I$17:$I$20100,"&gt;="&amp;1)*Settings!Y24,"")</f>
        <v>0</v>
      </c>
      <c r="X24">
        <f>IFERROR(COUNTIFS(emotion,Settings!Z24,'Trade Review'!$I$17:$I$20100,"&gt;="&amp;1)*Settings!AA24,"")</f>
        <v>0</v>
      </c>
      <c r="Y24" s="495" t="str">
        <f t="shared" si="13"/>
        <v/>
      </c>
      <c r="Z24" s="495" t="str">
        <f t="shared" si="14"/>
        <v/>
      </c>
      <c r="AA24" s="495" t="str">
        <f t="shared" si="15"/>
        <v/>
      </c>
      <c r="AB24" s="495" t="str">
        <f t="shared" si="16"/>
        <v/>
      </c>
      <c r="AC24">
        <f t="shared" si="17"/>
        <v>2</v>
      </c>
      <c r="AD24" t="str">
        <f>IF(AA24="","",INDEX(Settings!$X$14:$X$28,AC24))</f>
        <v/>
      </c>
      <c r="AE24" t="str">
        <f t="shared" si="18"/>
        <v/>
      </c>
      <c r="AF24" t="str">
        <f>IF(AD24="","",SUMIF(execution,AD24,'Trade Review'!$K$17:$K$20100))</f>
        <v/>
      </c>
      <c r="AI24">
        <f t="shared" si="19"/>
        <v>2</v>
      </c>
      <c r="AJ24" t="str">
        <f>IF($AB24="","",INDEX(Settings!$Z$14:$Z$28,$AI24))</f>
        <v/>
      </c>
      <c r="AK24" t="str">
        <f t="shared" si="20"/>
        <v/>
      </c>
      <c r="AL24" t="str">
        <f>IF(AJ24="","",SUMIF(emotion,AJ24,'Trade Review'!$K$17:$K$20100))</f>
        <v/>
      </c>
      <c r="AO24" t="e">
        <f>IF(AQ24&lt;0,"",MATCH('Stock Position'!E24,$AX$15:$AX$251,0))</f>
        <v>#N/A</v>
      </c>
      <c r="AP24" t="e">
        <f>IF(AR24&gt;0,"",MATCH('Stock Position'!N24,$AX$15:$AX$251,0))</f>
        <v>#N/A</v>
      </c>
      <c r="AQ24">
        <f>LARGE($AX$15:$AX$251,'Stock Position'!C24)</f>
        <v>0</v>
      </c>
      <c r="AR24">
        <f>SMALL($AX$15:$AX$251,'Stock Position'!C24)</f>
        <v>0</v>
      </c>
      <c r="AS24" t="str">
        <f>'Trade Log'!BT24</f>
        <v>MRP</v>
      </c>
      <c r="AT24">
        <f t="shared" si="22"/>
        <v>0</v>
      </c>
      <c r="AU24">
        <f t="shared" si="23"/>
        <v>1</v>
      </c>
      <c r="AV24" s="491" t="e">
        <f t="shared" si="24"/>
        <v>#DIV/0!</v>
      </c>
      <c r="AW24">
        <f t="shared" si="25"/>
        <v>1012.9002000000037</v>
      </c>
      <c r="AX24" s="17">
        <f t="shared" si="26"/>
        <v>-1012.9002000000037</v>
      </c>
      <c r="AY24" s="30">
        <f t="shared" si="27"/>
        <v>0</v>
      </c>
      <c r="AZ24" s="17" t="str">
        <f t="shared" si="28"/>
        <v>NA</v>
      </c>
      <c r="BA24" s="491" t="str">
        <f t="shared" si="29"/>
        <v>NA</v>
      </c>
      <c r="BB24">
        <f t="shared" si="30"/>
        <v>1</v>
      </c>
      <c r="BG24">
        <f>IFERROR(LARGE('Trade Log'!$BY$15:$BY$1672,'Trade Log'!C24),"")</f>
        <v>0</v>
      </c>
      <c r="BH24">
        <f>MATCH(BG24,'Trade Log'!$BY$15:$BY$1672,0)</f>
        <v>1</v>
      </c>
      <c r="BI24" t="str">
        <f>IF(BG24=0,"",INDEX('Trade Log'!$BT$15:$BT$1172,BH24))</f>
        <v/>
      </c>
      <c r="BJ24">
        <f>INDEX('Trade Log'!$BU$15:$BU$1172,BH24,0)</f>
        <v>0</v>
      </c>
      <c r="BK24">
        <f>INDEX('Trade Log'!$BV$15:$BV$1172,BH24,0)</f>
        <v>0</v>
      </c>
      <c r="BL24">
        <f t="shared" si="31"/>
        <v>0</v>
      </c>
      <c r="BM24" t="str">
        <f>INDEX('Trade Log'!$BX$15:$BX$977,MATCH(BI24,'Trade Log'!$BT$15:$BT$977,0))</f>
        <v>3</v>
      </c>
      <c r="BN24" s="10" t="e">
        <f t="shared" si="32"/>
        <v>#N/A</v>
      </c>
      <c r="BO24" s="496" t="e">
        <f>'Trade Log'!$I$10-BN24</f>
        <v>#N/A</v>
      </c>
      <c r="BP24" t="e">
        <f>INDEX('Trade Log'!$BQ$15:$BQ$20100,MATCH(BI24,'Trade Log'!$BT$15:$BT$20100,0))</f>
        <v>#N/A</v>
      </c>
      <c r="BS24" t="str">
        <f t="shared" si="36"/>
        <v/>
      </c>
      <c r="BT24" t="e">
        <f>INDEX(Settings!$Y$14:$Y$28,MATCH(BS24,Settings!$X$14:$X$28,0))</f>
        <v>#N/A</v>
      </c>
      <c r="BV24" t="str">
        <f t="shared" si="37"/>
        <v/>
      </c>
      <c r="BW24" t="str">
        <f t="shared" si="38"/>
        <v/>
      </c>
      <c r="BX24" t="str">
        <f t="shared" si="38"/>
        <v/>
      </c>
      <c r="BY24" t="str">
        <f t="shared" si="38"/>
        <v/>
      </c>
      <c r="BZ24" t="str">
        <f t="shared" si="38"/>
        <v/>
      </c>
      <c r="CA24" t="str">
        <f t="shared" si="38"/>
        <v/>
      </c>
      <c r="CB24" t="str">
        <f t="shared" si="38"/>
        <v/>
      </c>
      <c r="CC24" t="str">
        <f t="shared" si="38"/>
        <v/>
      </c>
      <c r="CD24" t="str">
        <f t="shared" si="38"/>
        <v/>
      </c>
      <c r="CE24" t="str">
        <f t="shared" si="38"/>
        <v/>
      </c>
      <c r="CF24" t="str">
        <f t="shared" si="38"/>
        <v/>
      </c>
      <c r="CG24" t="str">
        <f t="shared" si="39"/>
        <v/>
      </c>
      <c r="CH24" t="str">
        <f t="shared" si="39"/>
        <v/>
      </c>
      <c r="CI24" t="str">
        <f t="shared" si="39"/>
        <v/>
      </c>
      <c r="CJ24" t="str">
        <f t="shared" si="39"/>
        <v/>
      </c>
      <c r="CK24" t="str">
        <f t="shared" si="39"/>
        <v/>
      </c>
      <c r="CL24" t="str">
        <f t="shared" si="39"/>
        <v/>
      </c>
      <c r="CM24" t="str">
        <f t="shared" si="39"/>
        <v/>
      </c>
      <c r="CN24" t="str">
        <f t="shared" si="39"/>
        <v/>
      </c>
      <c r="CO24" t="str">
        <f t="shared" si="39"/>
        <v/>
      </c>
    </row>
    <row r="25" spans="1:94">
      <c r="A25" t="e">
        <f>IF(Settings!S25="",NA(),1)</f>
        <v>#N/A</v>
      </c>
      <c r="B25">
        <f t="shared" si="0"/>
        <v>0</v>
      </c>
      <c r="C25">
        <f>COUNTIFS(setupLog,Settings!M25,stats,2)</f>
        <v>0</v>
      </c>
      <c r="D25">
        <f>COUNTIFS(setupLog,Settings!M25,stats,1)</f>
        <v>0</v>
      </c>
      <c r="E25" t="str">
        <f t="shared" si="1"/>
        <v/>
      </c>
      <c r="F25">
        <f>SUMIFS(profitLoss,stats,2,setupLog,Settings!M25)</f>
        <v>0</v>
      </c>
      <c r="G25">
        <f>SUMIFS(profitLoss,stats,1,setupLog,Settings!M25)</f>
        <v>0</v>
      </c>
      <c r="H25">
        <f t="shared" si="2"/>
        <v>0</v>
      </c>
      <c r="I25">
        <f t="shared" si="3"/>
        <v>0</v>
      </c>
      <c r="J25" t="e">
        <f t="shared" si="4"/>
        <v>#DIV/0!</v>
      </c>
      <c r="K25" t="str">
        <f t="shared" si="5"/>
        <v/>
      </c>
      <c r="L25">
        <v>12</v>
      </c>
      <c r="M25">
        <f t="shared" si="21"/>
        <v>1.2000000000000002E-5</v>
      </c>
      <c r="N25" t="str">
        <f t="shared" si="6"/>
        <v/>
      </c>
      <c r="O25" t="str">
        <f t="shared" si="7"/>
        <v/>
      </c>
      <c r="P25">
        <f t="shared" si="8"/>
        <v>6</v>
      </c>
      <c r="Q25" t="str">
        <f>IF(O25="","",INDEX(Settings!$M$14:$M$34,P25))</f>
        <v/>
      </c>
      <c r="R25" t="str">
        <f t="shared" si="9"/>
        <v/>
      </c>
      <c r="S25" t="str">
        <f t="shared" si="10"/>
        <v/>
      </c>
      <c r="T25" t="str">
        <f t="shared" si="11"/>
        <v/>
      </c>
      <c r="U25" t="str">
        <f t="shared" si="12"/>
        <v/>
      </c>
      <c r="W25">
        <f>IFERROR(COUNTIFS(execution,Settings!X25,'Trade Review'!$I$17:$I$20100,"&gt;="&amp;1)*Settings!Y25,"")</f>
        <v>0</v>
      </c>
      <c r="X25">
        <f>IFERROR(COUNTIFS(emotion,Settings!Z25,'Trade Review'!$I$17:$I$20100,"&gt;="&amp;1)*Settings!AA25,"")</f>
        <v>0</v>
      </c>
      <c r="Y25" t="str">
        <f t="shared" si="13"/>
        <v/>
      </c>
      <c r="Z25" t="str">
        <f t="shared" si="14"/>
        <v/>
      </c>
      <c r="AA25" t="str">
        <f t="shared" si="15"/>
        <v/>
      </c>
      <c r="AB25" t="str">
        <f t="shared" si="16"/>
        <v/>
      </c>
      <c r="AC25">
        <f t="shared" si="17"/>
        <v>2</v>
      </c>
      <c r="AD25" t="str">
        <f>IF(AA25="","",INDEX(Settings!$X$14:$X$28,AC25))</f>
        <v/>
      </c>
      <c r="AE25" t="str">
        <f t="shared" si="18"/>
        <v/>
      </c>
      <c r="AF25" t="str">
        <f>IF(AD25="","",SUMIF(execution,AD25,'Trade Review'!$K$17:$K$20100))</f>
        <v/>
      </c>
      <c r="AI25">
        <f t="shared" si="19"/>
        <v>2</v>
      </c>
      <c r="AJ25" t="str">
        <f>IF($AB25="","",INDEX(Settings!$Z$14:$Z$28,$AI25))</f>
        <v/>
      </c>
      <c r="AK25" t="str">
        <f t="shared" si="20"/>
        <v/>
      </c>
      <c r="AL25" t="str">
        <f>IF(AJ25="","",SUMIF(emotion,AJ25,'Trade Review'!$K$17:$K$20100))</f>
        <v/>
      </c>
      <c r="AO25" t="e">
        <f>IF(AQ25&lt;0,"",MATCH('Stock Position'!E25,$AX$15:$AX$251,0))</f>
        <v>#N/A</v>
      </c>
      <c r="AP25" t="e">
        <f>IF(AR25&gt;0,"",MATCH('Stock Position'!N25,$AX$15:$AX$251,0))</f>
        <v>#N/A</v>
      </c>
      <c r="AQ25">
        <f>LARGE($AX$15:$AX$251,'Stock Position'!C25)</f>
        <v>0</v>
      </c>
      <c r="AR25">
        <f>SMALL($AX$15:$AX$251,'Stock Position'!C25)</f>
        <v>0</v>
      </c>
      <c r="AS25" t="str">
        <f>'Trade Log'!BT25</f>
        <v>EDC</v>
      </c>
      <c r="AT25">
        <f t="shared" si="22"/>
        <v>0</v>
      </c>
      <c r="AU25">
        <f t="shared" si="23"/>
        <v>1</v>
      </c>
      <c r="AV25" s="491" t="e">
        <f t="shared" si="24"/>
        <v>#DIV/0!</v>
      </c>
      <c r="AW25">
        <f t="shared" si="25"/>
        <v>708.27960000000166</v>
      </c>
      <c r="AX25" s="17">
        <f t="shared" si="26"/>
        <v>-708.27960000000166</v>
      </c>
      <c r="AY25" s="30">
        <f t="shared" si="27"/>
        <v>0</v>
      </c>
      <c r="AZ25" s="17" t="str">
        <f t="shared" si="28"/>
        <v>NA</v>
      </c>
      <c r="BA25" s="491" t="str">
        <f t="shared" si="29"/>
        <v>NA</v>
      </c>
      <c r="BB25">
        <f t="shared" si="30"/>
        <v>1</v>
      </c>
      <c r="BG25">
        <f>IFERROR(LARGE('Trade Log'!$BY$15:$BY$1672,'Trade Log'!C25),"")</f>
        <v>0</v>
      </c>
      <c r="BH25">
        <f>MATCH(BG25,'Trade Log'!$BY$15:$BY$1672,0)</f>
        <v>1</v>
      </c>
      <c r="BI25" t="str">
        <f>IF(BG25=0,"",INDEX('Trade Log'!$BT$15:$BT$1172,BH25))</f>
        <v/>
      </c>
      <c r="BJ25">
        <f>INDEX('Trade Log'!$BU$15:$BU$1172,BH25,0)</f>
        <v>0</v>
      </c>
      <c r="BK25">
        <f>INDEX('Trade Log'!$BV$15:$BV$1172,BH25,0)</f>
        <v>0</v>
      </c>
      <c r="BL25">
        <f t="shared" si="31"/>
        <v>0</v>
      </c>
      <c r="BM25" t="str">
        <f>INDEX('Trade Log'!$BX$15:$BX$977,MATCH(BI25,'Trade Log'!$BT$15:$BT$977,0))</f>
        <v>3</v>
      </c>
      <c r="BN25" s="10" t="e">
        <f t="shared" si="32"/>
        <v>#N/A</v>
      </c>
      <c r="BO25" s="496" t="e">
        <f>'Trade Log'!$I$10-BN25</f>
        <v>#N/A</v>
      </c>
      <c r="BP25" t="e">
        <f>INDEX('Trade Log'!$BQ$15:$BQ$20100,MATCH(BI25,'Trade Log'!$BT$15:$BT$20100,0))</f>
        <v>#N/A</v>
      </c>
      <c r="BS25" t="str">
        <f t="shared" si="36"/>
        <v/>
      </c>
      <c r="BT25" t="e">
        <f>INDEX(Settings!$Y$14:$Y$28,MATCH(BS25,Settings!$X$14:$X$28,0))</f>
        <v>#N/A</v>
      </c>
      <c r="BV25" t="str">
        <f t="shared" si="37"/>
        <v/>
      </c>
      <c r="BW25" t="str">
        <f t="shared" si="38"/>
        <v/>
      </c>
      <c r="BX25" t="str">
        <f t="shared" si="38"/>
        <v/>
      </c>
      <c r="BY25" t="str">
        <f t="shared" si="38"/>
        <v/>
      </c>
      <c r="BZ25" t="str">
        <f t="shared" si="38"/>
        <v/>
      </c>
      <c r="CA25" t="str">
        <f t="shared" si="38"/>
        <v/>
      </c>
      <c r="CB25" t="str">
        <f t="shared" si="38"/>
        <v/>
      </c>
      <c r="CC25" t="str">
        <f t="shared" si="38"/>
        <v/>
      </c>
      <c r="CD25" t="str">
        <f t="shared" si="38"/>
        <v/>
      </c>
      <c r="CE25" t="str">
        <f t="shared" si="38"/>
        <v/>
      </c>
      <c r="CF25" t="str">
        <f t="shared" si="38"/>
        <v/>
      </c>
      <c r="CG25" t="str">
        <f t="shared" si="39"/>
        <v/>
      </c>
      <c r="CH25" t="str">
        <f t="shared" si="39"/>
        <v/>
      </c>
      <c r="CI25" t="str">
        <f t="shared" si="39"/>
        <v/>
      </c>
      <c r="CJ25" t="str">
        <f t="shared" si="39"/>
        <v/>
      </c>
      <c r="CK25" t="str">
        <f t="shared" si="39"/>
        <v/>
      </c>
      <c r="CL25" t="str">
        <f t="shared" si="39"/>
        <v/>
      </c>
      <c r="CM25" t="str">
        <f t="shared" si="39"/>
        <v/>
      </c>
      <c r="CN25" t="str">
        <f t="shared" si="39"/>
        <v/>
      </c>
      <c r="CO25" t="str">
        <f t="shared" si="39"/>
        <v/>
      </c>
    </row>
    <row r="26" spans="1:94">
      <c r="A26" t="e">
        <f>IF(Settings!S26="",NA(),1)</f>
        <v>#N/A</v>
      </c>
      <c r="B26">
        <f t="shared" si="0"/>
        <v>0</v>
      </c>
      <c r="C26">
        <f>COUNTIFS(setupLog,Settings!M26,stats,2)</f>
        <v>0</v>
      </c>
      <c r="D26">
        <f>COUNTIFS(setupLog,Settings!M26,stats,1)</f>
        <v>0</v>
      </c>
      <c r="E26" t="str">
        <f t="shared" si="1"/>
        <v/>
      </c>
      <c r="F26">
        <f>SUMIFS(profitLoss,stats,2,setupLog,Settings!M26)</f>
        <v>0</v>
      </c>
      <c r="G26">
        <f>SUMIFS(profitLoss,stats,1,setupLog,Settings!M26)</f>
        <v>0</v>
      </c>
      <c r="H26">
        <f t="shared" si="2"/>
        <v>0</v>
      </c>
      <c r="I26">
        <f t="shared" si="3"/>
        <v>0</v>
      </c>
      <c r="J26" t="e">
        <f t="shared" si="4"/>
        <v>#DIV/0!</v>
      </c>
      <c r="K26" t="str">
        <f t="shared" si="5"/>
        <v/>
      </c>
      <c r="L26">
        <v>13</v>
      </c>
      <c r="M26">
        <f t="shared" si="21"/>
        <v>1.3000000000000003E-5</v>
      </c>
      <c r="N26" t="str">
        <f t="shared" si="6"/>
        <v/>
      </c>
      <c r="O26" t="str">
        <f t="shared" si="7"/>
        <v/>
      </c>
      <c r="P26">
        <f t="shared" si="8"/>
        <v>6</v>
      </c>
      <c r="Q26" t="str">
        <f>IF(O26="","",INDEX(Settings!$M$14:$M$34,P26))</f>
        <v/>
      </c>
      <c r="R26" t="str">
        <f t="shared" si="9"/>
        <v/>
      </c>
      <c r="S26" t="str">
        <f t="shared" si="10"/>
        <v/>
      </c>
      <c r="T26" t="str">
        <f t="shared" si="11"/>
        <v/>
      </c>
      <c r="U26" t="str">
        <f t="shared" si="12"/>
        <v/>
      </c>
      <c r="W26">
        <f>IFERROR(COUNTIFS(execution,Settings!X26,'Trade Review'!$I$17:$I$20100,"&gt;="&amp;1)*Settings!Y26,"")</f>
        <v>0</v>
      </c>
      <c r="X26">
        <f>IFERROR(COUNTIFS(emotion,Settings!Z26,'Trade Review'!$I$17:$I$20100,"&gt;="&amp;1)*Settings!AA26,"")</f>
        <v>0</v>
      </c>
      <c r="Y26" t="str">
        <f t="shared" si="13"/>
        <v/>
      </c>
      <c r="Z26" t="str">
        <f t="shared" si="14"/>
        <v/>
      </c>
      <c r="AA26" t="str">
        <f t="shared" si="15"/>
        <v/>
      </c>
      <c r="AB26" t="str">
        <f t="shared" si="16"/>
        <v/>
      </c>
      <c r="AC26">
        <f t="shared" si="17"/>
        <v>2</v>
      </c>
      <c r="AD26" t="str">
        <f>IF(AA26="","",INDEX(Settings!$X$14:$X$28,AC26))</f>
        <v/>
      </c>
      <c r="AE26" t="str">
        <f t="shared" si="18"/>
        <v/>
      </c>
      <c r="AF26" t="str">
        <f>IF(AD26="","",SUMIF(execution,AD26,'Trade Review'!$K$17:$K$20100))</f>
        <v/>
      </c>
      <c r="AI26">
        <f t="shared" si="19"/>
        <v>2</v>
      </c>
      <c r="AJ26" t="str">
        <f>IF($AB26="","",INDEX(Settings!$Z$14:$Z$28,$AI26))</f>
        <v/>
      </c>
      <c r="AK26" t="str">
        <f t="shared" si="20"/>
        <v/>
      </c>
      <c r="AL26" t="str">
        <f>IF(AJ26="","",SUMIF(emotion,AJ26,'Trade Review'!$K$17:$K$20100))</f>
        <v/>
      </c>
      <c r="AO26" t="e">
        <f>IF(AQ26&lt;0,"",MATCH('Stock Position'!E26,$AX$15:$AX$251,0))</f>
        <v>#N/A</v>
      </c>
      <c r="AP26" t="e">
        <f>IF(AR26&gt;0,"",MATCH('Stock Position'!N26,$AX$15:$AX$251,0))</f>
        <v>#N/A</v>
      </c>
      <c r="AQ26">
        <f>LARGE($AX$15:$AX$251,'Stock Position'!C26)</f>
        <v>0</v>
      </c>
      <c r="AR26">
        <f>SMALL($AX$15:$AX$251,'Stock Position'!C26)</f>
        <v>0</v>
      </c>
      <c r="AS26" t="str">
        <f>'Trade Log'!BT26</f>
        <v>EW</v>
      </c>
      <c r="AT26">
        <f t="shared" si="22"/>
        <v>0</v>
      </c>
      <c r="AU26">
        <f t="shared" si="23"/>
        <v>1</v>
      </c>
      <c r="AV26" s="491" t="e">
        <f t="shared" si="24"/>
        <v>#DIV/0!</v>
      </c>
      <c r="AW26">
        <f t="shared" si="25"/>
        <v>903.31150000000343</v>
      </c>
      <c r="AX26" s="17">
        <f t="shared" si="26"/>
        <v>-903.31150000000343</v>
      </c>
      <c r="AY26" s="30">
        <f t="shared" si="27"/>
        <v>0</v>
      </c>
      <c r="AZ26" s="17" t="str">
        <f t="shared" si="28"/>
        <v>NA</v>
      </c>
      <c r="BA26" s="491" t="str">
        <f t="shared" si="29"/>
        <v>NA</v>
      </c>
      <c r="BB26">
        <f t="shared" si="30"/>
        <v>1</v>
      </c>
      <c r="BG26">
        <f>IFERROR(LARGE('Trade Log'!$BY$15:$BY$1672,'Trade Log'!C26),"")</f>
        <v>0</v>
      </c>
      <c r="BH26">
        <f>MATCH(BG26,'Trade Log'!$BY$15:$BY$1672,0)</f>
        <v>1</v>
      </c>
      <c r="BI26" t="str">
        <f>IF(BG26=0,"",INDEX('Trade Log'!$BT$15:$BT$1172,BH26))</f>
        <v/>
      </c>
      <c r="BJ26">
        <f>INDEX('Trade Log'!$BU$15:$BU$1172,BH26,0)</f>
        <v>0</v>
      </c>
      <c r="BK26">
        <f>INDEX('Trade Log'!$BV$15:$BV$1172,BH26,0)</f>
        <v>0</v>
      </c>
      <c r="BL26">
        <f t="shared" si="31"/>
        <v>0</v>
      </c>
      <c r="BM26" t="str">
        <f>INDEX('Trade Log'!$BX$15:$BX$977,MATCH(BI26,'Trade Log'!$BT$15:$BT$977,0))</f>
        <v>3</v>
      </c>
      <c r="BN26" s="10" t="e">
        <f t="shared" si="32"/>
        <v>#N/A</v>
      </c>
      <c r="BO26" s="496" t="e">
        <f>'Trade Log'!$I$10-BN26</f>
        <v>#N/A</v>
      </c>
      <c r="BP26" t="e">
        <f>INDEX('Trade Log'!$BQ$15:$BQ$20100,MATCH(BI26,'Trade Log'!$BT$15:$BT$20100,0))</f>
        <v>#N/A</v>
      </c>
      <c r="BS26" t="str">
        <f t="shared" si="36"/>
        <v/>
      </c>
      <c r="BT26" t="e">
        <f>INDEX(Settings!$Y$14:$Y$28,MATCH(BS26,Settings!$X$14:$X$28,0))</f>
        <v>#N/A</v>
      </c>
      <c r="BV26" t="str">
        <f t="shared" si="37"/>
        <v/>
      </c>
      <c r="BW26" t="str">
        <f t="shared" si="38"/>
        <v/>
      </c>
      <c r="BX26" t="str">
        <f t="shared" si="38"/>
        <v/>
      </c>
      <c r="BY26" t="str">
        <f t="shared" si="38"/>
        <v/>
      </c>
      <c r="BZ26" t="str">
        <f t="shared" si="38"/>
        <v/>
      </c>
      <c r="CA26" t="str">
        <f t="shared" si="38"/>
        <v/>
      </c>
      <c r="CB26" t="str">
        <f t="shared" si="38"/>
        <v/>
      </c>
      <c r="CC26" t="str">
        <f t="shared" si="38"/>
        <v/>
      </c>
      <c r="CD26" t="str">
        <f t="shared" si="38"/>
        <v/>
      </c>
      <c r="CE26" t="str">
        <f t="shared" si="38"/>
        <v/>
      </c>
      <c r="CF26" t="str">
        <f t="shared" si="38"/>
        <v/>
      </c>
      <c r="CG26" t="str">
        <f t="shared" si="39"/>
        <v/>
      </c>
      <c r="CH26" t="str">
        <f t="shared" si="39"/>
        <v/>
      </c>
      <c r="CI26" t="str">
        <f t="shared" si="39"/>
        <v/>
      </c>
      <c r="CJ26" t="str">
        <f t="shared" si="39"/>
        <v/>
      </c>
      <c r="CK26" t="str">
        <f t="shared" si="39"/>
        <v/>
      </c>
      <c r="CL26" t="str">
        <f t="shared" si="39"/>
        <v/>
      </c>
      <c r="CM26" t="str">
        <f t="shared" si="39"/>
        <v/>
      </c>
      <c r="CN26" t="str">
        <f t="shared" si="39"/>
        <v/>
      </c>
      <c r="CO26" t="str">
        <f t="shared" si="39"/>
        <v/>
      </c>
    </row>
    <row r="27" spans="1:94">
      <c r="A27" t="e">
        <f>IF(Settings!S27="",NA(),1)</f>
        <v>#N/A</v>
      </c>
      <c r="B27">
        <f t="shared" si="0"/>
        <v>0</v>
      </c>
      <c r="C27">
        <f>COUNTIFS(setupLog,Settings!M27,stats,2)</f>
        <v>0</v>
      </c>
      <c r="D27">
        <f>COUNTIFS(setupLog,Settings!M27,stats,1)</f>
        <v>0</v>
      </c>
      <c r="E27" t="str">
        <f t="shared" si="1"/>
        <v/>
      </c>
      <c r="F27">
        <f>SUMIFS(profitLoss,stats,2,setupLog,Settings!M27)</f>
        <v>0</v>
      </c>
      <c r="G27">
        <f>SUMIFS(profitLoss,stats,1,setupLog,Settings!M27)</f>
        <v>0</v>
      </c>
      <c r="H27">
        <f t="shared" si="2"/>
        <v>0</v>
      </c>
      <c r="I27">
        <f t="shared" si="3"/>
        <v>0</v>
      </c>
      <c r="J27" t="e">
        <f t="shared" si="4"/>
        <v>#DIV/0!</v>
      </c>
      <c r="K27" t="str">
        <f t="shared" si="5"/>
        <v/>
      </c>
      <c r="L27">
        <v>14</v>
      </c>
      <c r="M27">
        <f t="shared" si="21"/>
        <v>1.4000000000000003E-5</v>
      </c>
      <c r="N27" t="str">
        <f t="shared" si="6"/>
        <v/>
      </c>
      <c r="O27" t="str">
        <f t="shared" si="7"/>
        <v/>
      </c>
      <c r="P27">
        <f t="shared" si="8"/>
        <v>6</v>
      </c>
      <c r="Q27" t="str">
        <f>IF(O27="","",INDEX(Settings!$M$14:$M$34,P27))</f>
        <v/>
      </c>
      <c r="R27" t="str">
        <f t="shared" si="9"/>
        <v/>
      </c>
      <c r="S27" t="str">
        <f t="shared" si="10"/>
        <v/>
      </c>
      <c r="T27" t="str">
        <f t="shared" si="11"/>
        <v/>
      </c>
      <c r="U27" t="str">
        <f t="shared" si="12"/>
        <v/>
      </c>
      <c r="W27">
        <f>IFERROR(COUNTIFS(execution,Settings!X27,'Trade Review'!$I$17:$I$20100,"&gt;="&amp;1)*Settings!Y27,"")</f>
        <v>0</v>
      </c>
      <c r="X27">
        <f>IFERROR(COUNTIFS(emotion,Settings!Z27,'Trade Review'!$I$17:$I$20100,"&gt;="&amp;1)*Settings!AA27,"")</f>
        <v>0</v>
      </c>
      <c r="Y27" t="str">
        <f t="shared" si="13"/>
        <v/>
      </c>
      <c r="Z27" t="str">
        <f t="shared" si="14"/>
        <v/>
      </c>
      <c r="AA27" t="str">
        <f t="shared" si="15"/>
        <v/>
      </c>
      <c r="AB27" t="str">
        <f t="shared" si="16"/>
        <v/>
      </c>
      <c r="AC27">
        <f t="shared" si="17"/>
        <v>2</v>
      </c>
      <c r="AD27" t="str">
        <f>IF(AA27="","",INDEX(Settings!$X$14:$X$28,AC27))</f>
        <v/>
      </c>
      <c r="AE27" t="str">
        <f t="shared" si="18"/>
        <v/>
      </c>
      <c r="AF27" t="str">
        <f>IF(AD27="","",SUMIF(execution,AD27,'Trade Review'!$K$17:$K$20100))</f>
        <v/>
      </c>
      <c r="AI27">
        <f t="shared" si="19"/>
        <v>2</v>
      </c>
      <c r="AJ27" t="str">
        <f>IF($AB27="","",INDEX(Settings!$Z$14:$Z$28,$AI27))</f>
        <v/>
      </c>
      <c r="AK27" t="str">
        <f t="shared" si="20"/>
        <v/>
      </c>
      <c r="AL27" t="str">
        <f>IF(AJ27="","",SUMIF(emotion,AJ27,'Trade Review'!$K$17:$K$20100))</f>
        <v/>
      </c>
      <c r="AO27" t="e">
        <f>IF(AQ27&lt;0,"",MATCH('Stock Position'!E27,$AX$15:$AX$251,0))</f>
        <v>#N/A</v>
      </c>
      <c r="AP27" t="e">
        <f>IF(AR27&gt;0,"",MATCH('Stock Position'!N27,$AX$15:$AX$251,0))</f>
        <v>#N/A</v>
      </c>
      <c r="AQ27">
        <f>LARGE($AX$15:$AX$251,'Stock Position'!C27)</f>
        <v>0</v>
      </c>
      <c r="AR27">
        <f>SMALL($AX$15:$AX$251,'Stock Position'!C27)</f>
        <v>0</v>
      </c>
      <c r="AS27" t="str">
        <f>'Trade Log'!BT27</f>
        <v/>
      </c>
      <c r="AT27">
        <f t="shared" si="22"/>
        <v>0</v>
      </c>
      <c r="AU27">
        <f t="shared" si="23"/>
        <v>0</v>
      </c>
      <c r="AV27" s="491" t="e">
        <f t="shared" si="24"/>
        <v>#DIV/0!</v>
      </c>
      <c r="AW27" t="e">
        <f t="shared" si="25"/>
        <v>#DIV/0!</v>
      </c>
      <c r="AX27" s="17">
        <f t="shared" si="26"/>
        <v>0</v>
      </c>
      <c r="AY27" s="30" t="e">
        <f t="shared" si="27"/>
        <v>#DIV/0!</v>
      </c>
      <c r="AZ27" s="17" t="str">
        <f t="shared" si="28"/>
        <v>NA</v>
      </c>
      <c r="BA27" s="491" t="str">
        <f t="shared" si="29"/>
        <v>NA</v>
      </c>
      <c r="BB27">
        <f t="shared" si="30"/>
        <v>0</v>
      </c>
      <c r="BG27">
        <f>IFERROR(LARGE('Trade Log'!$BY$15:$BY$1672,'Trade Log'!C27),"")</f>
        <v>0</v>
      </c>
      <c r="BH27">
        <f>MATCH(BG27,'Trade Log'!$BY$15:$BY$1672,0)</f>
        <v>1</v>
      </c>
      <c r="BI27" t="str">
        <f>IF(BG27=0,"",INDEX('Trade Log'!$BT$15:$BT$1172,BH27))</f>
        <v/>
      </c>
      <c r="BJ27">
        <f>INDEX('Trade Log'!$BU$15:$BU$1172,BH27,0)</f>
        <v>0</v>
      </c>
      <c r="BK27">
        <f>INDEX('Trade Log'!$BV$15:$BV$1172,BH27,0)</f>
        <v>0</v>
      </c>
      <c r="BL27">
        <f t="shared" si="31"/>
        <v>0</v>
      </c>
      <c r="BM27" t="str">
        <f>INDEX('Trade Log'!$BX$15:$BX$977,MATCH(BI27,'Trade Log'!$BT$15:$BT$977,0))</f>
        <v>3</v>
      </c>
      <c r="BN27" s="10" t="e">
        <f t="shared" si="32"/>
        <v>#N/A</v>
      </c>
      <c r="BO27" s="496" t="e">
        <f>'Trade Log'!$I$10-BN27</f>
        <v>#N/A</v>
      </c>
      <c r="BP27" t="e">
        <f>INDEX('Trade Log'!$BQ$15:$BQ$20100,MATCH(BI27,'Trade Log'!$BT$15:$BT$20100,0))</f>
        <v>#N/A</v>
      </c>
      <c r="BS27" t="str">
        <f t="shared" si="36"/>
        <v/>
      </c>
      <c r="BT27" t="e">
        <f>INDEX(Settings!$Y$14:$Y$28,MATCH(BS27,Settings!$X$14:$X$28,0))</f>
        <v>#N/A</v>
      </c>
      <c r="BV27" t="str">
        <f t="shared" si="37"/>
        <v/>
      </c>
      <c r="BW27" t="str">
        <f t="shared" si="38"/>
        <v/>
      </c>
      <c r="BX27" t="str">
        <f t="shared" si="38"/>
        <v/>
      </c>
      <c r="BY27" t="str">
        <f t="shared" si="38"/>
        <v/>
      </c>
      <c r="BZ27" t="str">
        <f t="shared" si="38"/>
        <v/>
      </c>
      <c r="CA27" t="str">
        <f t="shared" si="38"/>
        <v/>
      </c>
      <c r="CB27" t="str">
        <f t="shared" si="38"/>
        <v/>
      </c>
      <c r="CC27" t="str">
        <f t="shared" si="38"/>
        <v/>
      </c>
      <c r="CD27" t="str">
        <f t="shared" si="38"/>
        <v/>
      </c>
      <c r="CE27" t="str">
        <f t="shared" si="38"/>
        <v/>
      </c>
      <c r="CF27" t="str">
        <f t="shared" si="38"/>
        <v/>
      </c>
      <c r="CG27" t="str">
        <f t="shared" si="39"/>
        <v/>
      </c>
      <c r="CH27" t="str">
        <f t="shared" si="39"/>
        <v/>
      </c>
      <c r="CI27" t="str">
        <f t="shared" si="39"/>
        <v/>
      </c>
      <c r="CJ27" t="str">
        <f t="shared" si="39"/>
        <v/>
      </c>
      <c r="CK27" t="str">
        <f t="shared" si="39"/>
        <v/>
      </c>
      <c r="CL27" t="str">
        <f t="shared" si="39"/>
        <v/>
      </c>
      <c r="CM27" t="str">
        <f t="shared" si="39"/>
        <v/>
      </c>
      <c r="CN27" t="str">
        <f t="shared" si="39"/>
        <v/>
      </c>
      <c r="CO27" t="str">
        <f t="shared" si="39"/>
        <v/>
      </c>
    </row>
    <row r="28" spans="1:94">
      <c r="A28" t="e">
        <f>IF(Settings!S28="",NA(),1)</f>
        <v>#N/A</v>
      </c>
      <c r="B28">
        <f t="shared" si="0"/>
        <v>0</v>
      </c>
      <c r="C28">
        <f>COUNTIFS(setupLog,Settings!M28,stats,2)</f>
        <v>0</v>
      </c>
      <c r="D28">
        <f>COUNTIFS(setupLog,Settings!M28,stats,1)</f>
        <v>0</v>
      </c>
      <c r="E28" t="str">
        <f t="shared" si="1"/>
        <v/>
      </c>
      <c r="F28">
        <f>SUMIFS(profitLoss,stats,2,setupLog,Settings!M28)</f>
        <v>0</v>
      </c>
      <c r="G28">
        <f>SUMIFS(profitLoss,stats,1,setupLog,Settings!M28)</f>
        <v>0</v>
      </c>
      <c r="H28">
        <f t="shared" si="2"/>
        <v>0</v>
      </c>
      <c r="I28">
        <f t="shared" si="3"/>
        <v>0</v>
      </c>
      <c r="J28" t="e">
        <f t="shared" si="4"/>
        <v>#DIV/0!</v>
      </c>
      <c r="K28" t="str">
        <f t="shared" si="5"/>
        <v/>
      </c>
      <c r="L28">
        <v>15</v>
      </c>
      <c r="M28">
        <f t="shared" si="21"/>
        <v>1.5000000000000004E-5</v>
      </c>
      <c r="N28" t="str">
        <f t="shared" si="6"/>
        <v/>
      </c>
      <c r="O28" t="str">
        <f t="shared" si="7"/>
        <v/>
      </c>
      <c r="P28">
        <f t="shared" si="8"/>
        <v>6</v>
      </c>
      <c r="Q28" t="str">
        <f>IF(O28="","",INDEX(Settings!$M$14:$M$34,P28))</f>
        <v/>
      </c>
      <c r="R28" t="str">
        <f t="shared" si="9"/>
        <v/>
      </c>
      <c r="S28" t="str">
        <f t="shared" si="10"/>
        <v/>
      </c>
      <c r="T28" t="str">
        <f t="shared" si="11"/>
        <v/>
      </c>
      <c r="U28" t="str">
        <f t="shared" si="12"/>
        <v/>
      </c>
      <c r="W28">
        <f>IFERROR(COUNTIFS(execution,Settings!X28,'Trade Review'!$I$17:$I$20100,"&gt;="&amp;1)*Settings!Y28,"")</f>
        <v>0</v>
      </c>
      <c r="X28">
        <f>IFERROR(COUNTIFS(emotion,Settings!Z28,'Trade Review'!$I$17:$I$20100,"&gt;="&amp;1)*Settings!AA28,"")</f>
        <v>0</v>
      </c>
      <c r="Y28" t="str">
        <f t="shared" si="13"/>
        <v/>
      </c>
      <c r="Z28" t="str">
        <f t="shared" si="14"/>
        <v/>
      </c>
      <c r="AA28" t="str">
        <f t="shared" si="15"/>
        <v/>
      </c>
      <c r="AB28" t="str">
        <f t="shared" si="16"/>
        <v/>
      </c>
      <c r="AC28">
        <f t="shared" si="17"/>
        <v>2</v>
      </c>
      <c r="AD28" t="str">
        <f>IF(AA28="","",INDEX(Settings!$X$14:$X$28,AC28))</f>
        <v/>
      </c>
      <c r="AE28" t="str">
        <f t="shared" si="18"/>
        <v/>
      </c>
      <c r="AF28" t="str">
        <f>IF(AD28="","",SUMIF(execution,AD28,'Trade Review'!$K$17:$K$20100))</f>
        <v/>
      </c>
      <c r="AI28">
        <f t="shared" si="19"/>
        <v>2</v>
      </c>
      <c r="AJ28" t="str">
        <f>IF($AB28="","",INDEX(Settings!$Z$14:$Z$28,$AI28))</f>
        <v/>
      </c>
      <c r="AK28" t="str">
        <f t="shared" si="20"/>
        <v/>
      </c>
      <c r="AL28" t="str">
        <f>IF(AJ28="","",SUMIF(emotion,AJ28,'Trade Review'!$K$17:$K$20100))</f>
        <v/>
      </c>
      <c r="AO28" t="e">
        <f>IF(AQ28&lt;0,"",MATCH('Stock Position'!E28,$AX$15:$AX$251,0))</f>
        <v>#N/A</v>
      </c>
      <c r="AP28" t="e">
        <f>IF(AR28&gt;0,"",MATCH('Stock Position'!N28,$AX$15:$AX$251,0))</f>
        <v>#N/A</v>
      </c>
      <c r="AQ28">
        <f>LARGE($AX$15:$AX$251,'Stock Position'!C28)</f>
        <v>0</v>
      </c>
      <c r="AR28">
        <f>SMALL($AX$15:$AX$251,'Stock Position'!C28)</f>
        <v>0</v>
      </c>
      <c r="AS28" t="str">
        <f>'Trade Log'!BT28</f>
        <v/>
      </c>
      <c r="AT28">
        <f t="shared" si="22"/>
        <v>0</v>
      </c>
      <c r="AU28">
        <f t="shared" si="23"/>
        <v>0</v>
      </c>
      <c r="AV28" s="491" t="e">
        <f t="shared" si="24"/>
        <v>#DIV/0!</v>
      </c>
      <c r="AW28" t="e">
        <f t="shared" si="25"/>
        <v>#DIV/0!</v>
      </c>
      <c r="AX28" s="17">
        <f t="shared" si="26"/>
        <v>0</v>
      </c>
      <c r="AY28" s="30" t="e">
        <f t="shared" si="27"/>
        <v>#DIV/0!</v>
      </c>
      <c r="AZ28" s="17" t="str">
        <f t="shared" si="28"/>
        <v>NA</v>
      </c>
      <c r="BA28" s="491" t="str">
        <f t="shared" si="29"/>
        <v>NA</v>
      </c>
      <c r="BB28">
        <f t="shared" si="30"/>
        <v>0</v>
      </c>
      <c r="BG28">
        <f>IFERROR(LARGE('Trade Log'!$BY$15:$BY$1672,'Trade Log'!C28),"")</f>
        <v>0</v>
      </c>
      <c r="BH28">
        <f>MATCH(BG28,'Trade Log'!$BY$15:$BY$1672,0)</f>
        <v>1</v>
      </c>
      <c r="BI28" t="str">
        <f>IF(BG28=0,"",INDEX('Trade Log'!$BT$15:$BT$1172,BH28))</f>
        <v/>
      </c>
      <c r="BJ28">
        <f>INDEX('Trade Log'!$BU$15:$BU$1172,BH28,0)</f>
        <v>0</v>
      </c>
      <c r="BK28">
        <f>INDEX('Trade Log'!$BV$15:$BV$1172,BH28,0)</f>
        <v>0</v>
      </c>
      <c r="BL28">
        <f t="shared" si="31"/>
        <v>0</v>
      </c>
      <c r="BM28" t="str">
        <f>INDEX('Trade Log'!$BX$15:$BX$977,MATCH(BI28,'Trade Log'!$BT$15:$BT$977,0))</f>
        <v>3</v>
      </c>
      <c r="BN28" s="10" t="e">
        <f t="shared" si="32"/>
        <v>#N/A</v>
      </c>
      <c r="BO28" s="496" t="e">
        <f>'Trade Log'!$I$10-BN28</f>
        <v>#N/A</v>
      </c>
      <c r="BP28" t="e">
        <f>INDEX('Trade Log'!$BQ$15:$BQ$20100,MATCH(BI28,'Trade Log'!$BT$15:$BT$20100,0))</f>
        <v>#N/A</v>
      </c>
      <c r="BS28" t="str">
        <f t="shared" si="36"/>
        <v/>
      </c>
      <c r="BT28" t="e">
        <f>INDEX(Settings!$Y$14:$Y$28,MATCH(BS28,Settings!$X$14:$X$28,0))</f>
        <v>#N/A</v>
      </c>
      <c r="BV28" t="str">
        <f t="shared" si="37"/>
        <v/>
      </c>
      <c r="BW28" t="str">
        <f t="shared" si="38"/>
        <v/>
      </c>
      <c r="BX28" t="str">
        <f t="shared" si="38"/>
        <v/>
      </c>
      <c r="BY28" t="str">
        <f t="shared" si="38"/>
        <v/>
      </c>
      <c r="BZ28" t="str">
        <f t="shared" si="38"/>
        <v/>
      </c>
      <c r="CA28" t="str">
        <f t="shared" si="38"/>
        <v/>
      </c>
      <c r="CB28" t="str">
        <f t="shared" si="38"/>
        <v/>
      </c>
      <c r="CC28" t="str">
        <f t="shared" si="38"/>
        <v/>
      </c>
      <c r="CD28" t="str">
        <f t="shared" si="38"/>
        <v/>
      </c>
      <c r="CE28" t="str">
        <f t="shared" si="38"/>
        <v/>
      </c>
      <c r="CF28" t="str">
        <f t="shared" si="38"/>
        <v/>
      </c>
      <c r="CG28" t="str">
        <f t="shared" si="39"/>
        <v/>
      </c>
      <c r="CH28" t="str">
        <f t="shared" si="39"/>
        <v/>
      </c>
      <c r="CI28" t="str">
        <f t="shared" si="39"/>
        <v/>
      </c>
      <c r="CJ28" t="str">
        <f t="shared" si="39"/>
        <v/>
      </c>
      <c r="CK28" t="str">
        <f t="shared" si="39"/>
        <v/>
      </c>
      <c r="CL28" t="str">
        <f t="shared" si="39"/>
        <v/>
      </c>
      <c r="CM28" t="str">
        <f t="shared" si="39"/>
        <v/>
      </c>
      <c r="CN28" t="str">
        <f t="shared" si="39"/>
        <v/>
      </c>
      <c r="CO28" t="str">
        <f t="shared" si="39"/>
        <v/>
      </c>
    </row>
    <row r="29" spans="1:94">
      <c r="A29" t="e">
        <f>IF(Settings!S29="",NA(),1)</f>
        <v>#N/A</v>
      </c>
      <c r="B29">
        <f t="shared" si="0"/>
        <v>0</v>
      </c>
      <c r="C29">
        <f>COUNTIFS(setupLog,Settings!M29,stats,2)</f>
        <v>0</v>
      </c>
      <c r="D29">
        <f>COUNTIFS(setupLog,Settings!M29,stats,1)</f>
        <v>0</v>
      </c>
      <c r="E29" t="str">
        <f t="shared" si="1"/>
        <v/>
      </c>
      <c r="F29">
        <f>SUMIFS(profitLoss,stats,2,setupLog,Settings!M29)</f>
        <v>0</v>
      </c>
      <c r="G29">
        <f>SUMIFS(profitLoss,stats,1,setupLog,Settings!M29)</f>
        <v>0</v>
      </c>
      <c r="H29">
        <f t="shared" si="2"/>
        <v>0</v>
      </c>
      <c r="I29">
        <f t="shared" si="3"/>
        <v>0</v>
      </c>
      <c r="J29" t="e">
        <f t="shared" si="4"/>
        <v>#DIV/0!</v>
      </c>
      <c r="K29" t="str">
        <f t="shared" si="5"/>
        <v/>
      </c>
      <c r="L29">
        <v>16</v>
      </c>
      <c r="M29">
        <f t="shared" si="21"/>
        <v>1.6000000000000003E-5</v>
      </c>
      <c r="N29" t="str">
        <f t="shared" si="6"/>
        <v/>
      </c>
      <c r="O29" t="str">
        <f t="shared" si="7"/>
        <v/>
      </c>
      <c r="P29">
        <f t="shared" si="8"/>
        <v>6</v>
      </c>
      <c r="Q29" t="str">
        <f>IF(O29="","",INDEX(Settings!$M$14:$M$34,P29))</f>
        <v/>
      </c>
      <c r="R29" t="str">
        <f t="shared" si="9"/>
        <v/>
      </c>
      <c r="S29" t="str">
        <f t="shared" si="10"/>
        <v/>
      </c>
      <c r="T29" t="str">
        <f t="shared" si="11"/>
        <v/>
      </c>
      <c r="U29" t="str">
        <f t="shared" si="12"/>
        <v/>
      </c>
      <c r="AO29" t="e">
        <f>IF(AQ29&lt;0,"",MATCH('Stock Position'!E29,$AX$15:$AX$251,0))</f>
        <v>#N/A</v>
      </c>
      <c r="AP29" t="e">
        <f>IF(AR29&gt;0,"",MATCH('Stock Position'!N29,$AX$15:$AX$251,0))</f>
        <v>#N/A</v>
      </c>
      <c r="AQ29">
        <f>LARGE($AX$15:$AX$251,'Stock Position'!C29)</f>
        <v>0</v>
      </c>
      <c r="AR29">
        <f>SMALL($AX$15:$AX$251,'Stock Position'!C29)</f>
        <v>0</v>
      </c>
      <c r="AS29" t="str">
        <f>'Trade Log'!BT29</f>
        <v/>
      </c>
      <c r="AT29">
        <f t="shared" si="22"/>
        <v>0</v>
      </c>
      <c r="AU29">
        <f t="shared" si="23"/>
        <v>0</v>
      </c>
      <c r="AV29" s="491" t="e">
        <f t="shared" si="24"/>
        <v>#DIV/0!</v>
      </c>
      <c r="AW29" t="e">
        <f t="shared" si="25"/>
        <v>#DIV/0!</v>
      </c>
      <c r="AX29" s="17">
        <f t="shared" si="26"/>
        <v>0</v>
      </c>
      <c r="AY29" s="30" t="e">
        <f t="shared" si="27"/>
        <v>#DIV/0!</v>
      </c>
      <c r="AZ29" s="17" t="str">
        <f t="shared" si="28"/>
        <v>NA</v>
      </c>
      <c r="BA29" s="491" t="str">
        <f t="shared" si="29"/>
        <v>NA</v>
      </c>
      <c r="BB29">
        <f t="shared" si="30"/>
        <v>0</v>
      </c>
      <c r="BG29">
        <f>IFERROR(LARGE('Trade Log'!$BY$15:$BY$1672,'Trade Log'!C29),"")</f>
        <v>0</v>
      </c>
      <c r="BH29">
        <f>MATCH(BG29,'Trade Log'!$BY$15:$BY$1672,0)</f>
        <v>1</v>
      </c>
      <c r="BI29" t="str">
        <f>IF(BG29=0,"",INDEX('Trade Log'!$BT$15:$BT$1172,BH29))</f>
        <v/>
      </c>
      <c r="BJ29">
        <f>INDEX('Trade Log'!$BU$15:$BU$1172,BH29,0)</f>
        <v>0</v>
      </c>
      <c r="BK29">
        <f>INDEX('Trade Log'!$BV$15:$BV$1172,BH29,0)</f>
        <v>0</v>
      </c>
      <c r="BL29">
        <f t="shared" si="31"/>
        <v>0</v>
      </c>
      <c r="BM29" t="str">
        <f>INDEX('Trade Log'!$BX$15:$BX$977,MATCH(BI29,'Trade Log'!$BT$15:$BT$977,0))</f>
        <v>3</v>
      </c>
      <c r="BN29" s="10" t="e">
        <f t="shared" si="32"/>
        <v>#N/A</v>
      </c>
      <c r="BO29" s="496" t="e">
        <f>'Trade Log'!$I$10-BN29</f>
        <v>#N/A</v>
      </c>
      <c r="BP29" t="e">
        <f>INDEX('Trade Log'!$BQ$15:$BQ$20100,MATCH(BI29,'Trade Log'!$BT$15:$BT$20100,0))</f>
        <v>#N/A</v>
      </c>
      <c r="BS29" t="str">
        <f t="shared" si="36"/>
        <v/>
      </c>
      <c r="BT29" t="e">
        <f>INDEX(Settings!$Y$14:$Y$28,MATCH(BS29,Settings!$X$14:$X$28,0))</f>
        <v>#N/A</v>
      </c>
      <c r="BV29" t="str">
        <f t="shared" si="37"/>
        <v/>
      </c>
      <c r="BW29" t="str">
        <f t="shared" si="38"/>
        <v/>
      </c>
      <c r="BX29" t="str">
        <f t="shared" si="38"/>
        <v/>
      </c>
      <c r="BY29" t="str">
        <f t="shared" si="38"/>
        <v/>
      </c>
      <c r="BZ29" t="str">
        <f t="shared" si="38"/>
        <v/>
      </c>
      <c r="CA29" t="str">
        <f t="shared" si="38"/>
        <v/>
      </c>
      <c r="CB29" t="str">
        <f t="shared" si="38"/>
        <v/>
      </c>
      <c r="CC29" t="str">
        <f t="shared" si="38"/>
        <v/>
      </c>
      <c r="CD29" t="str">
        <f t="shared" si="38"/>
        <v/>
      </c>
      <c r="CE29" t="str">
        <f t="shared" si="38"/>
        <v/>
      </c>
      <c r="CF29" t="str">
        <f t="shared" si="38"/>
        <v/>
      </c>
      <c r="CG29" t="str">
        <f t="shared" si="39"/>
        <v/>
      </c>
      <c r="CH29" t="str">
        <f t="shared" si="39"/>
        <v/>
      </c>
      <c r="CI29" t="str">
        <f t="shared" si="39"/>
        <v/>
      </c>
      <c r="CJ29" t="str">
        <f t="shared" si="39"/>
        <v/>
      </c>
      <c r="CK29" t="str">
        <f t="shared" si="39"/>
        <v/>
      </c>
      <c r="CL29" t="str">
        <f t="shared" si="39"/>
        <v/>
      </c>
      <c r="CM29" t="str">
        <f t="shared" si="39"/>
        <v/>
      </c>
      <c r="CN29" t="str">
        <f t="shared" si="39"/>
        <v/>
      </c>
      <c r="CO29" t="str">
        <f t="shared" si="39"/>
        <v/>
      </c>
    </row>
    <row r="30" spans="1:94">
      <c r="A30" t="e">
        <f>IF(Settings!S30="",NA(),1)</f>
        <v>#N/A</v>
      </c>
      <c r="B30">
        <f t="shared" si="0"/>
        <v>0</v>
      </c>
      <c r="C30">
        <f>COUNTIFS(setupLog,Settings!M30,stats,2)</f>
        <v>0</v>
      </c>
      <c r="D30">
        <f>COUNTIFS(setupLog,Settings!M30,stats,1)</f>
        <v>0</v>
      </c>
      <c r="E30" t="str">
        <f t="shared" si="1"/>
        <v/>
      </c>
      <c r="F30">
        <f>SUMIFS(profitLoss,stats,2,setupLog,Settings!M30)</f>
        <v>0</v>
      </c>
      <c r="G30">
        <f>SUMIFS(profitLoss,stats,1,setupLog,Settings!M30)</f>
        <v>0</v>
      </c>
      <c r="H30">
        <f t="shared" si="2"/>
        <v>0</v>
      </c>
      <c r="I30">
        <f t="shared" si="3"/>
        <v>0</v>
      </c>
      <c r="J30" t="e">
        <f t="shared" si="4"/>
        <v>#DIV/0!</v>
      </c>
      <c r="K30" t="str">
        <f t="shared" si="5"/>
        <v/>
      </c>
      <c r="L30">
        <v>17</v>
      </c>
      <c r="M30">
        <f t="shared" si="21"/>
        <v>1.7000000000000003E-5</v>
      </c>
      <c r="N30" t="str">
        <f t="shared" si="6"/>
        <v/>
      </c>
      <c r="O30" t="str">
        <f t="shared" si="7"/>
        <v/>
      </c>
      <c r="P30">
        <f t="shared" si="8"/>
        <v>6</v>
      </c>
      <c r="Q30" t="str">
        <f>IF(O30="","",INDEX(Settings!$M$14:$M$34,P30))</f>
        <v/>
      </c>
      <c r="R30" t="str">
        <f t="shared" si="9"/>
        <v/>
      </c>
      <c r="S30" t="str">
        <f t="shared" si="10"/>
        <v/>
      </c>
      <c r="T30" t="str">
        <f t="shared" si="11"/>
        <v/>
      </c>
      <c r="U30" t="str">
        <f t="shared" si="12"/>
        <v/>
      </c>
      <c r="AO30" t="e">
        <f>IF(AQ30&lt;0,"",MATCH('Stock Position'!E30,$AX$15:$AX$251,0))</f>
        <v>#N/A</v>
      </c>
      <c r="AP30" t="e">
        <f>IF(AR30&gt;0,"",MATCH('Stock Position'!N30,$AX$15:$AX$251,0))</f>
        <v>#N/A</v>
      </c>
      <c r="AQ30">
        <f>LARGE($AX$15:$AX$251,'Stock Position'!C30)</f>
        <v>0</v>
      </c>
      <c r="AR30">
        <f>SMALL($AX$15:$AX$251,'Stock Position'!C30)</f>
        <v>0</v>
      </c>
      <c r="AS30" t="str">
        <f>'Trade Log'!BT30</f>
        <v/>
      </c>
      <c r="AT30">
        <f t="shared" si="22"/>
        <v>0</v>
      </c>
      <c r="AU30">
        <f t="shared" si="23"/>
        <v>0</v>
      </c>
      <c r="AV30" s="491" t="e">
        <f t="shared" si="24"/>
        <v>#DIV/0!</v>
      </c>
      <c r="AW30" t="e">
        <f t="shared" si="25"/>
        <v>#DIV/0!</v>
      </c>
      <c r="AX30" s="17">
        <f t="shared" si="26"/>
        <v>0</v>
      </c>
      <c r="AY30" s="30" t="e">
        <f t="shared" si="27"/>
        <v>#DIV/0!</v>
      </c>
      <c r="AZ30" s="17" t="str">
        <f t="shared" si="28"/>
        <v>NA</v>
      </c>
      <c r="BA30" s="491" t="str">
        <f t="shared" si="29"/>
        <v>NA</v>
      </c>
      <c r="BB30">
        <f t="shared" si="30"/>
        <v>0</v>
      </c>
      <c r="BG30">
        <f>IFERROR(LARGE('Trade Log'!$BY$15:$BY$1672,'Trade Log'!C30),"")</f>
        <v>0</v>
      </c>
      <c r="BH30">
        <f>MATCH(BG30,'Trade Log'!$BY$15:$BY$1672,0)</f>
        <v>1</v>
      </c>
      <c r="BI30" t="str">
        <f>IF(BG30=0,"",INDEX('Trade Log'!$BT$15:$BT$1172,BH30))</f>
        <v/>
      </c>
      <c r="BJ30">
        <f>INDEX('Trade Log'!$BU$15:$BU$1172,BH30,0)</f>
        <v>0</v>
      </c>
      <c r="BK30">
        <f>INDEX('Trade Log'!$BV$15:$BV$1172,BH30,0)</f>
        <v>0</v>
      </c>
      <c r="BL30">
        <f t="shared" si="31"/>
        <v>0</v>
      </c>
      <c r="BM30" t="str">
        <f>INDEX('Trade Log'!$BX$15:$BX$977,MATCH(BI30,'Trade Log'!$BT$15:$BT$977,0))</f>
        <v>3</v>
      </c>
      <c r="BN30" s="10" t="e">
        <f t="shared" si="32"/>
        <v>#N/A</v>
      </c>
      <c r="BO30" s="496" t="e">
        <f>'Trade Log'!$I$10-BN30</f>
        <v>#N/A</v>
      </c>
      <c r="BP30" t="e">
        <f>INDEX('Trade Log'!$BQ$15:$BQ$20100,MATCH(BI30,'Trade Log'!$BT$15:$BT$20100,0))</f>
        <v>#N/A</v>
      </c>
      <c r="BS30" t="str">
        <f t="shared" si="36"/>
        <v/>
      </c>
      <c r="BT30" t="e">
        <f>INDEX(Settings!$Y$14:$Y$28,MATCH(BS30,Settings!$X$14:$X$28,0))</f>
        <v>#N/A</v>
      </c>
      <c r="BV30" t="str">
        <f t="shared" si="37"/>
        <v/>
      </c>
      <c r="BW30" t="str">
        <f t="shared" si="38"/>
        <v/>
      </c>
      <c r="BX30" t="str">
        <f t="shared" si="38"/>
        <v/>
      </c>
      <c r="BY30" t="str">
        <f t="shared" si="38"/>
        <v/>
      </c>
      <c r="BZ30" t="str">
        <f t="shared" si="38"/>
        <v/>
      </c>
      <c r="CA30" t="str">
        <f t="shared" si="38"/>
        <v/>
      </c>
      <c r="CB30" t="str">
        <f t="shared" si="38"/>
        <v/>
      </c>
      <c r="CC30" t="str">
        <f t="shared" si="38"/>
        <v/>
      </c>
      <c r="CD30" t="str">
        <f t="shared" si="38"/>
        <v/>
      </c>
      <c r="CE30" t="str">
        <f t="shared" si="38"/>
        <v/>
      </c>
      <c r="CF30" t="str">
        <f t="shared" si="38"/>
        <v/>
      </c>
      <c r="CG30" t="str">
        <f t="shared" si="39"/>
        <v/>
      </c>
      <c r="CH30" t="str">
        <f t="shared" si="39"/>
        <v/>
      </c>
      <c r="CI30" t="str">
        <f t="shared" si="39"/>
        <v/>
      </c>
      <c r="CJ30" t="str">
        <f t="shared" si="39"/>
        <v/>
      </c>
      <c r="CK30" t="str">
        <f t="shared" si="39"/>
        <v/>
      </c>
      <c r="CL30" t="str">
        <f t="shared" si="39"/>
        <v/>
      </c>
      <c r="CM30" t="str">
        <f t="shared" si="39"/>
        <v/>
      </c>
      <c r="CN30" t="str">
        <f t="shared" si="39"/>
        <v/>
      </c>
      <c r="CO30" t="str">
        <f t="shared" si="39"/>
        <v/>
      </c>
    </row>
    <row r="31" spans="1:94">
      <c r="A31" t="e">
        <f>IF(Settings!S31="",NA(),1)</f>
        <v>#N/A</v>
      </c>
      <c r="B31">
        <f t="shared" si="0"/>
        <v>0</v>
      </c>
      <c r="C31">
        <f>COUNTIFS(setupLog,Settings!M31,stats,2)</f>
        <v>0</v>
      </c>
      <c r="D31">
        <f>COUNTIFS(setupLog,Settings!M31,stats,1)</f>
        <v>0</v>
      </c>
      <c r="E31" t="str">
        <f t="shared" si="1"/>
        <v/>
      </c>
      <c r="F31">
        <f>SUMIFS(profitLoss,stats,2,setupLog,Settings!M31)</f>
        <v>0</v>
      </c>
      <c r="G31">
        <f>SUMIFS(profitLoss,stats,1,setupLog,Settings!M31)</f>
        <v>0</v>
      </c>
      <c r="H31">
        <f t="shared" si="2"/>
        <v>0</v>
      </c>
      <c r="I31">
        <f t="shared" si="3"/>
        <v>0</v>
      </c>
      <c r="J31" t="e">
        <f t="shared" si="4"/>
        <v>#DIV/0!</v>
      </c>
      <c r="K31" t="str">
        <f t="shared" si="5"/>
        <v/>
      </c>
      <c r="L31">
        <v>18</v>
      </c>
      <c r="M31">
        <f t="shared" si="21"/>
        <v>1.8000000000000004E-5</v>
      </c>
      <c r="N31" t="str">
        <f t="shared" si="6"/>
        <v/>
      </c>
      <c r="O31" t="str">
        <f t="shared" si="7"/>
        <v/>
      </c>
      <c r="P31">
        <f t="shared" si="8"/>
        <v>6</v>
      </c>
      <c r="Q31" t="str">
        <f>IF(O31="","",INDEX(Settings!$M$14:$M$34,P31))</f>
        <v/>
      </c>
      <c r="R31" t="str">
        <f t="shared" si="9"/>
        <v/>
      </c>
      <c r="S31" t="str">
        <f t="shared" si="10"/>
        <v/>
      </c>
      <c r="T31" t="str">
        <f t="shared" si="11"/>
        <v/>
      </c>
      <c r="U31" t="str">
        <f t="shared" si="12"/>
        <v/>
      </c>
      <c r="AO31" t="e">
        <f>IF(AQ31&lt;0,"",MATCH('Stock Position'!E31,$AX$15:$AX$251,0))</f>
        <v>#N/A</v>
      </c>
      <c r="AP31" t="e">
        <f>IF(AR31&gt;0,"",MATCH('Stock Position'!N31,$AX$15:$AX$251,0))</f>
        <v>#N/A</v>
      </c>
      <c r="AQ31">
        <f>LARGE($AX$15:$AX$251,'Stock Position'!C31)</f>
        <v>0</v>
      </c>
      <c r="AR31">
        <f>SMALL($AX$15:$AX$251,'Stock Position'!C31)</f>
        <v>0</v>
      </c>
      <c r="AS31" t="str">
        <f>'Trade Log'!BT31</f>
        <v/>
      </c>
      <c r="AT31">
        <f t="shared" si="22"/>
        <v>0</v>
      </c>
      <c r="AU31">
        <f t="shared" si="23"/>
        <v>0</v>
      </c>
      <c r="AV31" s="491" t="e">
        <f t="shared" si="24"/>
        <v>#DIV/0!</v>
      </c>
      <c r="AW31" t="e">
        <f t="shared" si="25"/>
        <v>#DIV/0!</v>
      </c>
      <c r="AX31" s="17">
        <f t="shared" si="26"/>
        <v>0</v>
      </c>
      <c r="AY31" s="30" t="e">
        <f t="shared" si="27"/>
        <v>#DIV/0!</v>
      </c>
      <c r="AZ31" s="17" t="str">
        <f t="shared" si="28"/>
        <v>NA</v>
      </c>
      <c r="BA31" s="491" t="str">
        <f t="shared" si="29"/>
        <v>NA</v>
      </c>
      <c r="BB31">
        <f t="shared" si="30"/>
        <v>0</v>
      </c>
      <c r="BG31">
        <f>IFERROR(LARGE('Trade Log'!$BY$15:$BY$1672,'Trade Log'!C31),"")</f>
        <v>0</v>
      </c>
      <c r="BH31">
        <f>MATCH(BG31,'Trade Log'!$BY$15:$BY$1672,0)</f>
        <v>1</v>
      </c>
      <c r="BI31" t="str">
        <f>IF(BG31=0,"",INDEX('Trade Log'!$BT$15:$BT$1172,BH31))</f>
        <v/>
      </c>
      <c r="BJ31">
        <f>INDEX('Trade Log'!$BU$15:$BU$1172,BH31,0)</f>
        <v>0</v>
      </c>
      <c r="BK31">
        <f>INDEX('Trade Log'!$BV$15:$BV$1172,BH31,0)</f>
        <v>0</v>
      </c>
      <c r="BL31">
        <f t="shared" si="31"/>
        <v>0</v>
      </c>
      <c r="BM31" t="str">
        <f>INDEX('Trade Log'!$BX$15:$BX$977,MATCH(BI31,'Trade Log'!$BT$15:$BT$977,0))</f>
        <v>3</v>
      </c>
      <c r="BN31" s="10" t="e">
        <f t="shared" si="32"/>
        <v>#N/A</v>
      </c>
      <c r="BO31" s="496" t="e">
        <f>'Trade Log'!$I$10-BN31</f>
        <v>#N/A</v>
      </c>
      <c r="BP31" t="e">
        <f>INDEX('Trade Log'!$BQ$15:$BQ$20100,MATCH(BI31,'Trade Log'!$BT$15:$BT$20100,0))</f>
        <v>#N/A</v>
      </c>
      <c r="BS31" t="str">
        <f t="shared" si="36"/>
        <v/>
      </c>
      <c r="BT31" t="e">
        <f>INDEX(Settings!$Y$14:$Y$28,MATCH(BS31,Settings!$X$14:$X$28,0))</f>
        <v>#N/A</v>
      </c>
      <c r="BV31" t="str">
        <f t="shared" si="37"/>
        <v/>
      </c>
      <c r="BW31" t="str">
        <f t="shared" si="38"/>
        <v/>
      </c>
      <c r="BX31" t="str">
        <f t="shared" si="38"/>
        <v/>
      </c>
      <c r="BY31" t="str">
        <f t="shared" si="38"/>
        <v/>
      </c>
      <c r="BZ31" t="str">
        <f t="shared" si="38"/>
        <v/>
      </c>
      <c r="CA31" t="str">
        <f t="shared" si="38"/>
        <v/>
      </c>
      <c r="CB31" t="str">
        <f t="shared" si="38"/>
        <v/>
      </c>
      <c r="CC31" t="str">
        <f t="shared" si="38"/>
        <v/>
      </c>
      <c r="CD31" t="str">
        <f t="shared" si="38"/>
        <v/>
      </c>
      <c r="CE31" t="str">
        <f t="shared" si="38"/>
        <v/>
      </c>
      <c r="CF31" t="str">
        <f t="shared" si="38"/>
        <v/>
      </c>
      <c r="CG31" t="str">
        <f t="shared" si="39"/>
        <v/>
      </c>
      <c r="CH31" t="str">
        <f t="shared" si="39"/>
        <v/>
      </c>
      <c r="CI31" t="str">
        <f t="shared" si="39"/>
        <v/>
      </c>
      <c r="CJ31" t="str">
        <f t="shared" si="39"/>
        <v/>
      </c>
      <c r="CK31" t="str">
        <f t="shared" si="39"/>
        <v/>
      </c>
      <c r="CL31" t="str">
        <f t="shared" si="39"/>
        <v/>
      </c>
      <c r="CM31" t="str">
        <f t="shared" si="39"/>
        <v/>
      </c>
      <c r="CN31" t="str">
        <f t="shared" si="39"/>
        <v/>
      </c>
      <c r="CO31" t="str">
        <f t="shared" si="39"/>
        <v/>
      </c>
    </row>
    <row r="32" spans="1:94">
      <c r="A32" t="e">
        <f>IF(Settings!S32="",NA(),1)</f>
        <v>#N/A</v>
      </c>
      <c r="B32">
        <f t="shared" si="0"/>
        <v>0</v>
      </c>
      <c r="C32">
        <f>COUNTIFS(setupLog,Settings!M32,stats,2)</f>
        <v>0</v>
      </c>
      <c r="D32">
        <f>COUNTIFS(setupLog,Settings!M32,stats,1)</f>
        <v>0</v>
      </c>
      <c r="E32" t="str">
        <f t="shared" si="1"/>
        <v/>
      </c>
      <c r="F32">
        <f>SUMIFS(profitLoss,stats,2,setupLog,Settings!M32)</f>
        <v>0</v>
      </c>
      <c r="G32">
        <f>SUMIFS(profitLoss,stats,1,setupLog,Settings!M32)</f>
        <v>0</v>
      </c>
      <c r="H32">
        <f t="shared" si="2"/>
        <v>0</v>
      </c>
      <c r="I32">
        <f t="shared" si="3"/>
        <v>0</v>
      </c>
      <c r="J32" t="e">
        <f t="shared" si="4"/>
        <v>#DIV/0!</v>
      </c>
      <c r="K32" t="str">
        <f t="shared" si="5"/>
        <v/>
      </c>
      <c r="L32">
        <v>19</v>
      </c>
      <c r="M32">
        <f t="shared" si="21"/>
        <v>1.9000000000000004E-5</v>
      </c>
      <c r="N32" t="str">
        <f t="shared" si="6"/>
        <v/>
      </c>
      <c r="O32" t="str">
        <f t="shared" si="7"/>
        <v/>
      </c>
      <c r="P32">
        <f t="shared" si="8"/>
        <v>6</v>
      </c>
      <c r="Q32" t="str">
        <f>IF(O32="","",INDEX(Settings!$M$14:$M$34,P32))</f>
        <v/>
      </c>
      <c r="R32" t="str">
        <f t="shared" si="9"/>
        <v/>
      </c>
      <c r="S32" t="str">
        <f t="shared" si="10"/>
        <v/>
      </c>
      <c r="T32" t="str">
        <f t="shared" si="11"/>
        <v/>
      </c>
      <c r="U32" t="str">
        <f t="shared" si="12"/>
        <v/>
      </c>
      <c r="AO32" t="e">
        <f>IF(AQ32&lt;0,"",MATCH('Stock Position'!E32,$AX$15:$AX$251,0))</f>
        <v>#N/A</v>
      </c>
      <c r="AP32" t="e">
        <f>IF(AR32&gt;0,"",MATCH('Stock Position'!N32,$AX$15:$AX$251,0))</f>
        <v>#N/A</v>
      </c>
      <c r="AQ32">
        <f>LARGE($AX$15:$AX$251,'Stock Position'!C32)</f>
        <v>0</v>
      </c>
      <c r="AR32">
        <f>SMALL($AX$15:$AX$251,'Stock Position'!C32)</f>
        <v>0</v>
      </c>
      <c r="AS32" t="str">
        <f>'Trade Log'!BT32</f>
        <v/>
      </c>
      <c r="AT32">
        <f t="shared" si="22"/>
        <v>0</v>
      </c>
      <c r="AU32">
        <f t="shared" si="23"/>
        <v>0</v>
      </c>
      <c r="AV32" s="491" t="e">
        <f t="shared" si="24"/>
        <v>#DIV/0!</v>
      </c>
      <c r="AW32" t="e">
        <f t="shared" si="25"/>
        <v>#DIV/0!</v>
      </c>
      <c r="AX32" s="17">
        <f t="shared" si="26"/>
        <v>0</v>
      </c>
      <c r="AY32" s="30" t="e">
        <f t="shared" si="27"/>
        <v>#DIV/0!</v>
      </c>
      <c r="AZ32" s="17" t="str">
        <f t="shared" si="28"/>
        <v>NA</v>
      </c>
      <c r="BA32" s="491" t="str">
        <f t="shared" si="29"/>
        <v>NA</v>
      </c>
      <c r="BB32">
        <f t="shared" si="30"/>
        <v>0</v>
      </c>
      <c r="BG32">
        <f>IFERROR(LARGE('Trade Log'!$BY$15:$BY$1672,'Trade Log'!C32),"")</f>
        <v>0</v>
      </c>
      <c r="BH32">
        <f>MATCH(BG32,'Trade Log'!$BY$15:$BY$1672,0)</f>
        <v>1</v>
      </c>
      <c r="BI32" t="str">
        <f>IF(BG32=0,"",INDEX('Trade Log'!$BT$15:$BT$1172,BH32))</f>
        <v/>
      </c>
      <c r="BJ32">
        <f>INDEX('Trade Log'!$BU$15:$BU$1172,BH32,0)</f>
        <v>0</v>
      </c>
      <c r="BK32">
        <f>INDEX('Trade Log'!$BV$15:$BV$1172,BH32,0)</f>
        <v>0</v>
      </c>
      <c r="BL32">
        <f t="shared" si="31"/>
        <v>0</v>
      </c>
      <c r="BM32" t="str">
        <f>INDEX('Trade Log'!$BX$15:$BX$977,MATCH(BI32,'Trade Log'!$BT$15:$BT$977,0))</f>
        <v>3</v>
      </c>
      <c r="BN32" s="10" t="e">
        <f t="shared" si="32"/>
        <v>#N/A</v>
      </c>
      <c r="BO32" s="496" t="e">
        <f>'Trade Log'!$I$10-BN32</f>
        <v>#N/A</v>
      </c>
      <c r="BP32" t="e">
        <f>INDEX('Trade Log'!$BQ$15:$BQ$20100,MATCH(BI32,'Trade Log'!$BT$15:$BT$20100,0))</f>
        <v>#N/A</v>
      </c>
      <c r="BS32" t="str">
        <f t="shared" si="36"/>
        <v/>
      </c>
      <c r="BT32" t="e">
        <f>INDEX(Settings!$Y$14:$Y$28,MATCH(BS32,Settings!$X$14:$X$28,0))</f>
        <v>#N/A</v>
      </c>
      <c r="BV32" t="str">
        <f t="shared" si="37"/>
        <v/>
      </c>
      <c r="BW32" t="str">
        <f t="shared" si="38"/>
        <v/>
      </c>
      <c r="BX32" t="str">
        <f t="shared" si="38"/>
        <v/>
      </c>
      <c r="BY32" t="str">
        <f t="shared" si="38"/>
        <v/>
      </c>
      <c r="BZ32" t="str">
        <f t="shared" si="38"/>
        <v/>
      </c>
      <c r="CA32" t="str">
        <f t="shared" si="38"/>
        <v/>
      </c>
      <c r="CB32" t="str">
        <f t="shared" si="38"/>
        <v/>
      </c>
      <c r="CC32" t="str">
        <f t="shared" si="38"/>
        <v/>
      </c>
      <c r="CD32" t="str">
        <f t="shared" si="38"/>
        <v/>
      </c>
      <c r="CE32" t="str">
        <f t="shared" si="38"/>
        <v/>
      </c>
      <c r="CF32" t="str">
        <f t="shared" si="38"/>
        <v/>
      </c>
      <c r="CG32" t="str">
        <f t="shared" si="39"/>
        <v/>
      </c>
      <c r="CH32" t="str">
        <f t="shared" si="39"/>
        <v/>
      </c>
      <c r="CI32" t="str">
        <f t="shared" si="39"/>
        <v/>
      </c>
      <c r="CJ32" t="str">
        <f t="shared" si="39"/>
        <v/>
      </c>
      <c r="CK32" t="str">
        <f t="shared" si="39"/>
        <v/>
      </c>
      <c r="CL32" t="str">
        <f t="shared" si="39"/>
        <v/>
      </c>
      <c r="CM32" t="str">
        <f t="shared" si="39"/>
        <v/>
      </c>
      <c r="CN32" t="str">
        <f t="shared" si="39"/>
        <v/>
      </c>
      <c r="CO32" t="str">
        <f t="shared" si="39"/>
        <v/>
      </c>
    </row>
    <row r="33" spans="1:93">
      <c r="A33" t="e">
        <f>IF(Settings!S33="",NA(),1)</f>
        <v>#N/A</v>
      </c>
      <c r="B33">
        <f t="shared" si="0"/>
        <v>0</v>
      </c>
      <c r="C33">
        <f>COUNTIFS(setupLog,Settings!M33,stats,2)</f>
        <v>0</v>
      </c>
      <c r="D33">
        <f>COUNTIFS(setupLog,Settings!M33,stats,1)</f>
        <v>0</v>
      </c>
      <c r="E33" t="str">
        <f t="shared" si="1"/>
        <v/>
      </c>
      <c r="F33">
        <f>SUMIFS(profitLoss,stats,2,setupLog,Settings!M33)</f>
        <v>0</v>
      </c>
      <c r="G33">
        <f>SUMIFS(profitLoss,stats,1,setupLog,Settings!M33)</f>
        <v>0</v>
      </c>
      <c r="H33">
        <f t="shared" si="2"/>
        <v>0</v>
      </c>
      <c r="I33">
        <f t="shared" si="3"/>
        <v>0</v>
      </c>
      <c r="J33" t="e">
        <f t="shared" si="4"/>
        <v>#DIV/0!</v>
      </c>
      <c r="K33" t="str">
        <f t="shared" si="5"/>
        <v/>
      </c>
      <c r="L33">
        <v>20</v>
      </c>
      <c r="M33">
        <f t="shared" si="21"/>
        <v>2.0000000000000005E-5</v>
      </c>
      <c r="N33" t="str">
        <f t="shared" si="6"/>
        <v/>
      </c>
      <c r="O33" t="str">
        <f t="shared" si="7"/>
        <v/>
      </c>
      <c r="P33">
        <f t="shared" si="8"/>
        <v>6</v>
      </c>
      <c r="Q33" t="str">
        <f>IF(O33="","",INDEX(Settings!$M$14:$M$34,P33))</f>
        <v/>
      </c>
      <c r="R33" t="str">
        <f t="shared" si="9"/>
        <v/>
      </c>
      <c r="S33" t="str">
        <f t="shared" si="10"/>
        <v/>
      </c>
      <c r="T33" t="str">
        <f t="shared" si="11"/>
        <v/>
      </c>
      <c r="U33" t="str">
        <f t="shared" si="12"/>
        <v/>
      </c>
      <c r="AO33" t="e">
        <f>IF(AQ33&lt;0,"",MATCH('Stock Position'!E33,$AX$15:$AX$251,0))</f>
        <v>#N/A</v>
      </c>
      <c r="AP33" t="e">
        <f>IF(AR33&gt;0,"",MATCH('Stock Position'!N33,$AX$15:$AX$251,0))</f>
        <v>#N/A</v>
      </c>
      <c r="AQ33">
        <f>LARGE($AX$15:$AX$251,'Stock Position'!C33)</f>
        <v>0</v>
      </c>
      <c r="AR33">
        <f>SMALL($AX$15:$AX$251,'Stock Position'!C33)</f>
        <v>0</v>
      </c>
      <c r="AS33" t="str">
        <f>'Trade Log'!BT33</f>
        <v/>
      </c>
      <c r="AT33">
        <f t="shared" si="22"/>
        <v>0</v>
      </c>
      <c r="AU33">
        <f t="shared" si="23"/>
        <v>0</v>
      </c>
      <c r="AV33" s="491" t="e">
        <f t="shared" si="24"/>
        <v>#DIV/0!</v>
      </c>
      <c r="AW33" t="e">
        <f t="shared" si="25"/>
        <v>#DIV/0!</v>
      </c>
      <c r="AX33" s="17">
        <f t="shared" si="26"/>
        <v>0</v>
      </c>
      <c r="AY33" s="30" t="e">
        <f t="shared" si="27"/>
        <v>#DIV/0!</v>
      </c>
      <c r="AZ33" s="17" t="str">
        <f t="shared" si="28"/>
        <v>NA</v>
      </c>
      <c r="BA33" s="491" t="str">
        <f t="shared" si="29"/>
        <v>NA</v>
      </c>
      <c r="BB33">
        <f t="shared" si="30"/>
        <v>0</v>
      </c>
      <c r="BG33">
        <f>IFERROR(LARGE('Trade Log'!$BY$15:$BY$1672,'Trade Log'!C33),"")</f>
        <v>0</v>
      </c>
      <c r="BH33">
        <f>MATCH(BG33,'Trade Log'!$BY$15:$BY$1672,0)</f>
        <v>1</v>
      </c>
      <c r="BI33" t="str">
        <f>IF(BG33=0,"",INDEX('Trade Log'!$BT$15:$BT$1172,BH33))</f>
        <v/>
      </c>
      <c r="BJ33">
        <f>INDEX('Trade Log'!$BU$15:$BU$1172,BH33,0)</f>
        <v>0</v>
      </c>
      <c r="BK33">
        <f>INDEX('Trade Log'!$BV$15:$BV$1172,BH33,0)</f>
        <v>0</v>
      </c>
      <c r="BL33">
        <f t="shared" si="31"/>
        <v>0</v>
      </c>
      <c r="BM33" t="str">
        <f>INDEX('Trade Log'!$BX$15:$BX$977,MATCH(BI33,'Trade Log'!$BT$15:$BT$977,0))</f>
        <v>3</v>
      </c>
      <c r="BN33" s="10" t="e">
        <f t="shared" si="32"/>
        <v>#N/A</v>
      </c>
      <c r="BO33" s="496" t="e">
        <f>'Trade Log'!$I$10-BN33</f>
        <v>#N/A</v>
      </c>
      <c r="BP33" t="e">
        <f>INDEX('Trade Log'!$BQ$15:$BQ$20100,MATCH(BI33,'Trade Log'!$BT$15:$BT$20100,0))</f>
        <v>#N/A</v>
      </c>
      <c r="BS33" t="str">
        <f t="shared" si="36"/>
        <v/>
      </c>
      <c r="BT33" t="e">
        <f>INDEX(Settings!$Y$14:$Y$28,MATCH(BS33,Settings!$X$14:$X$28,0))</f>
        <v>#N/A</v>
      </c>
      <c r="BV33" t="str">
        <f t="shared" si="37"/>
        <v/>
      </c>
      <c r="BW33" t="str">
        <f t="shared" si="38"/>
        <v/>
      </c>
      <c r="BX33" t="str">
        <f t="shared" si="38"/>
        <v/>
      </c>
      <c r="BY33" t="str">
        <f t="shared" si="38"/>
        <v/>
      </c>
      <c r="BZ33" t="str">
        <f t="shared" si="38"/>
        <v/>
      </c>
      <c r="CA33" t="str">
        <f t="shared" si="38"/>
        <v/>
      </c>
      <c r="CB33" t="str">
        <f t="shared" si="38"/>
        <v/>
      </c>
      <c r="CC33" t="str">
        <f t="shared" si="38"/>
        <v/>
      </c>
      <c r="CD33" t="str">
        <f t="shared" si="38"/>
        <v/>
      </c>
      <c r="CE33" t="str">
        <f t="shared" si="38"/>
        <v/>
      </c>
      <c r="CF33" t="str">
        <f t="shared" si="38"/>
        <v/>
      </c>
      <c r="CG33" t="str">
        <f t="shared" si="39"/>
        <v/>
      </c>
      <c r="CH33" t="str">
        <f t="shared" si="39"/>
        <v/>
      </c>
      <c r="CI33" t="str">
        <f t="shared" si="39"/>
        <v/>
      </c>
      <c r="CJ33" t="str">
        <f t="shared" si="39"/>
        <v/>
      </c>
      <c r="CK33" t="str">
        <f t="shared" si="39"/>
        <v/>
      </c>
      <c r="CL33" t="str">
        <f t="shared" si="39"/>
        <v/>
      </c>
      <c r="CM33" t="str">
        <f t="shared" si="39"/>
        <v/>
      </c>
      <c r="CN33" t="str">
        <f t="shared" si="39"/>
        <v/>
      </c>
      <c r="CO33" t="str">
        <f t="shared" si="39"/>
        <v/>
      </c>
    </row>
    <row r="34" spans="1:93">
      <c r="A34" t="s">
        <v>215</v>
      </c>
      <c r="B34">
        <f>B35-SUM(B14:B33)</f>
        <v>10</v>
      </c>
      <c r="C34">
        <f>C35-SUM(C14:C33)</f>
        <v>2</v>
      </c>
      <c r="D34">
        <f>D35-SUM(D14:D33)</f>
        <v>8</v>
      </c>
      <c r="E34">
        <f>C34/B34</f>
        <v>0.2</v>
      </c>
      <c r="F34">
        <f>F35-SUM(F14:F33)</f>
        <v>17827.9378</v>
      </c>
      <c r="G34">
        <f>G35-SUM(G14:G33)</f>
        <v>-7449.3964500000184</v>
      </c>
      <c r="H34">
        <f>IFERROR(F34/C34,0)</f>
        <v>8913.9688999999998</v>
      </c>
      <c r="I34">
        <f t="shared" si="3"/>
        <v>-931.1745562500023</v>
      </c>
      <c r="J34">
        <f t="shared" si="4"/>
        <v>-9.5728226680699517</v>
      </c>
      <c r="K34">
        <f>IF(B34=0,"",IFERROR((H34*E34)-(-I34*(1-E34)),MAX(H34:I34)))</f>
        <v>1037.8541349999982</v>
      </c>
      <c r="L34">
        <v>21</v>
      </c>
      <c r="M34">
        <f t="shared" si="21"/>
        <v>2.1000000000000006E-5</v>
      </c>
      <c r="N34">
        <f t="shared" si="6"/>
        <v>1037.8541559999983</v>
      </c>
      <c r="O34" t="str">
        <f t="shared" si="7"/>
        <v/>
      </c>
      <c r="P34">
        <f t="shared" si="8"/>
        <v>6</v>
      </c>
      <c r="Q34" t="str">
        <f>IF(O34="","",INDEX(Settings!$M$14:$M$34,P34))</f>
        <v/>
      </c>
      <c r="R34" t="str">
        <f t="shared" si="9"/>
        <v/>
      </c>
      <c r="S34" t="str">
        <f t="shared" si="10"/>
        <v/>
      </c>
      <c r="T34" t="str">
        <f t="shared" si="11"/>
        <v/>
      </c>
      <c r="U34" t="str">
        <f t="shared" si="12"/>
        <v/>
      </c>
      <c r="AO34" t="e">
        <f>IF(AQ34&lt;0,"",MATCH('Stock Position'!E34,$AX$15:$AX$251,0))</f>
        <v>#N/A</v>
      </c>
      <c r="AP34" t="e">
        <f>IF(AR34&gt;0,"",MATCH('Stock Position'!N34,$AX$15:$AX$251,0))</f>
        <v>#N/A</v>
      </c>
      <c r="AQ34">
        <f>LARGE($AX$15:$AX$251,'Stock Position'!C34)</f>
        <v>0</v>
      </c>
      <c r="AR34">
        <f>SMALL($AX$15:$AX$251,'Stock Position'!C34)</f>
        <v>0</v>
      </c>
      <c r="AS34" t="str">
        <f>'Trade Log'!BT34</f>
        <v/>
      </c>
      <c r="AT34">
        <f t="shared" si="22"/>
        <v>0</v>
      </c>
      <c r="AU34">
        <f t="shared" si="23"/>
        <v>0</v>
      </c>
      <c r="AV34" s="491" t="e">
        <f t="shared" si="24"/>
        <v>#DIV/0!</v>
      </c>
      <c r="AW34" t="e">
        <f t="shared" si="25"/>
        <v>#DIV/0!</v>
      </c>
      <c r="AX34" s="17">
        <f t="shared" si="26"/>
        <v>0</v>
      </c>
      <c r="AY34" s="30" t="e">
        <f t="shared" si="27"/>
        <v>#DIV/0!</v>
      </c>
      <c r="AZ34" s="17" t="str">
        <f t="shared" si="28"/>
        <v>NA</v>
      </c>
      <c r="BA34" s="491" t="str">
        <f t="shared" si="29"/>
        <v>NA</v>
      </c>
      <c r="BB34">
        <f t="shared" si="30"/>
        <v>0</v>
      </c>
      <c r="BG34">
        <f>IFERROR(LARGE('Trade Log'!$BY$15:$BY$1672,'Trade Log'!C34),"")</f>
        <v>0</v>
      </c>
      <c r="BH34">
        <f>MATCH(BG34,'Trade Log'!$BY$15:$BY$1672,0)</f>
        <v>1</v>
      </c>
      <c r="BI34" t="str">
        <f>IF(BG34=0,"",INDEX('Trade Log'!$BT$15:$BT$1172,BH34))</f>
        <v/>
      </c>
      <c r="BJ34">
        <f>INDEX('Trade Log'!$BU$15:$BU$1172,BH34,0)</f>
        <v>0</v>
      </c>
      <c r="BK34">
        <f>INDEX('Trade Log'!$BV$15:$BV$1172,BH34,0)</f>
        <v>0</v>
      </c>
      <c r="BL34">
        <f t="shared" si="31"/>
        <v>0</v>
      </c>
      <c r="BM34" t="str">
        <f>INDEX('Trade Log'!$BX$15:$BX$977,MATCH(BI34,'Trade Log'!$BT$15:$BT$977,0))</f>
        <v>3</v>
      </c>
      <c r="BN34" s="10" t="e">
        <f t="shared" si="32"/>
        <v>#N/A</v>
      </c>
      <c r="BO34" s="496" t="e">
        <f>'Trade Log'!$I$10-BN34</f>
        <v>#N/A</v>
      </c>
      <c r="BP34" t="e">
        <f>INDEX('Trade Log'!$BQ$15:$BQ$20100,MATCH(BI34,'Trade Log'!$BT$15:$BT$20100,0))</f>
        <v>#N/A</v>
      </c>
      <c r="BS34" t="str">
        <f t="shared" ref="BS34:BS48" si="40">AJ14</f>
        <v>FEAR</v>
      </c>
      <c r="BT34">
        <f>INDEX(Settings!$AA$14:$AA$28,MATCH(BS34,Settings!$Z$14:$Z$28,0))</f>
        <v>-1</v>
      </c>
      <c r="BV34">
        <f t="shared" ref="BV34:BV48" si="41">IFERROR(BT34*COUNTIFS(reviewNo,"&gt;="&amp;1,reviewNo,"&lt;="&amp;BV$16,emotion,$BS34),"")</f>
        <v>-2</v>
      </c>
      <c r="BW34">
        <f t="shared" ref="BW34:CF48" si="42">IFERROR($BT34*COUNTIFS(reviewNo,BW$16,emotion,$BS34),"")</f>
        <v>0</v>
      </c>
      <c r="BX34">
        <f t="shared" si="42"/>
        <v>0</v>
      </c>
      <c r="BY34">
        <f t="shared" si="42"/>
        <v>0</v>
      </c>
      <c r="BZ34">
        <f t="shared" si="42"/>
        <v>-1</v>
      </c>
      <c r="CA34">
        <f t="shared" si="42"/>
        <v>0</v>
      </c>
      <c r="CB34">
        <f t="shared" si="42"/>
        <v>0</v>
      </c>
      <c r="CC34">
        <f t="shared" si="42"/>
        <v>0</v>
      </c>
      <c r="CD34">
        <f t="shared" si="42"/>
        <v>0</v>
      </c>
      <c r="CE34">
        <f t="shared" si="42"/>
        <v>0</v>
      </c>
      <c r="CF34">
        <f t="shared" si="42"/>
        <v>0</v>
      </c>
      <c r="CG34">
        <f t="shared" ref="CG34:CO48" si="43">IFERROR($BT34*COUNTIFS(reviewNo,CG$16,emotion,$BS34),"")</f>
        <v>0</v>
      </c>
      <c r="CH34">
        <f t="shared" si="43"/>
        <v>0</v>
      </c>
      <c r="CI34">
        <f t="shared" si="43"/>
        <v>0</v>
      </c>
      <c r="CJ34">
        <f t="shared" si="43"/>
        <v>0</v>
      </c>
      <c r="CK34">
        <f t="shared" si="43"/>
        <v>0</v>
      </c>
      <c r="CL34">
        <f t="shared" si="43"/>
        <v>0</v>
      </c>
      <c r="CM34">
        <f t="shared" si="43"/>
        <v>0</v>
      </c>
      <c r="CN34">
        <f t="shared" si="43"/>
        <v>0</v>
      </c>
      <c r="CO34">
        <f t="shared" si="43"/>
        <v>0</v>
      </c>
    </row>
    <row r="35" spans="1:93">
      <c r="A35" t="s">
        <v>485</v>
      </c>
      <c r="B35">
        <f>C35+D35</f>
        <v>21</v>
      </c>
      <c r="C35">
        <f>COUNTIFS('Trade Log'!$AN$15:$AN$26010,2)</f>
        <v>9</v>
      </c>
      <c r="D35">
        <f>COUNTIFS('Trade Log'!$AN$15:$AN$26010,1)</f>
        <v>12</v>
      </c>
      <c r="E35">
        <f>C35/B35</f>
        <v>0.42857142857142855</v>
      </c>
      <c r="F35">
        <f>SUMIFS('Trade Log'!$Z$15:$Z$26022,'Trade Log'!$AP$15:$AP$26022,2)</f>
        <v>51426.900049999982</v>
      </c>
      <c r="G35">
        <f>SUMIFS('Trade Log'!$Z$15:$Z$26022,'Trade Log'!$AP$15:$AP$26022,1)</f>
        <v>-12495.365200000015</v>
      </c>
      <c r="H35">
        <f>IFERROR(F35/C35,0)</f>
        <v>5714.1000055555533</v>
      </c>
      <c r="I35">
        <f t="shared" si="3"/>
        <v>-1041.2804333333345</v>
      </c>
      <c r="J35">
        <f t="shared" si="4"/>
        <v>-5.4875707087509982</v>
      </c>
      <c r="K35">
        <f>IF(B35=0,"",IFERROR((H35*E35)-(-I35*(1-E35)),MAX(H35:I35)))</f>
        <v>1853.8826119047603</v>
      </c>
      <c r="O35" t="str">
        <f t="shared" si="7"/>
        <v/>
      </c>
      <c r="P35">
        <f t="shared" si="8"/>
        <v>6</v>
      </c>
      <c r="Q35" t="str">
        <f>IF(O35="","",INDEX(Settings!$M$14:$M$34,P35))</f>
        <v/>
      </c>
      <c r="R35" t="str">
        <f t="shared" si="9"/>
        <v/>
      </c>
      <c r="S35" t="str">
        <f t="shared" si="10"/>
        <v/>
      </c>
      <c r="T35" t="str">
        <f t="shared" si="11"/>
        <v/>
      </c>
      <c r="U35" t="str">
        <f t="shared" si="12"/>
        <v/>
      </c>
      <c r="AO35" t="e">
        <f>IF(AQ35&lt;0,"",MATCH('Stock Position'!E35,$AX$15:$AX$251,0))</f>
        <v>#N/A</v>
      </c>
      <c r="AP35" t="e">
        <f>IF(AR35&gt;0,"",MATCH('Stock Position'!N35,$AX$15:$AX$251,0))</f>
        <v>#N/A</v>
      </c>
      <c r="AQ35">
        <f>LARGE($AX$15:$AX$251,'Stock Position'!C35)</f>
        <v>0</v>
      </c>
      <c r="AR35">
        <f>SMALL($AX$15:$AX$251,'Stock Position'!C35)</f>
        <v>0</v>
      </c>
      <c r="AS35" t="str">
        <f>'Trade Log'!BT35</f>
        <v/>
      </c>
      <c r="AT35">
        <f t="shared" si="22"/>
        <v>0</v>
      </c>
      <c r="AU35">
        <f t="shared" si="23"/>
        <v>0</v>
      </c>
      <c r="AV35" s="491" t="e">
        <f t="shared" si="24"/>
        <v>#DIV/0!</v>
      </c>
      <c r="AW35" t="e">
        <f t="shared" si="25"/>
        <v>#DIV/0!</v>
      </c>
      <c r="AX35" s="17">
        <f t="shared" si="26"/>
        <v>0</v>
      </c>
      <c r="AY35" s="30" t="e">
        <f t="shared" si="27"/>
        <v>#DIV/0!</v>
      </c>
      <c r="AZ35" s="17" t="str">
        <f t="shared" si="28"/>
        <v>NA</v>
      </c>
      <c r="BA35" s="491" t="str">
        <f t="shared" si="29"/>
        <v>NA</v>
      </c>
      <c r="BB35">
        <f t="shared" si="30"/>
        <v>0</v>
      </c>
      <c r="BG35">
        <f>IFERROR(LARGE('Trade Log'!$BY$15:$BY$1672,'Trade Log'!C35),"")</f>
        <v>0</v>
      </c>
      <c r="BH35">
        <f>MATCH(BG35,'Trade Log'!$BY$15:$BY$1672,0)</f>
        <v>1</v>
      </c>
      <c r="BI35" t="str">
        <f>IF(BG35=0,"",INDEX('Trade Log'!$BT$15:$BT$1172,BH35))</f>
        <v/>
      </c>
      <c r="BJ35">
        <f>INDEX('Trade Log'!$BU$15:$BU$1172,BH35,0)</f>
        <v>0</v>
      </c>
      <c r="BK35">
        <f>INDEX('Trade Log'!$BV$15:$BV$1172,BH35,0)</f>
        <v>0</v>
      </c>
      <c r="BL35">
        <f t="shared" si="31"/>
        <v>0</v>
      </c>
      <c r="BM35" t="str">
        <f>INDEX('Trade Log'!$BX$15:$BX$977,MATCH(BI35,'Trade Log'!$BT$15:$BT$977,0))</f>
        <v>3</v>
      </c>
      <c r="BN35" s="10" t="e">
        <f t="shared" si="32"/>
        <v>#N/A</v>
      </c>
      <c r="BO35" s="496" t="e">
        <f>'Trade Log'!$I$10-BN35</f>
        <v>#N/A</v>
      </c>
      <c r="BP35" t="e">
        <f>INDEX('Trade Log'!$BQ$15:$BQ$20100,MATCH(BI35,'Trade Log'!$BT$15:$BT$20100,0))</f>
        <v>#N/A</v>
      </c>
      <c r="BS35" t="str">
        <f t="shared" si="40"/>
        <v>FOMO</v>
      </c>
      <c r="BT35">
        <f>INDEX(Settings!$AA$14:$AA$28,MATCH(BS35,Settings!$Z$14:$Z$28,0))</f>
        <v>-1</v>
      </c>
      <c r="BV35">
        <f t="shared" si="41"/>
        <v>-2</v>
      </c>
      <c r="BW35">
        <f t="shared" si="42"/>
        <v>0</v>
      </c>
      <c r="BX35">
        <f t="shared" si="42"/>
        <v>-1</v>
      </c>
      <c r="BY35">
        <f t="shared" si="42"/>
        <v>0</v>
      </c>
      <c r="BZ35">
        <f t="shared" si="42"/>
        <v>0</v>
      </c>
      <c r="CA35">
        <f t="shared" si="42"/>
        <v>0</v>
      </c>
      <c r="CB35">
        <f t="shared" si="42"/>
        <v>0</v>
      </c>
      <c r="CC35">
        <f t="shared" si="42"/>
        <v>0</v>
      </c>
      <c r="CD35">
        <f t="shared" si="42"/>
        <v>0</v>
      </c>
      <c r="CE35">
        <f t="shared" si="42"/>
        <v>0</v>
      </c>
      <c r="CF35">
        <f t="shared" si="42"/>
        <v>0</v>
      </c>
      <c r="CG35">
        <f t="shared" si="43"/>
        <v>0</v>
      </c>
      <c r="CH35">
        <f t="shared" si="43"/>
        <v>0</v>
      </c>
      <c r="CI35">
        <f t="shared" si="43"/>
        <v>0</v>
      </c>
      <c r="CJ35">
        <f t="shared" si="43"/>
        <v>0</v>
      </c>
      <c r="CK35">
        <f t="shared" si="43"/>
        <v>0</v>
      </c>
      <c r="CL35">
        <f t="shared" si="43"/>
        <v>0</v>
      </c>
      <c r="CM35">
        <f t="shared" si="43"/>
        <v>0</v>
      </c>
      <c r="CN35">
        <f t="shared" si="43"/>
        <v>0</v>
      </c>
      <c r="CO35">
        <f t="shared" si="43"/>
        <v>0</v>
      </c>
    </row>
    <row r="36" spans="1:93">
      <c r="AO36" t="e">
        <f>IF(AQ36&lt;0,"",MATCH('Stock Position'!E36,$AX$15:$AX$251,0))</f>
        <v>#N/A</v>
      </c>
      <c r="AP36" t="e">
        <f>IF(AR36&gt;0,"",MATCH('Stock Position'!N36,$AX$15:$AX$251,0))</f>
        <v>#N/A</v>
      </c>
      <c r="AQ36">
        <f>LARGE($AX$15:$AX$251,'Stock Position'!C36)</f>
        <v>0</v>
      </c>
      <c r="AR36">
        <f>SMALL($AX$15:$AX$251,'Stock Position'!C36)</f>
        <v>0</v>
      </c>
      <c r="AS36" t="str">
        <f>'Trade Log'!BT36</f>
        <v/>
      </c>
      <c r="AT36">
        <f t="shared" si="22"/>
        <v>0</v>
      </c>
      <c r="AU36">
        <f t="shared" si="23"/>
        <v>0</v>
      </c>
      <c r="AV36" s="491" t="e">
        <f t="shared" si="24"/>
        <v>#DIV/0!</v>
      </c>
      <c r="AW36" t="e">
        <f t="shared" si="25"/>
        <v>#DIV/0!</v>
      </c>
      <c r="AX36" s="17">
        <f t="shared" si="26"/>
        <v>0</v>
      </c>
      <c r="AY36" s="30" t="e">
        <f t="shared" si="27"/>
        <v>#DIV/0!</v>
      </c>
      <c r="AZ36" s="17" t="str">
        <f t="shared" si="28"/>
        <v>NA</v>
      </c>
      <c r="BA36" s="491" t="str">
        <f t="shared" si="29"/>
        <v>NA</v>
      </c>
      <c r="BB36">
        <f t="shared" si="30"/>
        <v>0</v>
      </c>
      <c r="BG36">
        <f>IFERROR(LARGE('Trade Log'!$BY$15:$BY$1672,'Trade Log'!C36),"")</f>
        <v>0</v>
      </c>
      <c r="BH36">
        <f>MATCH(BG36,'Trade Log'!$BY$15:$BY$1672,0)</f>
        <v>1</v>
      </c>
      <c r="BI36" t="str">
        <f>IF(BG36=0,"",INDEX('Trade Log'!$BT$15:$BT$1172,BH36))</f>
        <v/>
      </c>
      <c r="BJ36">
        <f>INDEX('Trade Log'!$BU$15:$BU$1172,BH36,0)</f>
        <v>0</v>
      </c>
      <c r="BK36">
        <f>INDEX('Trade Log'!$BV$15:$BV$1172,BH36,0)</f>
        <v>0</v>
      </c>
      <c r="BL36">
        <f t="shared" si="31"/>
        <v>0</v>
      </c>
      <c r="BM36" t="str">
        <f>INDEX('Trade Log'!$BX$15:$BX$977,MATCH(BI36,'Trade Log'!$BT$15:$BT$977,0))</f>
        <v>3</v>
      </c>
      <c r="BN36" s="10" t="e">
        <f t="shared" si="32"/>
        <v>#N/A</v>
      </c>
      <c r="BO36" s="496" t="e">
        <f>'Trade Log'!$I$10-BN36</f>
        <v>#N/A</v>
      </c>
      <c r="BP36" t="e">
        <f>INDEX('Trade Log'!$BQ$15:$BQ$20100,MATCH(BI36,'Trade Log'!$BT$15:$BT$20100,0))</f>
        <v>#N/A</v>
      </c>
      <c r="BS36" t="str">
        <f t="shared" si="40"/>
        <v>GREED</v>
      </c>
      <c r="BT36">
        <f>INDEX(Settings!$AA$14:$AA$28,MATCH(BS36,Settings!$Z$14:$Z$28,0))</f>
        <v>-1</v>
      </c>
      <c r="BV36">
        <f t="shared" si="41"/>
        <v>0</v>
      </c>
      <c r="BW36">
        <f t="shared" si="42"/>
        <v>0</v>
      </c>
      <c r="BX36">
        <f t="shared" si="42"/>
        <v>0</v>
      </c>
      <c r="BY36">
        <f t="shared" si="42"/>
        <v>0</v>
      </c>
      <c r="BZ36">
        <f t="shared" si="42"/>
        <v>0</v>
      </c>
      <c r="CA36">
        <f t="shared" si="42"/>
        <v>0</v>
      </c>
      <c r="CB36">
        <f t="shared" si="42"/>
        <v>0</v>
      </c>
      <c r="CC36">
        <f t="shared" si="42"/>
        <v>0</v>
      </c>
      <c r="CD36">
        <f t="shared" si="42"/>
        <v>0</v>
      </c>
      <c r="CE36">
        <f t="shared" si="42"/>
        <v>0</v>
      </c>
      <c r="CF36">
        <f t="shared" si="42"/>
        <v>0</v>
      </c>
      <c r="CG36">
        <f t="shared" si="43"/>
        <v>0</v>
      </c>
      <c r="CH36">
        <f t="shared" si="43"/>
        <v>-1</v>
      </c>
      <c r="CI36">
        <f t="shared" si="43"/>
        <v>0</v>
      </c>
      <c r="CJ36">
        <f t="shared" si="43"/>
        <v>0</v>
      </c>
      <c r="CK36">
        <f t="shared" si="43"/>
        <v>0</v>
      </c>
      <c r="CL36">
        <f t="shared" si="43"/>
        <v>0</v>
      </c>
      <c r="CM36">
        <f t="shared" si="43"/>
        <v>0</v>
      </c>
      <c r="CN36">
        <f t="shared" si="43"/>
        <v>0</v>
      </c>
      <c r="CO36">
        <f t="shared" si="43"/>
        <v>0</v>
      </c>
    </row>
    <row r="37" spans="1:93">
      <c r="AO37" t="e">
        <f>IF(AQ37&lt;0,"",MATCH('Stock Position'!E37,$AX$15:$AX$251,0))</f>
        <v>#N/A</v>
      </c>
      <c r="AP37" t="e">
        <f>IF(AR37&gt;0,"",MATCH('Stock Position'!N37,$AX$15:$AX$251,0))</f>
        <v>#N/A</v>
      </c>
      <c r="AQ37">
        <f>LARGE($AX$15:$AX$251,'Stock Position'!C37)</f>
        <v>0</v>
      </c>
      <c r="AR37">
        <f>SMALL($AX$15:$AX$251,'Stock Position'!C37)</f>
        <v>0</v>
      </c>
      <c r="AS37" t="str">
        <f>'Trade Log'!BT37</f>
        <v/>
      </c>
      <c r="AT37">
        <f t="shared" si="22"/>
        <v>0</v>
      </c>
      <c r="AU37">
        <f t="shared" si="23"/>
        <v>0</v>
      </c>
      <c r="AV37" s="491" t="e">
        <f t="shared" si="24"/>
        <v>#DIV/0!</v>
      </c>
      <c r="AW37" t="e">
        <f t="shared" si="25"/>
        <v>#DIV/0!</v>
      </c>
      <c r="AX37" s="17">
        <f t="shared" si="26"/>
        <v>0</v>
      </c>
      <c r="AY37" s="30" t="e">
        <f t="shared" si="27"/>
        <v>#DIV/0!</v>
      </c>
      <c r="AZ37" s="17" t="str">
        <f t="shared" si="28"/>
        <v>NA</v>
      </c>
      <c r="BA37" s="491" t="str">
        <f t="shared" si="29"/>
        <v>NA</v>
      </c>
      <c r="BB37">
        <f t="shared" si="30"/>
        <v>0</v>
      </c>
      <c r="BG37">
        <f>IFERROR(LARGE('Trade Log'!$BY$15:$BY$1672,'Trade Log'!C37),"")</f>
        <v>0</v>
      </c>
      <c r="BH37">
        <f>MATCH(BG37,'Trade Log'!$BY$15:$BY$1672,0)</f>
        <v>1</v>
      </c>
      <c r="BI37" t="str">
        <f>IF(BG37=0,"",INDEX('Trade Log'!$BT$15:$BT$1172,BH37))</f>
        <v/>
      </c>
      <c r="BJ37">
        <f>INDEX('Trade Log'!$BU$15:$BU$1172,BH37,0)</f>
        <v>0</v>
      </c>
      <c r="BK37">
        <f>INDEX('Trade Log'!$BV$15:$BV$1172,BH37,0)</f>
        <v>0</v>
      </c>
      <c r="BL37">
        <f t="shared" si="31"/>
        <v>0</v>
      </c>
      <c r="BM37" t="str">
        <f>INDEX('Trade Log'!$BX$15:$BX$977,MATCH(BI37,'Trade Log'!$BT$15:$BT$977,0))</f>
        <v>3</v>
      </c>
      <c r="BN37" s="10" t="e">
        <f t="shared" si="32"/>
        <v>#N/A</v>
      </c>
      <c r="BO37" s="496" t="e">
        <f>'Trade Log'!$I$10-BN37</f>
        <v>#N/A</v>
      </c>
      <c r="BP37" t="e">
        <f>INDEX('Trade Log'!$BQ$15:$BQ$20100,MATCH(BI37,'Trade Log'!$BT$15:$BT$20100,0))</f>
        <v>#N/A</v>
      </c>
      <c r="BS37" t="str">
        <f t="shared" si="40"/>
        <v>BORED</v>
      </c>
      <c r="BT37">
        <f>INDEX(Settings!$AA$14:$AA$28,MATCH(BS37,Settings!$Z$14:$Z$28,0))</f>
        <v>-1</v>
      </c>
      <c r="BV37">
        <f t="shared" si="41"/>
        <v>-1</v>
      </c>
      <c r="BW37">
        <f t="shared" si="42"/>
        <v>0</v>
      </c>
      <c r="BX37">
        <f t="shared" si="42"/>
        <v>0</v>
      </c>
      <c r="BY37">
        <f t="shared" si="42"/>
        <v>0</v>
      </c>
      <c r="BZ37">
        <f t="shared" si="42"/>
        <v>0</v>
      </c>
      <c r="CA37">
        <f t="shared" si="42"/>
        <v>0</v>
      </c>
      <c r="CB37">
        <f t="shared" si="42"/>
        <v>0</v>
      </c>
      <c r="CC37">
        <f t="shared" si="42"/>
        <v>0</v>
      </c>
      <c r="CD37">
        <f t="shared" si="42"/>
        <v>0</v>
      </c>
      <c r="CE37">
        <f t="shared" si="42"/>
        <v>0</v>
      </c>
      <c r="CF37">
        <f t="shared" si="42"/>
        <v>0</v>
      </c>
      <c r="CG37">
        <f t="shared" si="43"/>
        <v>0</v>
      </c>
      <c r="CH37">
        <f t="shared" si="43"/>
        <v>0</v>
      </c>
      <c r="CI37">
        <f t="shared" si="43"/>
        <v>0</v>
      </c>
      <c r="CJ37">
        <f t="shared" si="43"/>
        <v>0</v>
      </c>
      <c r="CK37">
        <f t="shared" si="43"/>
        <v>0</v>
      </c>
      <c r="CL37">
        <f t="shared" si="43"/>
        <v>0</v>
      </c>
      <c r="CM37">
        <f t="shared" si="43"/>
        <v>0</v>
      </c>
      <c r="CN37">
        <f t="shared" si="43"/>
        <v>0</v>
      </c>
      <c r="CO37">
        <f t="shared" si="43"/>
        <v>0</v>
      </c>
    </row>
    <row r="38" spans="1:93">
      <c r="AO38" t="e">
        <f>IF(AQ38&lt;0,"",MATCH('Stock Position'!E38,$AX$15:$AX$251,0))</f>
        <v>#N/A</v>
      </c>
      <c r="AP38" t="e">
        <f>IF(AR38&gt;0,"",MATCH('Stock Position'!N38,$AX$15:$AX$251,0))</f>
        <v>#N/A</v>
      </c>
      <c r="AQ38">
        <f>LARGE($AX$15:$AX$251,'Stock Position'!C38)</f>
        <v>0</v>
      </c>
      <c r="AR38">
        <f>SMALL($AX$15:$AX$251,'Stock Position'!C38)</f>
        <v>0</v>
      </c>
      <c r="AS38" t="str">
        <f>'Trade Log'!BT38</f>
        <v/>
      </c>
      <c r="AT38">
        <f t="shared" si="22"/>
        <v>0</v>
      </c>
      <c r="AU38">
        <f t="shared" si="23"/>
        <v>0</v>
      </c>
      <c r="AV38" s="491" t="e">
        <f t="shared" si="24"/>
        <v>#DIV/0!</v>
      </c>
      <c r="AW38" t="e">
        <f t="shared" si="25"/>
        <v>#DIV/0!</v>
      </c>
      <c r="AX38" s="17">
        <f t="shared" si="26"/>
        <v>0</v>
      </c>
      <c r="AY38" s="30" t="e">
        <f t="shared" si="27"/>
        <v>#DIV/0!</v>
      </c>
      <c r="AZ38" s="17" t="str">
        <f t="shared" si="28"/>
        <v>NA</v>
      </c>
      <c r="BA38" s="491" t="str">
        <f t="shared" si="29"/>
        <v>NA</v>
      </c>
      <c r="BB38">
        <f t="shared" si="30"/>
        <v>0</v>
      </c>
      <c r="BG38">
        <f>IFERROR(LARGE('Trade Log'!$BY$15:$BY$1672,'Trade Log'!C38),"")</f>
        <v>0</v>
      </c>
      <c r="BH38">
        <f>MATCH(BG38,'Trade Log'!$BY$15:$BY$1672,0)</f>
        <v>1</v>
      </c>
      <c r="BI38" t="str">
        <f>IF(BG38=0,"",INDEX('Trade Log'!$BT$15:$BT$1172,BH38))</f>
        <v/>
      </c>
      <c r="BJ38">
        <f>INDEX('Trade Log'!$BU$15:$BU$1172,BH38,0)</f>
        <v>0</v>
      </c>
      <c r="BK38">
        <f>INDEX('Trade Log'!$BV$15:$BV$1172,BH38,0)</f>
        <v>0</v>
      </c>
      <c r="BL38">
        <f t="shared" si="31"/>
        <v>0</v>
      </c>
      <c r="BM38" t="str">
        <f>INDEX('Trade Log'!$BX$15:$BX$977,MATCH(BI38,'Trade Log'!$BT$15:$BT$977,0))</f>
        <v>3</v>
      </c>
      <c r="BN38" s="10" t="e">
        <f t="shared" si="32"/>
        <v>#N/A</v>
      </c>
      <c r="BO38" s="496" t="e">
        <f>'Trade Log'!$I$10-BN38</f>
        <v>#N/A</v>
      </c>
      <c r="BP38" t="e">
        <f>INDEX('Trade Log'!$BQ$15:$BQ$20100,MATCH(BI38,'Trade Log'!$BT$15:$BT$20100,0))</f>
        <v>#N/A</v>
      </c>
      <c r="BS38" t="str">
        <f t="shared" si="40"/>
        <v>CONFIDENT</v>
      </c>
      <c r="BT38">
        <f>INDEX(Settings!$AA$14:$AA$28,MATCH(BS38,Settings!$Z$14:$Z$28,0))</f>
        <v>1</v>
      </c>
      <c r="BV38">
        <f t="shared" si="41"/>
        <v>7</v>
      </c>
      <c r="BW38">
        <f t="shared" si="42"/>
        <v>0</v>
      </c>
      <c r="BX38">
        <f t="shared" si="42"/>
        <v>0</v>
      </c>
      <c r="BY38">
        <f t="shared" si="42"/>
        <v>0</v>
      </c>
      <c r="BZ38">
        <f t="shared" si="42"/>
        <v>0</v>
      </c>
      <c r="CA38">
        <f t="shared" si="42"/>
        <v>0</v>
      </c>
      <c r="CB38">
        <f t="shared" si="42"/>
        <v>1</v>
      </c>
      <c r="CC38">
        <f t="shared" si="42"/>
        <v>0</v>
      </c>
      <c r="CD38">
        <f t="shared" si="42"/>
        <v>0</v>
      </c>
      <c r="CE38">
        <f t="shared" si="42"/>
        <v>0</v>
      </c>
      <c r="CF38">
        <f t="shared" si="42"/>
        <v>0</v>
      </c>
      <c r="CG38">
        <f t="shared" si="43"/>
        <v>1</v>
      </c>
      <c r="CH38">
        <f t="shared" si="43"/>
        <v>0</v>
      </c>
      <c r="CI38">
        <f t="shared" si="43"/>
        <v>0</v>
      </c>
      <c r="CJ38">
        <f t="shared" si="43"/>
        <v>0</v>
      </c>
      <c r="CK38">
        <f t="shared" si="43"/>
        <v>0</v>
      </c>
      <c r="CL38">
        <f t="shared" si="43"/>
        <v>0</v>
      </c>
      <c r="CM38">
        <f t="shared" si="43"/>
        <v>1</v>
      </c>
      <c r="CN38">
        <f t="shared" si="43"/>
        <v>0</v>
      </c>
      <c r="CO38">
        <f t="shared" si="43"/>
        <v>0</v>
      </c>
    </row>
    <row r="39" spans="1:93">
      <c r="AO39" t="e">
        <f>IF(AQ39&lt;0,"",MATCH('Stock Position'!E39,$AX$15:$AX$251,0))</f>
        <v>#N/A</v>
      </c>
      <c r="AP39" t="e">
        <f>IF(AR39&gt;0,"",MATCH('Stock Position'!N39,$AX$15:$AX$251,0))</f>
        <v>#N/A</v>
      </c>
      <c r="AQ39">
        <f>LARGE($AX$15:$AX$251,'Stock Position'!C39)</f>
        <v>0</v>
      </c>
      <c r="AR39">
        <f>SMALL($AX$15:$AX$251,'Stock Position'!C39)</f>
        <v>0</v>
      </c>
      <c r="AS39" t="str">
        <f>'Trade Log'!BT39</f>
        <v/>
      </c>
      <c r="AT39">
        <f t="shared" si="22"/>
        <v>0</v>
      </c>
      <c r="AU39">
        <f t="shared" si="23"/>
        <v>0</v>
      </c>
      <c r="AV39" s="491" t="e">
        <f t="shared" si="24"/>
        <v>#DIV/0!</v>
      </c>
      <c r="AW39" t="e">
        <f t="shared" si="25"/>
        <v>#DIV/0!</v>
      </c>
      <c r="AX39" s="17">
        <f t="shared" si="26"/>
        <v>0</v>
      </c>
      <c r="AY39" s="30" t="e">
        <f t="shared" si="27"/>
        <v>#DIV/0!</v>
      </c>
      <c r="AZ39" s="17" t="str">
        <f t="shared" si="28"/>
        <v>NA</v>
      </c>
      <c r="BA39" s="491" t="str">
        <f t="shared" si="29"/>
        <v>NA</v>
      </c>
      <c r="BB39">
        <f t="shared" si="30"/>
        <v>0</v>
      </c>
      <c r="BG39">
        <f>IFERROR(LARGE('Trade Log'!$BY$15:$BY$1672,'Trade Log'!C39),"")</f>
        <v>0</v>
      </c>
      <c r="BH39">
        <f>MATCH(BG39,'Trade Log'!$BY$15:$BY$1672,0)</f>
        <v>1</v>
      </c>
      <c r="BI39" t="str">
        <f>IF(BG39=0,"",INDEX('Trade Log'!$BT$15:$BT$1172,BH39))</f>
        <v/>
      </c>
      <c r="BJ39">
        <f>INDEX('Trade Log'!$BU$15:$BU$1172,BH39,0)</f>
        <v>0</v>
      </c>
      <c r="BK39">
        <f>INDEX('Trade Log'!$BV$15:$BV$1172,BH39,0)</f>
        <v>0</v>
      </c>
      <c r="BL39">
        <f t="shared" si="31"/>
        <v>0</v>
      </c>
      <c r="BM39" t="str">
        <f>INDEX('Trade Log'!$BX$15:$BX$977,MATCH(BI39,'Trade Log'!$BT$15:$BT$977,0))</f>
        <v>3</v>
      </c>
      <c r="BN39" s="10" t="e">
        <f t="shared" si="32"/>
        <v>#N/A</v>
      </c>
      <c r="BO39" s="496" t="e">
        <f>'Trade Log'!$I$10-BN39</f>
        <v>#N/A</v>
      </c>
      <c r="BP39" t="e">
        <f>INDEX('Trade Log'!$BQ$15:$BQ$20100,MATCH(BI39,'Trade Log'!$BT$15:$BT$20100,0))</f>
        <v>#N/A</v>
      </c>
      <c r="BS39" t="str">
        <f t="shared" si="40"/>
        <v/>
      </c>
      <c r="BT39" t="e">
        <f>INDEX(Settings!$AA$14:$AA$28,MATCH(BS39,Settings!$Z$14:$Z$28,0))</f>
        <v>#N/A</v>
      </c>
      <c r="BV39" t="str">
        <f t="shared" si="41"/>
        <v/>
      </c>
      <c r="BW39" t="str">
        <f t="shared" si="42"/>
        <v/>
      </c>
      <c r="BX39" t="str">
        <f t="shared" si="42"/>
        <v/>
      </c>
      <c r="BY39" t="str">
        <f t="shared" si="42"/>
        <v/>
      </c>
      <c r="BZ39" t="str">
        <f t="shared" si="42"/>
        <v/>
      </c>
      <c r="CA39" t="str">
        <f t="shared" si="42"/>
        <v/>
      </c>
      <c r="CB39" t="str">
        <f t="shared" si="42"/>
        <v/>
      </c>
      <c r="CC39" t="str">
        <f t="shared" si="42"/>
        <v/>
      </c>
      <c r="CD39" t="str">
        <f t="shared" si="42"/>
        <v/>
      </c>
      <c r="CE39" t="str">
        <f t="shared" si="42"/>
        <v/>
      </c>
      <c r="CF39" t="str">
        <f t="shared" si="42"/>
        <v/>
      </c>
      <c r="CG39" t="str">
        <f t="shared" si="43"/>
        <v/>
      </c>
      <c r="CH39" t="str">
        <f t="shared" si="43"/>
        <v/>
      </c>
      <c r="CI39" t="str">
        <f t="shared" si="43"/>
        <v/>
      </c>
      <c r="CJ39" t="str">
        <f t="shared" si="43"/>
        <v/>
      </c>
      <c r="CK39" t="str">
        <f t="shared" si="43"/>
        <v/>
      </c>
      <c r="CL39" t="str">
        <f t="shared" si="43"/>
        <v/>
      </c>
      <c r="CM39" t="str">
        <f t="shared" si="43"/>
        <v/>
      </c>
      <c r="CN39" t="str">
        <f t="shared" si="43"/>
        <v/>
      </c>
      <c r="CO39" t="str">
        <f t="shared" si="43"/>
        <v/>
      </c>
    </row>
    <row r="40" spans="1:93">
      <c r="AO40" t="e">
        <f>IF(AQ40&lt;0,"",MATCH('Stock Position'!E40,$AX$15:$AX$251,0))</f>
        <v>#N/A</v>
      </c>
      <c r="AP40" t="e">
        <f>IF(AR40&gt;0,"",MATCH('Stock Position'!N40,$AX$15:$AX$251,0))</f>
        <v>#N/A</v>
      </c>
      <c r="AQ40">
        <f>LARGE($AX$15:$AX$251,'Stock Position'!C40)</f>
        <v>0</v>
      </c>
      <c r="AR40">
        <f>SMALL($AX$15:$AX$251,'Stock Position'!C40)</f>
        <v>0</v>
      </c>
      <c r="AS40" t="str">
        <f>'Trade Log'!BT40</f>
        <v/>
      </c>
      <c r="AT40">
        <f t="shared" si="22"/>
        <v>0</v>
      </c>
      <c r="AU40">
        <f t="shared" si="23"/>
        <v>0</v>
      </c>
      <c r="AV40" s="491" t="e">
        <f t="shared" si="24"/>
        <v>#DIV/0!</v>
      </c>
      <c r="AW40" t="e">
        <f t="shared" si="25"/>
        <v>#DIV/0!</v>
      </c>
      <c r="AX40" s="17">
        <f t="shared" si="26"/>
        <v>0</v>
      </c>
      <c r="AY40" s="30" t="e">
        <f t="shared" si="27"/>
        <v>#DIV/0!</v>
      </c>
      <c r="AZ40" s="17" t="str">
        <f t="shared" si="28"/>
        <v>NA</v>
      </c>
      <c r="BA40" s="491" t="str">
        <f t="shared" si="29"/>
        <v>NA</v>
      </c>
      <c r="BB40">
        <f t="shared" si="30"/>
        <v>0</v>
      </c>
      <c r="BG40">
        <f>IFERROR(LARGE('Trade Log'!$BY$15:$BY$1672,'Trade Log'!C40),"")</f>
        <v>0</v>
      </c>
      <c r="BH40">
        <f>MATCH(BG40,'Trade Log'!$BY$15:$BY$1672,0)</f>
        <v>1</v>
      </c>
      <c r="BI40" t="str">
        <f>IF(BG40=0,"",INDEX('Trade Log'!$BT$15:$BT$1172,BH40))</f>
        <v/>
      </c>
      <c r="BJ40">
        <f>INDEX('Trade Log'!$BU$15:$BU$1172,BH40,0)</f>
        <v>0</v>
      </c>
      <c r="BK40">
        <f>INDEX('Trade Log'!$BV$15:$BV$1172,BH40,0)</f>
        <v>0</v>
      </c>
      <c r="BL40">
        <f t="shared" si="31"/>
        <v>0</v>
      </c>
      <c r="BM40" t="str">
        <f>INDEX('Trade Log'!$BX$15:$BX$977,MATCH(BI40,'Trade Log'!$BT$15:$BT$977,0))</f>
        <v>3</v>
      </c>
      <c r="BN40" s="10" t="e">
        <f t="shared" si="32"/>
        <v>#N/A</v>
      </c>
      <c r="BO40" s="496" t="e">
        <f>'Trade Log'!$I$10-BN40</f>
        <v>#N/A</v>
      </c>
      <c r="BP40" t="e">
        <f>INDEX('Trade Log'!$BQ$15:$BQ$20100,MATCH(BI40,'Trade Log'!$BT$15:$BT$20100,0))</f>
        <v>#N/A</v>
      </c>
      <c r="BS40" t="str">
        <f t="shared" si="40"/>
        <v/>
      </c>
      <c r="BT40" t="e">
        <f>INDEX(Settings!$AA$14:$AA$28,MATCH(BS40,Settings!$Z$14:$Z$28,0))</f>
        <v>#N/A</v>
      </c>
      <c r="BV40" t="str">
        <f t="shared" si="41"/>
        <v/>
      </c>
      <c r="BW40" t="str">
        <f t="shared" si="42"/>
        <v/>
      </c>
      <c r="BX40" t="str">
        <f t="shared" si="42"/>
        <v/>
      </c>
      <c r="BY40" t="str">
        <f t="shared" si="42"/>
        <v/>
      </c>
      <c r="BZ40" t="str">
        <f t="shared" si="42"/>
        <v/>
      </c>
      <c r="CA40" t="str">
        <f t="shared" si="42"/>
        <v/>
      </c>
      <c r="CB40" t="str">
        <f t="shared" si="42"/>
        <v/>
      </c>
      <c r="CC40" t="str">
        <f t="shared" si="42"/>
        <v/>
      </c>
      <c r="CD40" t="str">
        <f t="shared" si="42"/>
        <v/>
      </c>
      <c r="CE40" t="str">
        <f t="shared" si="42"/>
        <v/>
      </c>
      <c r="CF40" t="str">
        <f t="shared" si="42"/>
        <v/>
      </c>
      <c r="CG40" t="str">
        <f t="shared" si="43"/>
        <v/>
      </c>
      <c r="CH40" t="str">
        <f t="shared" si="43"/>
        <v/>
      </c>
      <c r="CI40" t="str">
        <f t="shared" si="43"/>
        <v/>
      </c>
      <c r="CJ40" t="str">
        <f t="shared" si="43"/>
        <v/>
      </c>
      <c r="CK40" t="str">
        <f t="shared" si="43"/>
        <v/>
      </c>
      <c r="CL40" t="str">
        <f t="shared" si="43"/>
        <v/>
      </c>
      <c r="CM40" t="str">
        <f t="shared" si="43"/>
        <v/>
      </c>
      <c r="CN40" t="str">
        <f t="shared" si="43"/>
        <v/>
      </c>
      <c r="CO40" t="str">
        <f t="shared" si="43"/>
        <v/>
      </c>
    </row>
    <row r="41" spans="1:93">
      <c r="AO41" t="e">
        <f>IF(AQ41&lt;0,"",MATCH('Stock Position'!E41,$AX$15:$AX$251,0))</f>
        <v>#N/A</v>
      </c>
      <c r="AP41" t="e">
        <f>IF(AR41&gt;0,"",MATCH('Stock Position'!N41,$AX$15:$AX$251,0))</f>
        <v>#N/A</v>
      </c>
      <c r="AQ41">
        <f>LARGE($AX$15:$AX$251,'Stock Position'!C41)</f>
        <v>0</v>
      </c>
      <c r="AR41">
        <f>SMALL($AX$15:$AX$251,'Stock Position'!C41)</f>
        <v>0</v>
      </c>
      <c r="AS41" t="str">
        <f>'Trade Log'!BT41</f>
        <v/>
      </c>
      <c r="AT41">
        <f t="shared" si="22"/>
        <v>0</v>
      </c>
      <c r="AU41">
        <f t="shared" si="23"/>
        <v>0</v>
      </c>
      <c r="AV41" s="491" t="e">
        <f t="shared" si="24"/>
        <v>#DIV/0!</v>
      </c>
      <c r="AW41" t="e">
        <f t="shared" si="25"/>
        <v>#DIV/0!</v>
      </c>
      <c r="AX41" s="17">
        <f t="shared" si="26"/>
        <v>0</v>
      </c>
      <c r="AY41" s="30" t="e">
        <f t="shared" si="27"/>
        <v>#DIV/0!</v>
      </c>
      <c r="AZ41" s="17" t="str">
        <f t="shared" si="28"/>
        <v>NA</v>
      </c>
      <c r="BA41" s="491" t="str">
        <f t="shared" si="29"/>
        <v>NA</v>
      </c>
      <c r="BB41">
        <f t="shared" si="30"/>
        <v>0</v>
      </c>
      <c r="BG41">
        <f>IFERROR(LARGE('Trade Log'!$BY$15:$BY$1672,'Trade Log'!C41),"")</f>
        <v>0</v>
      </c>
      <c r="BH41">
        <f>MATCH(BG41,'Trade Log'!$BY$15:$BY$1672,0)</f>
        <v>1</v>
      </c>
      <c r="BI41" t="str">
        <f>IF(BG41=0,"",INDEX('Trade Log'!$BT$15:$BT$1172,BH41))</f>
        <v/>
      </c>
      <c r="BJ41">
        <f>INDEX('Trade Log'!$BU$15:$BU$1172,BH41,0)</f>
        <v>0</v>
      </c>
      <c r="BK41">
        <f>INDEX('Trade Log'!$BV$15:$BV$1172,BH41,0)</f>
        <v>0</v>
      </c>
      <c r="BL41">
        <f t="shared" si="31"/>
        <v>0</v>
      </c>
      <c r="BM41" t="str">
        <f>INDEX('Trade Log'!$BX$15:$BX$977,MATCH(BI41,'Trade Log'!$BT$15:$BT$977,0))</f>
        <v>3</v>
      </c>
      <c r="BN41" s="10" t="e">
        <f t="shared" si="32"/>
        <v>#N/A</v>
      </c>
      <c r="BO41" s="496" t="e">
        <f>'Trade Log'!$I$10-BN41</f>
        <v>#N/A</v>
      </c>
      <c r="BP41" t="e">
        <f>INDEX('Trade Log'!$BQ$15:$BQ$9991,MATCH(BI41,'Trade Log'!$BT$15:$BT$9991,0))</f>
        <v>#N/A</v>
      </c>
      <c r="BS41" t="str">
        <f t="shared" si="40"/>
        <v/>
      </c>
      <c r="BT41" t="e">
        <f>INDEX(Settings!$AA$14:$AA$28,MATCH(BS41,Settings!$Z$14:$Z$28,0))</f>
        <v>#N/A</v>
      </c>
      <c r="BV41" t="str">
        <f t="shared" si="41"/>
        <v/>
      </c>
      <c r="BW41" t="str">
        <f t="shared" si="42"/>
        <v/>
      </c>
      <c r="BX41" t="str">
        <f t="shared" si="42"/>
        <v/>
      </c>
      <c r="BY41" t="str">
        <f t="shared" si="42"/>
        <v/>
      </c>
      <c r="BZ41" t="str">
        <f t="shared" si="42"/>
        <v/>
      </c>
      <c r="CA41" t="str">
        <f t="shared" si="42"/>
        <v/>
      </c>
      <c r="CB41" t="str">
        <f t="shared" si="42"/>
        <v/>
      </c>
      <c r="CC41" t="str">
        <f t="shared" si="42"/>
        <v/>
      </c>
      <c r="CD41" t="str">
        <f t="shared" si="42"/>
        <v/>
      </c>
      <c r="CE41" t="str">
        <f t="shared" si="42"/>
        <v/>
      </c>
      <c r="CF41" t="str">
        <f t="shared" si="42"/>
        <v/>
      </c>
      <c r="CG41" t="str">
        <f t="shared" si="43"/>
        <v/>
      </c>
      <c r="CH41" t="str">
        <f t="shared" si="43"/>
        <v/>
      </c>
      <c r="CI41" t="str">
        <f t="shared" si="43"/>
        <v/>
      </c>
      <c r="CJ41" t="str">
        <f t="shared" si="43"/>
        <v/>
      </c>
      <c r="CK41" t="str">
        <f t="shared" si="43"/>
        <v/>
      </c>
      <c r="CL41" t="str">
        <f t="shared" si="43"/>
        <v/>
      </c>
      <c r="CM41" t="str">
        <f t="shared" si="43"/>
        <v/>
      </c>
      <c r="CN41" t="str">
        <f t="shared" si="43"/>
        <v/>
      </c>
      <c r="CO41" t="str">
        <f t="shared" si="43"/>
        <v/>
      </c>
    </row>
    <row r="42" spans="1:93">
      <c r="AO42" t="e">
        <f>IF(AQ42&lt;0,"",MATCH('Stock Position'!E42,$AX$15:$AX$251,0))</f>
        <v>#N/A</v>
      </c>
      <c r="AP42" t="e">
        <f>IF(AR42&gt;0,"",MATCH('Stock Position'!N42,$AX$15:$AX$251,0))</f>
        <v>#N/A</v>
      </c>
      <c r="AQ42">
        <f>LARGE($AX$15:$AX$251,'Stock Position'!C42)</f>
        <v>0</v>
      </c>
      <c r="AR42">
        <f>SMALL($AX$15:$AX$251,'Stock Position'!C42)</f>
        <v>0</v>
      </c>
      <c r="AS42" t="str">
        <f>'Trade Log'!BT42</f>
        <v/>
      </c>
      <c r="AT42">
        <f t="shared" si="22"/>
        <v>0</v>
      </c>
      <c r="AU42">
        <f t="shared" si="23"/>
        <v>0</v>
      </c>
      <c r="AV42" s="491" t="e">
        <f t="shared" si="24"/>
        <v>#DIV/0!</v>
      </c>
      <c r="AW42" t="e">
        <f t="shared" si="25"/>
        <v>#DIV/0!</v>
      </c>
      <c r="AX42" s="17">
        <f t="shared" si="26"/>
        <v>0</v>
      </c>
      <c r="AY42" s="30" t="e">
        <f t="shared" si="27"/>
        <v>#DIV/0!</v>
      </c>
      <c r="AZ42" s="17" t="str">
        <f t="shared" si="28"/>
        <v>NA</v>
      </c>
      <c r="BA42" s="491" t="str">
        <f t="shared" si="29"/>
        <v>NA</v>
      </c>
      <c r="BB42">
        <f t="shared" si="30"/>
        <v>0</v>
      </c>
      <c r="BG42">
        <f>IFERROR(LARGE('Trade Log'!$BY$15:$BY$1672,'Trade Log'!C42),"")</f>
        <v>0</v>
      </c>
      <c r="BH42">
        <f>MATCH(BG42,'Trade Log'!$BY$15:$BY$1672,0)</f>
        <v>1</v>
      </c>
      <c r="BI42" t="str">
        <f>IF(BG42=0,"",INDEX('Trade Log'!$BT$15:$BT$1172,BH42))</f>
        <v/>
      </c>
      <c r="BJ42">
        <f>INDEX('Trade Log'!$BU$15:$BU$1172,BH42,0)</f>
        <v>0</v>
      </c>
      <c r="BK42">
        <f>INDEX('Trade Log'!$BV$15:$BV$1172,BH42,0)</f>
        <v>0</v>
      </c>
      <c r="BL42">
        <f t="shared" si="31"/>
        <v>0</v>
      </c>
      <c r="BM42" t="str">
        <f>INDEX('Trade Log'!$BX$15:$BX$977,MATCH(BI42,'Trade Log'!$BT$15:$BT$977,0))</f>
        <v>3</v>
      </c>
      <c r="BN42" s="10" t="e">
        <f t="shared" si="32"/>
        <v>#N/A</v>
      </c>
      <c r="BO42" s="496" t="e">
        <f>'Trade Log'!$I$10-BN42</f>
        <v>#N/A</v>
      </c>
      <c r="BP42" t="e">
        <f>INDEX('Trade Log'!$BQ$15:$BQ$9991,MATCH(BI42,'Trade Log'!$BT$15:$BT$9991,0))</f>
        <v>#N/A</v>
      </c>
      <c r="BS42" t="str">
        <f t="shared" si="40"/>
        <v/>
      </c>
      <c r="BT42" t="e">
        <f>INDEX(Settings!$AA$14:$AA$28,MATCH(BS42,Settings!$Z$14:$Z$28,0))</f>
        <v>#N/A</v>
      </c>
      <c r="BV42" t="str">
        <f t="shared" si="41"/>
        <v/>
      </c>
      <c r="BW42" t="str">
        <f t="shared" si="42"/>
        <v/>
      </c>
      <c r="BX42" t="str">
        <f t="shared" si="42"/>
        <v/>
      </c>
      <c r="BY42" t="str">
        <f t="shared" si="42"/>
        <v/>
      </c>
      <c r="BZ42" t="str">
        <f t="shared" si="42"/>
        <v/>
      </c>
      <c r="CA42" t="str">
        <f t="shared" si="42"/>
        <v/>
      </c>
      <c r="CB42" t="str">
        <f t="shared" si="42"/>
        <v/>
      </c>
      <c r="CC42" t="str">
        <f t="shared" si="42"/>
        <v/>
      </c>
      <c r="CD42" t="str">
        <f t="shared" si="42"/>
        <v/>
      </c>
      <c r="CE42" t="str">
        <f t="shared" si="42"/>
        <v/>
      </c>
      <c r="CF42" t="str">
        <f t="shared" si="42"/>
        <v/>
      </c>
      <c r="CG42" t="str">
        <f t="shared" si="43"/>
        <v/>
      </c>
      <c r="CH42" t="str">
        <f t="shared" si="43"/>
        <v/>
      </c>
      <c r="CI42" t="str">
        <f t="shared" si="43"/>
        <v/>
      </c>
      <c r="CJ42" t="str">
        <f t="shared" si="43"/>
        <v/>
      </c>
      <c r="CK42" t="str">
        <f t="shared" si="43"/>
        <v/>
      </c>
      <c r="CL42" t="str">
        <f t="shared" si="43"/>
        <v/>
      </c>
      <c r="CM42" t="str">
        <f t="shared" si="43"/>
        <v/>
      </c>
      <c r="CN42" t="str">
        <f t="shared" si="43"/>
        <v/>
      </c>
      <c r="CO42" t="str">
        <f t="shared" si="43"/>
        <v/>
      </c>
    </row>
    <row r="43" spans="1:93">
      <c r="AO43" t="e">
        <f>IF(AQ43&lt;0,"",MATCH('Stock Position'!E43,$AX$15:$AX$251,0))</f>
        <v>#N/A</v>
      </c>
      <c r="AP43" t="e">
        <f>IF(AR43&gt;0,"",MATCH('Stock Position'!N43,$AX$15:$AX$251,0))</f>
        <v>#N/A</v>
      </c>
      <c r="AQ43">
        <f>LARGE($AX$15:$AX$251,'Stock Position'!C43)</f>
        <v>0</v>
      </c>
      <c r="AR43">
        <f>SMALL($AX$15:$AX$251,'Stock Position'!C43)</f>
        <v>0</v>
      </c>
      <c r="AS43" t="str">
        <f>'Trade Log'!BT43</f>
        <v/>
      </c>
      <c r="AT43">
        <f t="shared" si="22"/>
        <v>0</v>
      </c>
      <c r="AU43">
        <f t="shared" si="23"/>
        <v>0</v>
      </c>
      <c r="AV43" s="491" t="e">
        <f t="shared" si="24"/>
        <v>#DIV/0!</v>
      </c>
      <c r="AW43" t="e">
        <f t="shared" si="25"/>
        <v>#DIV/0!</v>
      </c>
      <c r="AX43" s="17">
        <f t="shared" si="26"/>
        <v>0</v>
      </c>
      <c r="AY43" s="30" t="e">
        <f t="shared" si="27"/>
        <v>#DIV/0!</v>
      </c>
      <c r="AZ43" s="17" t="str">
        <f t="shared" si="28"/>
        <v>NA</v>
      </c>
      <c r="BA43" s="491" t="str">
        <f t="shared" si="29"/>
        <v>NA</v>
      </c>
      <c r="BB43">
        <f t="shared" si="30"/>
        <v>0</v>
      </c>
      <c r="BG43">
        <f>IFERROR(LARGE('Trade Log'!$BY$15:$BY$1672,'Trade Log'!C43),"")</f>
        <v>0</v>
      </c>
      <c r="BH43">
        <f>MATCH(BG43,'Trade Log'!$BY$15:$BY$1672,0)</f>
        <v>1</v>
      </c>
      <c r="BI43" t="str">
        <f>IF(BG43=0,"",INDEX('Trade Log'!$BT$15:$BT$1172,BH43))</f>
        <v/>
      </c>
      <c r="BJ43">
        <f>INDEX('Trade Log'!$BU$15:$BU$1172,BH43,0)</f>
        <v>0</v>
      </c>
      <c r="BK43">
        <f>INDEX('Trade Log'!$BV$15:$BV$1172,BH43,0)</f>
        <v>0</v>
      </c>
      <c r="BL43">
        <f t="shared" si="31"/>
        <v>0</v>
      </c>
      <c r="BM43" t="str">
        <f>INDEX('Trade Log'!$BX$15:$BX$977,MATCH(BI43,'Trade Log'!$BT$15:$BT$977,0))</f>
        <v>3</v>
      </c>
      <c r="BN43" s="10" t="e">
        <f t="shared" si="32"/>
        <v>#N/A</v>
      </c>
      <c r="BO43" s="496" t="e">
        <f>'Trade Log'!$I$10-BN43</f>
        <v>#N/A</v>
      </c>
      <c r="BP43" t="e">
        <f>INDEX('Trade Log'!$BQ$15:$BQ$9991,MATCH(BI43,'Trade Log'!$BT$15:$BT$9991,0))</f>
        <v>#N/A</v>
      </c>
      <c r="BS43" t="str">
        <f t="shared" si="40"/>
        <v/>
      </c>
      <c r="BT43" t="e">
        <f>INDEX(Settings!$AA$14:$AA$28,MATCH(BS43,Settings!$Z$14:$Z$28,0))</f>
        <v>#N/A</v>
      </c>
      <c r="BV43" t="str">
        <f t="shared" si="41"/>
        <v/>
      </c>
      <c r="BW43" t="str">
        <f t="shared" si="42"/>
        <v/>
      </c>
      <c r="BX43" t="str">
        <f t="shared" si="42"/>
        <v/>
      </c>
      <c r="BY43" t="str">
        <f t="shared" si="42"/>
        <v/>
      </c>
      <c r="BZ43" t="str">
        <f t="shared" si="42"/>
        <v/>
      </c>
      <c r="CA43" t="str">
        <f t="shared" si="42"/>
        <v/>
      </c>
      <c r="CB43" t="str">
        <f t="shared" si="42"/>
        <v/>
      </c>
      <c r="CC43" t="str">
        <f t="shared" si="42"/>
        <v/>
      </c>
      <c r="CD43" t="str">
        <f t="shared" si="42"/>
        <v/>
      </c>
      <c r="CE43" t="str">
        <f t="shared" si="42"/>
        <v/>
      </c>
      <c r="CF43" t="str">
        <f t="shared" si="42"/>
        <v/>
      </c>
      <c r="CG43" t="str">
        <f t="shared" si="43"/>
        <v/>
      </c>
      <c r="CH43" t="str">
        <f t="shared" si="43"/>
        <v/>
      </c>
      <c r="CI43" t="str">
        <f t="shared" si="43"/>
        <v/>
      </c>
      <c r="CJ43" t="str">
        <f t="shared" si="43"/>
        <v/>
      </c>
      <c r="CK43" t="str">
        <f t="shared" si="43"/>
        <v/>
      </c>
      <c r="CL43" t="str">
        <f t="shared" si="43"/>
        <v/>
      </c>
      <c r="CM43" t="str">
        <f t="shared" si="43"/>
        <v/>
      </c>
      <c r="CN43" t="str">
        <f t="shared" si="43"/>
        <v/>
      </c>
      <c r="CO43" t="str">
        <f t="shared" si="43"/>
        <v/>
      </c>
    </row>
    <row r="44" spans="1:93">
      <c r="AO44" t="e">
        <f>IF(AQ44&lt;0,"",MATCH('Stock Position'!E44,$AX$15:$AX$251,0))</f>
        <v>#N/A</v>
      </c>
      <c r="AP44" t="e">
        <f>IF(AR44&gt;0,"",MATCH('Stock Position'!N44,$AX$15:$AX$251,0))</f>
        <v>#N/A</v>
      </c>
      <c r="AQ44">
        <f>LARGE($AX$15:$AX$251,'Stock Position'!C44)</f>
        <v>0</v>
      </c>
      <c r="AR44">
        <f>SMALL($AX$15:$AX$251,'Stock Position'!C44)</f>
        <v>0</v>
      </c>
      <c r="AS44" t="str">
        <f>'Trade Log'!BT44</f>
        <v/>
      </c>
      <c r="AT44">
        <f t="shared" si="22"/>
        <v>0</v>
      </c>
      <c r="AU44">
        <f t="shared" si="23"/>
        <v>0</v>
      </c>
      <c r="AV44" s="491" t="e">
        <f t="shared" si="24"/>
        <v>#DIV/0!</v>
      </c>
      <c r="AW44" t="e">
        <f t="shared" si="25"/>
        <v>#DIV/0!</v>
      </c>
      <c r="AX44" s="17">
        <f t="shared" si="26"/>
        <v>0</v>
      </c>
      <c r="AY44" s="30" t="e">
        <f t="shared" si="27"/>
        <v>#DIV/0!</v>
      </c>
      <c r="AZ44" s="17" t="str">
        <f t="shared" si="28"/>
        <v>NA</v>
      </c>
      <c r="BA44" s="491" t="str">
        <f t="shared" si="29"/>
        <v>NA</v>
      </c>
      <c r="BB44">
        <f t="shared" si="30"/>
        <v>0</v>
      </c>
      <c r="BG44">
        <f>IFERROR(LARGE('Trade Log'!$BY$15:$BY$1672,'Trade Log'!C44),"")</f>
        <v>0</v>
      </c>
      <c r="BH44">
        <f>MATCH(BG44,'Trade Log'!$BY$15:$BY$1672,0)</f>
        <v>1</v>
      </c>
      <c r="BI44" t="str">
        <f>IF(BG44=0,"",INDEX('Trade Log'!$BT$15:$BT$1172,BH44))</f>
        <v/>
      </c>
      <c r="BJ44">
        <f>INDEX('Trade Log'!$BU$15:$BU$1172,BH44,0)</f>
        <v>0</v>
      </c>
      <c r="BK44">
        <f>INDEX('Trade Log'!$BV$15:$BV$1172,BH44,0)</f>
        <v>0</v>
      </c>
      <c r="BL44">
        <f t="shared" si="31"/>
        <v>0</v>
      </c>
      <c r="BM44" t="str">
        <f>INDEX('Trade Log'!$BX$15:$BX$977,MATCH(BI44,'Trade Log'!$BT$15:$BT$977,0))</f>
        <v>3</v>
      </c>
      <c r="BN44" s="10" t="e">
        <f t="shared" si="32"/>
        <v>#N/A</v>
      </c>
      <c r="BO44" s="496" t="e">
        <f>'Trade Log'!$I$10-BN44</f>
        <v>#N/A</v>
      </c>
      <c r="BP44" t="e">
        <f>INDEX('Trade Log'!$BQ$15:$BQ$9991,MATCH(BI44,'Trade Log'!$BT$15:$BT$9991,0))</f>
        <v>#N/A</v>
      </c>
      <c r="BS44" t="str">
        <f t="shared" si="40"/>
        <v/>
      </c>
      <c r="BT44" t="e">
        <f>INDEX(Settings!$AA$14:$AA$28,MATCH(BS44,Settings!$Z$14:$Z$28,0))</f>
        <v>#N/A</v>
      </c>
      <c r="BV44" t="str">
        <f t="shared" si="41"/>
        <v/>
      </c>
      <c r="BW44" t="str">
        <f t="shared" si="42"/>
        <v/>
      </c>
      <c r="BX44" t="str">
        <f t="shared" si="42"/>
        <v/>
      </c>
      <c r="BY44" t="str">
        <f t="shared" si="42"/>
        <v/>
      </c>
      <c r="BZ44" t="str">
        <f t="shared" si="42"/>
        <v/>
      </c>
      <c r="CA44" t="str">
        <f t="shared" si="42"/>
        <v/>
      </c>
      <c r="CB44" t="str">
        <f t="shared" si="42"/>
        <v/>
      </c>
      <c r="CC44" t="str">
        <f t="shared" si="42"/>
        <v/>
      </c>
      <c r="CD44" t="str">
        <f t="shared" si="42"/>
        <v/>
      </c>
      <c r="CE44" t="str">
        <f t="shared" si="42"/>
        <v/>
      </c>
      <c r="CF44" t="str">
        <f t="shared" si="42"/>
        <v/>
      </c>
      <c r="CG44" t="str">
        <f t="shared" si="43"/>
        <v/>
      </c>
      <c r="CH44" t="str">
        <f t="shared" si="43"/>
        <v/>
      </c>
      <c r="CI44" t="str">
        <f t="shared" si="43"/>
        <v/>
      </c>
      <c r="CJ44" t="str">
        <f t="shared" si="43"/>
        <v/>
      </c>
      <c r="CK44" t="str">
        <f t="shared" si="43"/>
        <v/>
      </c>
      <c r="CL44" t="str">
        <f t="shared" si="43"/>
        <v/>
      </c>
      <c r="CM44" t="str">
        <f t="shared" si="43"/>
        <v/>
      </c>
      <c r="CN44" t="str">
        <f t="shared" si="43"/>
        <v/>
      </c>
      <c r="CO44" t="str">
        <f t="shared" si="43"/>
        <v/>
      </c>
    </row>
    <row r="45" spans="1:93">
      <c r="AO45" t="e">
        <f>IF(AQ45&lt;0,"",MATCH('Stock Position'!E45,$AX$15:$AX$251,0))</f>
        <v>#N/A</v>
      </c>
      <c r="AP45" t="e">
        <f>IF(AR45&gt;0,"",MATCH('Stock Position'!N45,$AX$15:$AX$251,0))</f>
        <v>#N/A</v>
      </c>
      <c r="AQ45">
        <f>LARGE($AX$15:$AX$251,'Stock Position'!C45)</f>
        <v>0</v>
      </c>
      <c r="AR45">
        <f>SMALL($AX$15:$AX$251,'Stock Position'!C45)</f>
        <v>0</v>
      </c>
      <c r="AS45" t="str">
        <f>'Trade Log'!BT45</f>
        <v/>
      </c>
      <c r="AT45">
        <f t="shared" si="22"/>
        <v>0</v>
      </c>
      <c r="AU45">
        <f t="shared" si="23"/>
        <v>0</v>
      </c>
      <c r="AV45" s="491" t="e">
        <f t="shared" si="24"/>
        <v>#DIV/0!</v>
      </c>
      <c r="AW45" t="e">
        <f t="shared" si="25"/>
        <v>#DIV/0!</v>
      </c>
      <c r="AX45" s="17">
        <f t="shared" si="26"/>
        <v>0</v>
      </c>
      <c r="AY45" s="30" t="e">
        <f t="shared" si="27"/>
        <v>#DIV/0!</v>
      </c>
      <c r="AZ45" s="17" t="str">
        <f t="shared" si="28"/>
        <v>NA</v>
      </c>
      <c r="BA45" s="491" t="str">
        <f t="shared" si="29"/>
        <v>NA</v>
      </c>
      <c r="BB45">
        <f t="shared" si="30"/>
        <v>0</v>
      </c>
      <c r="BG45">
        <f>IFERROR(LARGE('Trade Log'!$BY$15:$BY$1672,'Trade Log'!C45),"")</f>
        <v>0</v>
      </c>
      <c r="BH45">
        <f>MATCH(BG45,'Trade Log'!$BY$15:$BY$1672,0)</f>
        <v>1</v>
      </c>
      <c r="BI45" t="str">
        <f>IF(BG45=0,"",INDEX('Trade Log'!$BT$15:$BT$1172,BH45))</f>
        <v/>
      </c>
      <c r="BJ45">
        <f>INDEX('Trade Log'!$BU$15:$BU$1172,BH45,0)</f>
        <v>0</v>
      </c>
      <c r="BK45">
        <f>INDEX('Trade Log'!$BV$15:$BV$1172,BH45,0)</f>
        <v>0</v>
      </c>
      <c r="BL45">
        <f t="shared" si="31"/>
        <v>0</v>
      </c>
      <c r="BM45" t="str">
        <f>INDEX('Trade Log'!$BX$15:$BX$977,MATCH(BI45,'Trade Log'!$BT$15:$BT$977,0))</f>
        <v>3</v>
      </c>
      <c r="BN45" s="10" t="e">
        <f t="shared" si="32"/>
        <v>#N/A</v>
      </c>
      <c r="BO45" s="496" t="e">
        <f>'Trade Log'!$I$10-BN45</f>
        <v>#N/A</v>
      </c>
      <c r="BP45" t="e">
        <f>INDEX('Trade Log'!$BQ$15:$BQ$9991,MATCH(BI45,'Trade Log'!$BT$15:$BT$9991,0))</f>
        <v>#N/A</v>
      </c>
      <c r="BS45" t="str">
        <f t="shared" si="40"/>
        <v/>
      </c>
      <c r="BT45" t="e">
        <f>INDEX(Settings!$AA$14:$AA$28,MATCH(BS45,Settings!$Z$14:$Z$28,0))</f>
        <v>#N/A</v>
      </c>
      <c r="BV45" t="str">
        <f t="shared" si="41"/>
        <v/>
      </c>
      <c r="BW45" t="str">
        <f t="shared" si="42"/>
        <v/>
      </c>
      <c r="BX45" t="str">
        <f t="shared" si="42"/>
        <v/>
      </c>
      <c r="BY45" t="str">
        <f t="shared" si="42"/>
        <v/>
      </c>
      <c r="BZ45" t="str">
        <f t="shared" si="42"/>
        <v/>
      </c>
      <c r="CA45" t="str">
        <f t="shared" si="42"/>
        <v/>
      </c>
      <c r="CB45" t="str">
        <f t="shared" si="42"/>
        <v/>
      </c>
      <c r="CC45" t="str">
        <f t="shared" si="42"/>
        <v/>
      </c>
      <c r="CD45" t="str">
        <f t="shared" si="42"/>
        <v/>
      </c>
      <c r="CE45" t="str">
        <f t="shared" si="42"/>
        <v/>
      </c>
      <c r="CF45" t="str">
        <f t="shared" si="42"/>
        <v/>
      </c>
      <c r="CG45" t="str">
        <f t="shared" si="43"/>
        <v/>
      </c>
      <c r="CH45" t="str">
        <f t="shared" si="43"/>
        <v/>
      </c>
      <c r="CI45" t="str">
        <f t="shared" si="43"/>
        <v/>
      </c>
      <c r="CJ45" t="str">
        <f t="shared" si="43"/>
        <v/>
      </c>
      <c r="CK45" t="str">
        <f t="shared" si="43"/>
        <v/>
      </c>
      <c r="CL45" t="str">
        <f t="shared" si="43"/>
        <v/>
      </c>
      <c r="CM45" t="str">
        <f t="shared" si="43"/>
        <v/>
      </c>
      <c r="CN45" t="str">
        <f t="shared" si="43"/>
        <v/>
      </c>
      <c r="CO45" t="str">
        <f t="shared" si="43"/>
        <v/>
      </c>
    </row>
    <row r="46" spans="1:93">
      <c r="AO46" t="e">
        <f>IF(AQ46&lt;0,"",MATCH('Stock Position'!E46,$AX$15:$AX$251,0))</f>
        <v>#N/A</v>
      </c>
      <c r="AP46" t="e">
        <f>IF(AR46&gt;0,"",MATCH('Stock Position'!N46,$AX$15:$AX$251,0))</f>
        <v>#N/A</v>
      </c>
      <c r="AQ46">
        <f>LARGE($AX$15:$AX$251,'Stock Position'!C46)</f>
        <v>0</v>
      </c>
      <c r="AR46">
        <f>SMALL($AX$15:$AX$251,'Stock Position'!C46)</f>
        <v>0</v>
      </c>
      <c r="AS46" t="str">
        <f>'Trade Log'!BT46</f>
        <v/>
      </c>
      <c r="AT46">
        <f t="shared" si="22"/>
        <v>0</v>
      </c>
      <c r="AU46">
        <f t="shared" si="23"/>
        <v>0</v>
      </c>
      <c r="AV46" s="491" t="e">
        <f t="shared" si="24"/>
        <v>#DIV/0!</v>
      </c>
      <c r="AW46" t="e">
        <f t="shared" si="25"/>
        <v>#DIV/0!</v>
      </c>
      <c r="AX46" s="17">
        <f t="shared" si="26"/>
        <v>0</v>
      </c>
      <c r="AY46" s="30" t="e">
        <f t="shared" si="27"/>
        <v>#DIV/0!</v>
      </c>
      <c r="AZ46" s="17" t="str">
        <f t="shared" si="28"/>
        <v>NA</v>
      </c>
      <c r="BA46" s="491" t="str">
        <f t="shared" si="29"/>
        <v>NA</v>
      </c>
      <c r="BB46">
        <f t="shared" si="30"/>
        <v>0</v>
      </c>
      <c r="BG46">
        <f>IFERROR(LARGE('Trade Log'!$BY$15:$BY$1672,'Trade Log'!C46),"")</f>
        <v>0</v>
      </c>
      <c r="BH46">
        <f>MATCH(BG46,'Trade Log'!$BY$15:$BY$1672,0)</f>
        <v>1</v>
      </c>
      <c r="BI46" t="str">
        <f>IF(BG46=0,"",INDEX('Trade Log'!$BT$15:$BT$1172,BH46))</f>
        <v/>
      </c>
      <c r="BJ46">
        <f>INDEX('Trade Log'!$BU$15:$BU$1172,BH46,0)</f>
        <v>0</v>
      </c>
      <c r="BK46">
        <f>INDEX('Trade Log'!$BV$15:$BV$1172,BH46,0)</f>
        <v>0</v>
      </c>
      <c r="BL46">
        <f t="shared" si="31"/>
        <v>0</v>
      </c>
      <c r="BM46" t="str">
        <f>INDEX('Trade Log'!$BX$15:$BX$977,MATCH(BI46,'Trade Log'!$BT$15:$BT$977,0))</f>
        <v>3</v>
      </c>
      <c r="BN46" s="10" t="e">
        <f t="shared" si="32"/>
        <v>#N/A</v>
      </c>
      <c r="BO46" s="496" t="e">
        <f>'Trade Log'!$I$10-BN46</f>
        <v>#N/A</v>
      </c>
      <c r="BP46" t="e">
        <f>INDEX('Trade Log'!$BQ$15:$BQ$9991,MATCH(BI46,'Trade Log'!$BT$15:$BT$9991,0))</f>
        <v>#N/A</v>
      </c>
      <c r="BS46" t="str">
        <f t="shared" si="40"/>
        <v/>
      </c>
      <c r="BT46" t="e">
        <f>INDEX(Settings!$AA$14:$AA$28,MATCH(BS46,Settings!$Z$14:$Z$28,0))</f>
        <v>#N/A</v>
      </c>
      <c r="BV46" t="str">
        <f t="shared" si="41"/>
        <v/>
      </c>
      <c r="BW46" t="str">
        <f t="shared" si="42"/>
        <v/>
      </c>
      <c r="BX46" t="str">
        <f t="shared" si="42"/>
        <v/>
      </c>
      <c r="BY46" t="str">
        <f t="shared" si="42"/>
        <v/>
      </c>
      <c r="BZ46" t="str">
        <f t="shared" si="42"/>
        <v/>
      </c>
      <c r="CA46" t="str">
        <f t="shared" si="42"/>
        <v/>
      </c>
      <c r="CB46" t="str">
        <f t="shared" si="42"/>
        <v/>
      </c>
      <c r="CC46" t="str">
        <f t="shared" si="42"/>
        <v/>
      </c>
      <c r="CD46" t="str">
        <f t="shared" si="42"/>
        <v/>
      </c>
      <c r="CE46" t="str">
        <f t="shared" si="42"/>
        <v/>
      </c>
      <c r="CF46" t="str">
        <f t="shared" si="42"/>
        <v/>
      </c>
      <c r="CG46" t="str">
        <f t="shared" si="43"/>
        <v/>
      </c>
      <c r="CH46" t="str">
        <f t="shared" si="43"/>
        <v/>
      </c>
      <c r="CI46" t="str">
        <f t="shared" si="43"/>
        <v/>
      </c>
      <c r="CJ46" t="str">
        <f t="shared" si="43"/>
        <v/>
      </c>
      <c r="CK46" t="str">
        <f t="shared" si="43"/>
        <v/>
      </c>
      <c r="CL46" t="str">
        <f t="shared" si="43"/>
        <v/>
      </c>
      <c r="CM46" t="str">
        <f t="shared" si="43"/>
        <v/>
      </c>
      <c r="CN46" t="str">
        <f t="shared" si="43"/>
        <v/>
      </c>
      <c r="CO46" t="str">
        <f t="shared" si="43"/>
        <v/>
      </c>
    </row>
    <row r="47" spans="1:93">
      <c r="AO47" t="e">
        <f>IF(AQ47&lt;0,"",MATCH('Stock Position'!E47,$AX$15:$AX$251,0))</f>
        <v>#N/A</v>
      </c>
      <c r="AP47" t="e">
        <f>IF(AR47&gt;0,"",MATCH('Stock Position'!N47,$AX$15:$AX$251,0))</f>
        <v>#N/A</v>
      </c>
      <c r="AQ47">
        <f>LARGE($AX$15:$AX$251,'Stock Position'!C47)</f>
        <v>0</v>
      </c>
      <c r="AR47">
        <f>SMALL($AX$15:$AX$251,'Stock Position'!C47)</f>
        <v>0</v>
      </c>
      <c r="AS47" t="str">
        <f>'Trade Log'!BT47</f>
        <v/>
      </c>
      <c r="AT47">
        <f t="shared" si="22"/>
        <v>0</v>
      </c>
      <c r="AU47">
        <f t="shared" si="23"/>
        <v>0</v>
      </c>
      <c r="AV47" s="491" t="e">
        <f t="shared" si="24"/>
        <v>#DIV/0!</v>
      </c>
      <c r="AW47" t="e">
        <f t="shared" si="25"/>
        <v>#DIV/0!</v>
      </c>
      <c r="AX47" s="17">
        <f t="shared" si="26"/>
        <v>0</v>
      </c>
      <c r="AY47" s="30" t="e">
        <f t="shared" si="27"/>
        <v>#DIV/0!</v>
      </c>
      <c r="AZ47" s="17" t="str">
        <f t="shared" si="28"/>
        <v>NA</v>
      </c>
      <c r="BA47" s="491" t="str">
        <f t="shared" si="29"/>
        <v>NA</v>
      </c>
      <c r="BB47">
        <f t="shared" si="30"/>
        <v>0</v>
      </c>
      <c r="BG47">
        <f>IFERROR(LARGE('Trade Log'!$BY$15:$BY$1672,'Trade Log'!C47),"")</f>
        <v>0</v>
      </c>
      <c r="BH47">
        <f>MATCH(BG47,'Trade Log'!$BY$15:$BY$1672,0)</f>
        <v>1</v>
      </c>
      <c r="BI47" t="str">
        <f>IF(BG47=0,"",INDEX('Trade Log'!$BT$15:$BT$1172,BH47))</f>
        <v/>
      </c>
      <c r="BJ47">
        <f>INDEX('Trade Log'!$BU$15:$BU$1172,BH47,0)</f>
        <v>0</v>
      </c>
      <c r="BK47">
        <f>INDEX('Trade Log'!$BV$15:$BV$1172,BH47,0)</f>
        <v>0</v>
      </c>
      <c r="BL47">
        <f t="shared" si="31"/>
        <v>0</v>
      </c>
      <c r="BM47" t="str">
        <f>INDEX('Trade Log'!$BX$15:$BX$977,MATCH(BI47,'Trade Log'!$BT$15:$BT$977,0))</f>
        <v>3</v>
      </c>
      <c r="BN47" s="10" t="e">
        <f t="shared" si="32"/>
        <v>#N/A</v>
      </c>
      <c r="BO47" s="496" t="e">
        <f>'Trade Log'!$I$10-BN47</f>
        <v>#N/A</v>
      </c>
      <c r="BP47" t="e">
        <f>INDEX('Trade Log'!$BQ$15:$BQ$9991,MATCH(BI47,'Trade Log'!$BT$15:$BT$9991,0))</f>
        <v>#N/A</v>
      </c>
      <c r="BS47" t="str">
        <f t="shared" si="40"/>
        <v/>
      </c>
      <c r="BT47" t="e">
        <f>INDEX(Settings!$AA$14:$AA$28,MATCH(BS47,Settings!$Z$14:$Z$28,0))</f>
        <v>#N/A</v>
      </c>
      <c r="BV47" t="str">
        <f t="shared" si="41"/>
        <v/>
      </c>
      <c r="BW47" t="str">
        <f t="shared" si="42"/>
        <v/>
      </c>
      <c r="BX47" t="str">
        <f t="shared" si="42"/>
        <v/>
      </c>
      <c r="BY47" t="str">
        <f t="shared" si="42"/>
        <v/>
      </c>
      <c r="BZ47" t="str">
        <f t="shared" si="42"/>
        <v/>
      </c>
      <c r="CA47" t="str">
        <f t="shared" si="42"/>
        <v/>
      </c>
      <c r="CB47" t="str">
        <f t="shared" si="42"/>
        <v/>
      </c>
      <c r="CC47" t="str">
        <f t="shared" si="42"/>
        <v/>
      </c>
      <c r="CD47" t="str">
        <f t="shared" si="42"/>
        <v/>
      </c>
      <c r="CE47" t="str">
        <f t="shared" si="42"/>
        <v/>
      </c>
      <c r="CF47" t="str">
        <f t="shared" si="42"/>
        <v/>
      </c>
      <c r="CG47" t="str">
        <f t="shared" si="43"/>
        <v/>
      </c>
      <c r="CH47" t="str">
        <f t="shared" si="43"/>
        <v/>
      </c>
      <c r="CI47" t="str">
        <f t="shared" si="43"/>
        <v/>
      </c>
      <c r="CJ47" t="str">
        <f t="shared" si="43"/>
        <v/>
      </c>
      <c r="CK47" t="str">
        <f t="shared" si="43"/>
        <v/>
      </c>
      <c r="CL47" t="str">
        <f t="shared" si="43"/>
        <v/>
      </c>
      <c r="CM47" t="str">
        <f t="shared" si="43"/>
        <v/>
      </c>
      <c r="CN47" t="str">
        <f t="shared" si="43"/>
        <v/>
      </c>
      <c r="CO47" t="str">
        <f t="shared" si="43"/>
        <v/>
      </c>
    </row>
    <row r="48" spans="1:93">
      <c r="AO48" t="e">
        <f>IF(AQ48&lt;0,"",MATCH('Stock Position'!E48,$AX$15:$AX$251,0))</f>
        <v>#N/A</v>
      </c>
      <c r="AP48" t="e">
        <f>IF(AR48&gt;0,"",MATCH('Stock Position'!N48,$AX$15:$AX$251,0))</f>
        <v>#N/A</v>
      </c>
      <c r="AQ48">
        <f>LARGE($AX$15:$AX$251,'Stock Position'!C48)</f>
        <v>0</v>
      </c>
      <c r="AR48">
        <f>SMALL($AX$15:$AX$251,'Stock Position'!C48)</f>
        <v>0</v>
      </c>
      <c r="AS48" t="str">
        <f>'Trade Log'!BT48</f>
        <v/>
      </c>
      <c r="AT48">
        <f t="shared" si="22"/>
        <v>0</v>
      </c>
      <c r="AU48">
        <f t="shared" si="23"/>
        <v>0</v>
      </c>
      <c r="AV48" s="491" t="e">
        <f t="shared" si="24"/>
        <v>#DIV/0!</v>
      </c>
      <c r="AW48" t="e">
        <f t="shared" si="25"/>
        <v>#DIV/0!</v>
      </c>
      <c r="AX48" s="17">
        <f t="shared" si="26"/>
        <v>0</v>
      </c>
      <c r="AY48" s="30" t="e">
        <f t="shared" si="27"/>
        <v>#DIV/0!</v>
      </c>
      <c r="AZ48" s="17" t="str">
        <f t="shared" si="28"/>
        <v>NA</v>
      </c>
      <c r="BA48" s="491" t="str">
        <f t="shared" si="29"/>
        <v>NA</v>
      </c>
      <c r="BB48">
        <f t="shared" si="30"/>
        <v>0</v>
      </c>
      <c r="BG48">
        <f>IFERROR(LARGE('Trade Log'!$BY$15:$BY$1672,'Trade Log'!C48),"")</f>
        <v>0</v>
      </c>
      <c r="BH48">
        <f>MATCH(BG48,'Trade Log'!$BY$15:$BY$1672,0)</f>
        <v>1</v>
      </c>
      <c r="BI48" t="str">
        <f>IF(BG48=0,"",INDEX('Trade Log'!$BT$15:$BT$1172,BH48))</f>
        <v/>
      </c>
      <c r="BJ48">
        <f>INDEX('Trade Log'!$BU$15:$BU$1172,BH48,0)</f>
        <v>0</v>
      </c>
      <c r="BK48">
        <f>INDEX('Trade Log'!$BV$15:$BV$1172,BH48,0)</f>
        <v>0</v>
      </c>
      <c r="BL48">
        <f t="shared" si="31"/>
        <v>0</v>
      </c>
      <c r="BM48" t="str">
        <f>INDEX('Trade Log'!$BX$15:$BX$977,MATCH(BI48,'Trade Log'!$BT$15:$BT$977,0))</f>
        <v>3</v>
      </c>
      <c r="BN48" s="10" t="e">
        <f t="shared" si="32"/>
        <v>#N/A</v>
      </c>
      <c r="BO48" s="496" t="e">
        <f>'Trade Log'!$I$10-BN48</f>
        <v>#N/A</v>
      </c>
      <c r="BP48" t="e">
        <f>INDEX('Trade Log'!$BQ$15:$BQ$9991,MATCH(BI48,'Trade Log'!$BT$15:$BT$9991,0))</f>
        <v>#N/A</v>
      </c>
      <c r="BS48" t="str">
        <f t="shared" si="40"/>
        <v/>
      </c>
      <c r="BT48" t="e">
        <f>INDEX(Settings!$AA$14:$AA$28,MATCH(BS48,Settings!$Z$14:$Z$28,0))</f>
        <v>#N/A</v>
      </c>
      <c r="BV48" t="str">
        <f t="shared" si="41"/>
        <v/>
      </c>
      <c r="BW48" t="str">
        <f t="shared" si="42"/>
        <v/>
      </c>
      <c r="BX48" t="str">
        <f t="shared" si="42"/>
        <v/>
      </c>
      <c r="BY48" t="str">
        <f t="shared" si="42"/>
        <v/>
      </c>
      <c r="BZ48" t="str">
        <f t="shared" si="42"/>
        <v/>
      </c>
      <c r="CA48" t="str">
        <f t="shared" si="42"/>
        <v/>
      </c>
      <c r="CB48" t="str">
        <f t="shared" si="42"/>
        <v/>
      </c>
      <c r="CC48" t="str">
        <f t="shared" si="42"/>
        <v/>
      </c>
      <c r="CD48" t="str">
        <f t="shared" si="42"/>
        <v/>
      </c>
      <c r="CE48" t="str">
        <f t="shared" si="42"/>
        <v/>
      </c>
      <c r="CF48" t="str">
        <f t="shared" si="42"/>
        <v/>
      </c>
      <c r="CG48" t="str">
        <f t="shared" si="43"/>
        <v/>
      </c>
      <c r="CH48" t="str">
        <f t="shared" si="43"/>
        <v/>
      </c>
      <c r="CI48" t="str">
        <f t="shared" si="43"/>
        <v/>
      </c>
      <c r="CJ48" t="str">
        <f t="shared" si="43"/>
        <v/>
      </c>
      <c r="CK48" t="str">
        <f t="shared" si="43"/>
        <v/>
      </c>
      <c r="CL48" t="str">
        <f t="shared" si="43"/>
        <v/>
      </c>
      <c r="CM48" t="str">
        <f t="shared" si="43"/>
        <v/>
      </c>
      <c r="CN48" t="str">
        <f t="shared" si="43"/>
        <v/>
      </c>
      <c r="CO48" t="str">
        <f t="shared" si="43"/>
        <v/>
      </c>
    </row>
    <row r="49" spans="41:68">
      <c r="AO49" t="e">
        <f>IF(AQ49&lt;0,"",MATCH('Stock Position'!E49,$AX$15:$AX$251,0))</f>
        <v>#N/A</v>
      </c>
      <c r="AP49" t="e">
        <f>IF(AR49&gt;0,"",MATCH('Stock Position'!N49,$AX$15:$AX$251,0))</f>
        <v>#N/A</v>
      </c>
      <c r="AQ49">
        <f>LARGE($AX$15:$AX$251,'Stock Position'!C49)</f>
        <v>0</v>
      </c>
      <c r="AR49">
        <f>SMALL($AX$15:$AX$251,'Stock Position'!C49)</f>
        <v>0</v>
      </c>
      <c r="AS49" t="str">
        <f>'Trade Log'!BT49</f>
        <v/>
      </c>
      <c r="AT49">
        <f t="shared" si="22"/>
        <v>0</v>
      </c>
      <c r="AU49">
        <f t="shared" si="23"/>
        <v>0</v>
      </c>
      <c r="AV49" s="491" t="e">
        <f t="shared" si="24"/>
        <v>#DIV/0!</v>
      </c>
      <c r="AW49" t="e">
        <f t="shared" si="25"/>
        <v>#DIV/0!</v>
      </c>
      <c r="AX49" s="17">
        <f t="shared" si="26"/>
        <v>0</v>
      </c>
      <c r="AY49" s="30" t="e">
        <f t="shared" si="27"/>
        <v>#DIV/0!</v>
      </c>
      <c r="AZ49" s="17" t="str">
        <f t="shared" si="28"/>
        <v>NA</v>
      </c>
      <c r="BA49" s="491" t="str">
        <f t="shared" si="29"/>
        <v>NA</v>
      </c>
      <c r="BB49">
        <f t="shared" si="30"/>
        <v>0</v>
      </c>
      <c r="BG49">
        <f>IFERROR(LARGE('Trade Log'!$BY$15:$BY$1672,'Trade Log'!C49),"")</f>
        <v>0</v>
      </c>
      <c r="BH49">
        <f>MATCH(BG49,'Trade Log'!$BY$15:$BY$1672,0)</f>
        <v>1</v>
      </c>
      <c r="BI49" t="str">
        <f>IF(BG49=0,"",INDEX('Trade Log'!$BT$15:$BT$1172,BH49))</f>
        <v/>
      </c>
      <c r="BJ49">
        <f>INDEX('Trade Log'!$BU$15:$BU$1172,BH49,0)</f>
        <v>0</v>
      </c>
      <c r="BK49">
        <f>INDEX('Trade Log'!$BV$15:$BV$1172,BH49,0)</f>
        <v>0</v>
      </c>
      <c r="BL49">
        <f t="shared" si="31"/>
        <v>0</v>
      </c>
      <c r="BM49" t="str">
        <f>INDEX('Trade Log'!$BX$15:$BX$977,MATCH(BI49,'Trade Log'!$BT$15:$BT$977,0))</f>
        <v>3</v>
      </c>
      <c r="BN49" s="10" t="e">
        <f t="shared" si="32"/>
        <v>#N/A</v>
      </c>
      <c r="BO49" s="496" t="e">
        <f>'Trade Log'!$I$10-BN49</f>
        <v>#N/A</v>
      </c>
      <c r="BP49" t="e">
        <f>INDEX('Trade Log'!$BQ$15:$BQ$9991,MATCH(BI49,'Trade Log'!$BT$15:$BT$9991,0))</f>
        <v>#N/A</v>
      </c>
    </row>
    <row r="50" spans="41:68">
      <c r="AO50" t="e">
        <f>IF(AQ50&lt;0,"",MATCH('Stock Position'!E50,$AX$15:$AX$251,0))</f>
        <v>#N/A</v>
      </c>
      <c r="AP50" t="e">
        <f>IF(AR50&gt;0,"",MATCH('Stock Position'!N50,$AX$15:$AX$251,0))</f>
        <v>#N/A</v>
      </c>
      <c r="AQ50">
        <f>LARGE($AX$15:$AX$251,'Stock Position'!C50)</f>
        <v>0</v>
      </c>
      <c r="AR50">
        <f>SMALL($AX$15:$AX$251,'Stock Position'!C50)</f>
        <v>0</v>
      </c>
      <c r="AS50" t="str">
        <f>'Trade Log'!BT50</f>
        <v/>
      </c>
      <c r="AT50">
        <f t="shared" si="22"/>
        <v>0</v>
      </c>
      <c r="AU50">
        <f t="shared" si="23"/>
        <v>0</v>
      </c>
      <c r="AV50" s="491" t="e">
        <f t="shared" si="24"/>
        <v>#DIV/0!</v>
      </c>
      <c r="AW50" t="e">
        <f t="shared" si="25"/>
        <v>#DIV/0!</v>
      </c>
      <c r="AX50" s="17">
        <f t="shared" si="26"/>
        <v>0</v>
      </c>
      <c r="AY50" s="30" t="e">
        <f t="shared" si="27"/>
        <v>#DIV/0!</v>
      </c>
      <c r="AZ50" s="17" t="str">
        <f t="shared" si="28"/>
        <v>NA</v>
      </c>
      <c r="BA50" s="491" t="str">
        <f t="shared" si="29"/>
        <v>NA</v>
      </c>
      <c r="BB50">
        <f t="shared" si="30"/>
        <v>0</v>
      </c>
      <c r="BG50">
        <f>IFERROR(LARGE('Trade Log'!$BY$15:$BY$1672,'Trade Log'!C50),"")</f>
        <v>0</v>
      </c>
      <c r="BH50">
        <f>MATCH(BG50,'Trade Log'!$BY$15:$BY$1672,0)</f>
        <v>1</v>
      </c>
      <c r="BI50" t="str">
        <f>IF(BG50=0,"",INDEX('Trade Log'!$BT$15:$BT$1172,BH50))</f>
        <v/>
      </c>
      <c r="BJ50">
        <f>INDEX('Trade Log'!$BU$15:$BU$1172,BH50,0)</f>
        <v>0</v>
      </c>
      <c r="BK50">
        <f>INDEX('Trade Log'!$BV$15:$BV$1172,BH50,0)</f>
        <v>0</v>
      </c>
      <c r="BL50">
        <f t="shared" si="31"/>
        <v>0</v>
      </c>
      <c r="BM50" t="str">
        <f>INDEX('Trade Log'!$BX$15:$BX$977,MATCH(BI50,'Trade Log'!$BT$15:$BT$977,0))</f>
        <v>3</v>
      </c>
      <c r="BN50" s="10" t="e">
        <f t="shared" si="32"/>
        <v>#N/A</v>
      </c>
      <c r="BO50" s="496" t="e">
        <f>'Trade Log'!$I$10-BN50</f>
        <v>#N/A</v>
      </c>
      <c r="BP50" t="e">
        <f>INDEX('Trade Log'!$BQ$15:$BQ$9991,MATCH(BI50,'Trade Log'!$BT$15:$BT$9991,0))</f>
        <v>#N/A</v>
      </c>
    </row>
    <row r="51" spans="41:68">
      <c r="AO51" t="e">
        <f>IF(AQ51&lt;0,"",MATCH('Stock Position'!E51,$AX$15:$AX$251,0))</f>
        <v>#N/A</v>
      </c>
      <c r="AP51" t="e">
        <f>IF(AR51&gt;0,"",MATCH('Stock Position'!N51,$AX$15:$AX$251,0))</f>
        <v>#N/A</v>
      </c>
      <c r="AQ51">
        <f>LARGE($AX$15:$AX$251,'Stock Position'!C51)</f>
        <v>0</v>
      </c>
      <c r="AR51">
        <f>SMALL($AX$15:$AX$251,'Stock Position'!C51)</f>
        <v>0</v>
      </c>
      <c r="AS51" t="str">
        <f>'Trade Log'!BT51</f>
        <v/>
      </c>
      <c r="AT51">
        <f t="shared" si="22"/>
        <v>0</v>
      </c>
      <c r="AU51">
        <f t="shared" si="23"/>
        <v>0</v>
      </c>
      <c r="AV51" s="491" t="e">
        <f t="shared" si="24"/>
        <v>#DIV/0!</v>
      </c>
      <c r="AW51" t="e">
        <f t="shared" si="25"/>
        <v>#DIV/0!</v>
      </c>
      <c r="AX51" s="17">
        <f t="shared" si="26"/>
        <v>0</v>
      </c>
      <c r="AY51" s="30" t="e">
        <f t="shared" si="27"/>
        <v>#DIV/0!</v>
      </c>
      <c r="AZ51" s="17" t="str">
        <f t="shared" si="28"/>
        <v>NA</v>
      </c>
      <c r="BA51" s="491" t="str">
        <f t="shared" si="29"/>
        <v>NA</v>
      </c>
      <c r="BB51">
        <f t="shared" si="30"/>
        <v>0</v>
      </c>
      <c r="BG51">
        <f>IFERROR(LARGE('Trade Log'!$BY$15:$BY$1672,'Trade Log'!C51),"")</f>
        <v>0</v>
      </c>
      <c r="BH51">
        <f>MATCH(BG51,'Trade Log'!$BY$15:$BY$1672,0)</f>
        <v>1</v>
      </c>
      <c r="BI51" t="str">
        <f>IF(BG51=0,"",INDEX('Trade Log'!$BT$15:$BT$1172,BH51))</f>
        <v/>
      </c>
      <c r="BJ51">
        <f>INDEX('Trade Log'!$BU$15:$BU$1172,BH51,0)</f>
        <v>0</v>
      </c>
      <c r="BK51">
        <f>INDEX('Trade Log'!$BV$15:$BV$1172,BH51,0)</f>
        <v>0</v>
      </c>
      <c r="BL51">
        <f t="shared" si="31"/>
        <v>0</v>
      </c>
      <c r="BM51" t="str">
        <f>INDEX('Trade Log'!$BX$15:$BX$977,MATCH(BI51,'Trade Log'!$BT$15:$BT$977,0))</f>
        <v>3</v>
      </c>
      <c r="BN51" s="10" t="e">
        <f t="shared" si="32"/>
        <v>#N/A</v>
      </c>
      <c r="BO51" s="496" t="e">
        <f>'Trade Log'!$I$10-BN51</f>
        <v>#N/A</v>
      </c>
      <c r="BP51" t="e">
        <f>INDEX('Trade Log'!$BQ$15:$BQ$9991,MATCH(BI51,'Trade Log'!$BT$15:$BT$9991,0))</f>
        <v>#N/A</v>
      </c>
    </row>
    <row r="52" spans="41:68">
      <c r="AO52" t="e">
        <f>IF(AQ52&lt;0,"",MATCH('Stock Position'!E52,$AX$15:$AX$251,0))</f>
        <v>#N/A</v>
      </c>
      <c r="AP52" t="e">
        <f>IF(AR52&gt;0,"",MATCH('Stock Position'!N52,$AX$15:$AX$251,0))</f>
        <v>#N/A</v>
      </c>
      <c r="AQ52">
        <f>LARGE($AX$15:$AX$251,'Stock Position'!C52)</f>
        <v>0</v>
      </c>
      <c r="AR52">
        <f>SMALL($AX$15:$AX$251,'Stock Position'!C52)</f>
        <v>0</v>
      </c>
      <c r="AS52" t="str">
        <f>'Trade Log'!BT52</f>
        <v/>
      </c>
      <c r="AT52">
        <f t="shared" si="22"/>
        <v>0</v>
      </c>
      <c r="AU52">
        <f t="shared" si="23"/>
        <v>0</v>
      </c>
      <c r="AV52" s="491" t="e">
        <f t="shared" si="24"/>
        <v>#DIV/0!</v>
      </c>
      <c r="AW52" t="e">
        <f t="shared" si="25"/>
        <v>#DIV/0!</v>
      </c>
      <c r="AX52" s="17">
        <f t="shared" si="26"/>
        <v>0</v>
      </c>
      <c r="AY52" s="30" t="e">
        <f t="shared" si="27"/>
        <v>#DIV/0!</v>
      </c>
      <c r="AZ52" s="17" t="str">
        <f t="shared" si="28"/>
        <v>NA</v>
      </c>
      <c r="BA52" s="491" t="str">
        <f t="shared" si="29"/>
        <v>NA</v>
      </c>
      <c r="BB52">
        <f t="shared" si="30"/>
        <v>0</v>
      </c>
      <c r="BG52">
        <f>IFERROR(LARGE('Trade Log'!$BY$15:$BY$1672,'Trade Log'!C52),"")</f>
        <v>0</v>
      </c>
      <c r="BH52">
        <f>MATCH(BG52,'Trade Log'!$BY$15:$BY$1672,0)</f>
        <v>1</v>
      </c>
      <c r="BI52" t="str">
        <f>IF(BG52=0,"",INDEX('Trade Log'!$BT$15:$BT$1172,BH52))</f>
        <v/>
      </c>
      <c r="BJ52">
        <f>INDEX('Trade Log'!$BU$15:$BU$1172,BH52,0)</f>
        <v>0</v>
      </c>
      <c r="BK52">
        <f>INDEX('Trade Log'!$BV$15:$BV$1172,BH52,0)</f>
        <v>0</v>
      </c>
      <c r="BL52">
        <f t="shared" si="31"/>
        <v>0</v>
      </c>
      <c r="BM52" t="str">
        <f>INDEX('Trade Log'!$BX$15:$BX$977,MATCH(BI52,'Trade Log'!$BT$15:$BT$977,0))</f>
        <v>3</v>
      </c>
      <c r="BN52" s="10" t="e">
        <f t="shared" si="32"/>
        <v>#N/A</v>
      </c>
      <c r="BO52" s="496" t="e">
        <f>'Trade Log'!$I$10-BN52</f>
        <v>#N/A</v>
      </c>
      <c r="BP52" t="e">
        <f>INDEX('Trade Log'!$BQ$15:$BQ$9991,MATCH(BI52,'Trade Log'!$BT$15:$BT$9991,0))</f>
        <v>#N/A</v>
      </c>
    </row>
    <row r="53" spans="41:68">
      <c r="AO53" t="e">
        <f>IF(AQ53&lt;0,"",MATCH('Stock Position'!E53,$AX$15:$AX$251,0))</f>
        <v>#N/A</v>
      </c>
      <c r="AP53" t="e">
        <f>IF(AR53&gt;0,"",MATCH('Stock Position'!N53,$AX$15:$AX$251,0))</f>
        <v>#N/A</v>
      </c>
      <c r="AQ53">
        <f>LARGE($AX$15:$AX$251,'Stock Position'!C53)</f>
        <v>0</v>
      </c>
      <c r="AR53">
        <f>SMALL($AX$15:$AX$251,'Stock Position'!C53)</f>
        <v>0</v>
      </c>
      <c r="AS53" t="str">
        <f>'Trade Log'!BT53</f>
        <v/>
      </c>
      <c r="AT53">
        <f t="shared" si="22"/>
        <v>0</v>
      </c>
      <c r="AU53">
        <f t="shared" si="23"/>
        <v>0</v>
      </c>
      <c r="AV53" s="491" t="e">
        <f t="shared" si="24"/>
        <v>#DIV/0!</v>
      </c>
      <c r="AW53" t="e">
        <f t="shared" si="25"/>
        <v>#DIV/0!</v>
      </c>
      <c r="AX53" s="17">
        <f t="shared" si="26"/>
        <v>0</v>
      </c>
      <c r="AY53" s="30" t="e">
        <f t="shared" si="27"/>
        <v>#DIV/0!</v>
      </c>
      <c r="AZ53" s="17" t="str">
        <f t="shared" si="28"/>
        <v>NA</v>
      </c>
      <c r="BA53" s="491" t="str">
        <f t="shared" si="29"/>
        <v>NA</v>
      </c>
      <c r="BB53">
        <f t="shared" si="30"/>
        <v>0</v>
      </c>
      <c r="BG53">
        <f>IFERROR(LARGE('Trade Log'!$BY$15:$BY$1672,'Trade Log'!C53),"")</f>
        <v>0</v>
      </c>
      <c r="BH53">
        <f>MATCH(BG53,'Trade Log'!$BY$15:$BY$1672,0)</f>
        <v>1</v>
      </c>
      <c r="BI53" t="str">
        <f>IF(BG53=0,"",INDEX('Trade Log'!$BT$15:$BT$1172,BH53))</f>
        <v/>
      </c>
      <c r="BJ53">
        <f>INDEX('Trade Log'!$BU$15:$BU$1172,BH53,0)</f>
        <v>0</v>
      </c>
      <c r="BK53">
        <f>INDEX('Trade Log'!$BV$15:$BV$1172,BH53,0)</f>
        <v>0</v>
      </c>
      <c r="BL53">
        <f t="shared" si="31"/>
        <v>0</v>
      </c>
      <c r="BM53" t="str">
        <f>INDEX('Trade Log'!$BX$15:$BX$977,MATCH(BI53,'Trade Log'!$BT$15:$BT$977,0))</f>
        <v>3</v>
      </c>
      <c r="BN53" s="10" t="e">
        <f t="shared" si="32"/>
        <v>#N/A</v>
      </c>
      <c r="BO53" s="496" t="e">
        <f>'Trade Log'!$I$10-BN53</f>
        <v>#N/A</v>
      </c>
      <c r="BP53" t="e">
        <f>INDEX('Trade Log'!$BQ$15:$BQ$9991,MATCH(BI53,'Trade Log'!$BT$15:$BT$9991,0))</f>
        <v>#N/A</v>
      </c>
    </row>
    <row r="54" spans="41:68">
      <c r="AO54" t="e">
        <f>IF(AQ54&lt;0,"",MATCH('Stock Position'!E54,$AX$15:$AX$251,0))</f>
        <v>#N/A</v>
      </c>
      <c r="AP54" t="e">
        <f>IF(AR54&gt;0,"",MATCH('Stock Position'!N54,$AX$15:$AX$251,0))</f>
        <v>#N/A</v>
      </c>
      <c r="AQ54">
        <f>LARGE($AX$15:$AX$251,'Stock Position'!C54)</f>
        <v>0</v>
      </c>
      <c r="AR54">
        <f>SMALL($AX$15:$AX$251,'Stock Position'!C54)</f>
        <v>0</v>
      </c>
      <c r="AS54" t="str">
        <f>'Trade Log'!BT54</f>
        <v/>
      </c>
      <c r="AT54">
        <f t="shared" si="22"/>
        <v>0</v>
      </c>
      <c r="AU54">
        <f t="shared" si="23"/>
        <v>0</v>
      </c>
      <c r="AV54" s="491" t="e">
        <f t="shared" si="24"/>
        <v>#DIV/0!</v>
      </c>
      <c r="AW54" t="e">
        <f t="shared" si="25"/>
        <v>#DIV/0!</v>
      </c>
      <c r="AX54" s="17">
        <f t="shared" si="26"/>
        <v>0</v>
      </c>
      <c r="AY54" s="30" t="e">
        <f t="shared" si="27"/>
        <v>#DIV/0!</v>
      </c>
      <c r="AZ54" s="17" t="str">
        <f t="shared" si="28"/>
        <v>NA</v>
      </c>
      <c r="BA54" s="491" t="str">
        <f t="shared" si="29"/>
        <v>NA</v>
      </c>
      <c r="BB54">
        <f t="shared" si="30"/>
        <v>0</v>
      </c>
      <c r="BG54">
        <f>IFERROR(LARGE('Trade Log'!$BY$15:$BY$1672,'Trade Log'!C54),"")</f>
        <v>0</v>
      </c>
      <c r="BH54">
        <f>MATCH(BG54,'Trade Log'!$BY$15:$BY$1672,0)</f>
        <v>1</v>
      </c>
      <c r="BI54" t="str">
        <f>IF(BG54=0,"",INDEX('Trade Log'!$BT$15:$BT$1172,BH54))</f>
        <v/>
      </c>
      <c r="BJ54">
        <f>INDEX('Trade Log'!$BU$15:$BU$1172,BH54,0)</f>
        <v>0</v>
      </c>
      <c r="BK54">
        <f>INDEX('Trade Log'!$BV$15:$BV$1172,BH54,0)</f>
        <v>0</v>
      </c>
      <c r="BL54">
        <f t="shared" si="31"/>
        <v>0</v>
      </c>
      <c r="BM54" t="str">
        <f>INDEX('Trade Log'!$BX$15:$BX$977,MATCH(BI54,'Trade Log'!$BT$15:$BT$977,0))</f>
        <v>3</v>
      </c>
      <c r="BN54" s="10" t="e">
        <f t="shared" si="32"/>
        <v>#N/A</v>
      </c>
      <c r="BO54" s="496" t="e">
        <f>'Trade Log'!$I$10-BN54</f>
        <v>#N/A</v>
      </c>
      <c r="BP54" t="e">
        <f>INDEX('Trade Log'!$BQ$15:$BQ$9991,MATCH(BI54,'Trade Log'!$BT$15:$BT$9991,0))</f>
        <v>#N/A</v>
      </c>
    </row>
    <row r="55" spans="41:68">
      <c r="AO55" t="e">
        <f>IF(AQ55&lt;0,"",MATCH('Stock Position'!E55,$AX$15:$AX$251,0))</f>
        <v>#N/A</v>
      </c>
      <c r="AP55" t="e">
        <f>IF(AR55&gt;0,"",MATCH('Stock Position'!N55,$AX$15:$AX$251,0))</f>
        <v>#N/A</v>
      </c>
      <c r="AQ55">
        <f>LARGE($AX$15:$AX$251,'Stock Position'!C55)</f>
        <v>0</v>
      </c>
      <c r="AR55">
        <f>SMALL($AX$15:$AX$251,'Stock Position'!C55)</f>
        <v>0</v>
      </c>
      <c r="AS55" t="str">
        <f>'Trade Log'!BT55</f>
        <v/>
      </c>
      <c r="AT55">
        <f t="shared" si="22"/>
        <v>0</v>
      </c>
      <c r="AU55">
        <f t="shared" si="23"/>
        <v>0</v>
      </c>
      <c r="AV55" s="491" t="e">
        <f t="shared" si="24"/>
        <v>#DIV/0!</v>
      </c>
      <c r="AW55" t="e">
        <f t="shared" si="25"/>
        <v>#DIV/0!</v>
      </c>
      <c r="AX55" s="17">
        <f t="shared" si="26"/>
        <v>0</v>
      </c>
      <c r="AY55" s="30" t="e">
        <f t="shared" si="27"/>
        <v>#DIV/0!</v>
      </c>
      <c r="AZ55" s="17" t="str">
        <f t="shared" si="28"/>
        <v>NA</v>
      </c>
      <c r="BA55" s="491" t="str">
        <f t="shared" si="29"/>
        <v>NA</v>
      </c>
      <c r="BB55">
        <f t="shared" si="30"/>
        <v>0</v>
      </c>
    </row>
    <row r="56" spans="41:68">
      <c r="AO56" t="e">
        <f>IF(AQ56&lt;0,"",MATCH('Stock Position'!E56,$AX$15:$AX$251,0))</f>
        <v>#N/A</v>
      </c>
      <c r="AP56" t="e">
        <f>IF(AR56&gt;0,"",MATCH('Stock Position'!N56,$AX$15:$AX$251,0))</f>
        <v>#N/A</v>
      </c>
      <c r="AQ56">
        <f>LARGE($AX$15:$AX$251,'Stock Position'!C56)</f>
        <v>0</v>
      </c>
      <c r="AR56">
        <f>SMALL($AX$15:$AX$251,'Stock Position'!C56)</f>
        <v>0</v>
      </c>
      <c r="AS56" t="str">
        <f>'Trade Log'!BT56</f>
        <v/>
      </c>
      <c r="AT56">
        <f t="shared" si="22"/>
        <v>0</v>
      </c>
      <c r="AU56">
        <f t="shared" si="23"/>
        <v>0</v>
      </c>
      <c r="AV56" s="491" t="e">
        <f t="shared" si="24"/>
        <v>#DIV/0!</v>
      </c>
      <c r="AW56" t="e">
        <f t="shared" si="25"/>
        <v>#DIV/0!</v>
      </c>
      <c r="AX56" s="17">
        <f t="shared" si="26"/>
        <v>0</v>
      </c>
      <c r="AY56" s="30" t="e">
        <f t="shared" si="27"/>
        <v>#DIV/0!</v>
      </c>
      <c r="AZ56" s="17" t="str">
        <f t="shared" si="28"/>
        <v>NA</v>
      </c>
      <c r="BA56" s="491" t="str">
        <f t="shared" si="29"/>
        <v>NA</v>
      </c>
      <c r="BB56">
        <f t="shared" si="30"/>
        <v>0</v>
      </c>
    </row>
    <row r="57" spans="41:68">
      <c r="AO57" t="e">
        <f>IF(AQ57&lt;0,"",MATCH('Stock Position'!E57,$AX$15:$AX$251,0))</f>
        <v>#N/A</v>
      </c>
      <c r="AP57" t="e">
        <f>IF(AR57&gt;0,"",MATCH('Stock Position'!N57,$AX$15:$AX$251,0))</f>
        <v>#N/A</v>
      </c>
      <c r="AQ57">
        <f>LARGE($AX$15:$AX$251,'Stock Position'!C57)</f>
        <v>0</v>
      </c>
      <c r="AR57">
        <f>SMALL($AX$15:$AX$251,'Stock Position'!C57)</f>
        <v>0</v>
      </c>
      <c r="AS57" t="str">
        <f>'Trade Log'!BT57</f>
        <v/>
      </c>
      <c r="AT57">
        <f t="shared" si="22"/>
        <v>0</v>
      </c>
      <c r="AU57">
        <f t="shared" si="23"/>
        <v>0</v>
      </c>
      <c r="AV57" s="491" t="e">
        <f t="shared" si="24"/>
        <v>#DIV/0!</v>
      </c>
      <c r="AW57" t="e">
        <f t="shared" si="25"/>
        <v>#DIV/0!</v>
      </c>
      <c r="AX57" s="17">
        <f t="shared" si="26"/>
        <v>0</v>
      </c>
      <c r="AY57" s="30" t="e">
        <f t="shared" si="27"/>
        <v>#DIV/0!</v>
      </c>
      <c r="AZ57" s="17" t="str">
        <f t="shared" si="28"/>
        <v>NA</v>
      </c>
      <c r="BA57" s="491" t="str">
        <f t="shared" si="29"/>
        <v>NA</v>
      </c>
      <c r="BB57">
        <f t="shared" si="30"/>
        <v>0</v>
      </c>
    </row>
    <row r="58" spans="41:68">
      <c r="AO58" t="e">
        <f>IF(AQ58&lt;0,"",MATCH('Stock Position'!E58,$AX$15:$AX$251,0))</f>
        <v>#N/A</v>
      </c>
      <c r="AP58" t="e">
        <f>IF(AR58&gt;0,"",MATCH('Stock Position'!N58,$AX$15:$AX$251,0))</f>
        <v>#N/A</v>
      </c>
      <c r="AQ58">
        <f>LARGE($AX$15:$AX$251,'Stock Position'!C58)</f>
        <v>0</v>
      </c>
      <c r="AR58">
        <f>SMALL($AX$15:$AX$251,'Stock Position'!C58)</f>
        <v>0</v>
      </c>
      <c r="AS58" t="str">
        <f>'Trade Log'!BT58</f>
        <v/>
      </c>
      <c r="AT58">
        <f t="shared" si="22"/>
        <v>0</v>
      </c>
      <c r="AU58">
        <f t="shared" si="23"/>
        <v>0</v>
      </c>
      <c r="AV58" s="491" t="e">
        <f t="shared" si="24"/>
        <v>#DIV/0!</v>
      </c>
      <c r="AW58" t="e">
        <f t="shared" si="25"/>
        <v>#DIV/0!</v>
      </c>
      <c r="AX58" s="17">
        <f t="shared" si="26"/>
        <v>0</v>
      </c>
      <c r="AY58" s="30" t="e">
        <f t="shared" si="27"/>
        <v>#DIV/0!</v>
      </c>
      <c r="AZ58" s="17" t="str">
        <f t="shared" si="28"/>
        <v>NA</v>
      </c>
      <c r="BA58" s="491" t="str">
        <f t="shared" si="29"/>
        <v>NA</v>
      </c>
      <c r="BB58">
        <f t="shared" si="30"/>
        <v>0</v>
      </c>
    </row>
    <row r="59" spans="41:68">
      <c r="AO59" t="e">
        <f>IF(AQ59&lt;0,"",MATCH('Stock Position'!E59,$AX$15:$AX$251,0))</f>
        <v>#N/A</v>
      </c>
      <c r="AP59" t="e">
        <f>IF(AR59&gt;0,"",MATCH('Stock Position'!N59,$AX$15:$AX$251,0))</f>
        <v>#N/A</v>
      </c>
      <c r="AQ59">
        <f>LARGE($AX$15:$AX$251,'Stock Position'!C59)</f>
        <v>0</v>
      </c>
      <c r="AR59">
        <f>SMALL($AX$15:$AX$251,'Stock Position'!C59)</f>
        <v>0</v>
      </c>
      <c r="AS59" t="str">
        <f>'Trade Log'!BT59</f>
        <v/>
      </c>
      <c r="AT59">
        <f t="shared" si="22"/>
        <v>0</v>
      </c>
      <c r="AU59">
        <f t="shared" si="23"/>
        <v>0</v>
      </c>
      <c r="AV59" s="491" t="e">
        <f t="shared" si="24"/>
        <v>#DIV/0!</v>
      </c>
      <c r="AW59" t="e">
        <f t="shared" si="25"/>
        <v>#DIV/0!</v>
      </c>
      <c r="AX59" s="17">
        <f t="shared" si="26"/>
        <v>0</v>
      </c>
      <c r="AY59" s="30" t="e">
        <f t="shared" si="27"/>
        <v>#DIV/0!</v>
      </c>
      <c r="AZ59" s="17" t="str">
        <f t="shared" si="28"/>
        <v>NA</v>
      </c>
      <c r="BA59" s="491" t="str">
        <f t="shared" si="29"/>
        <v>NA</v>
      </c>
      <c r="BB59">
        <f t="shared" si="30"/>
        <v>0</v>
      </c>
    </row>
    <row r="60" spans="41:68">
      <c r="AO60" t="e">
        <f>IF(AQ60&lt;0,"",MATCH('Stock Position'!E60,$AX$15:$AX$251,0))</f>
        <v>#N/A</v>
      </c>
      <c r="AP60" t="e">
        <f>IF(AR60&gt;0,"",MATCH('Stock Position'!N60,$AX$15:$AX$251,0))</f>
        <v>#N/A</v>
      </c>
      <c r="AQ60">
        <f>LARGE($AX$15:$AX$251,'Stock Position'!C60)</f>
        <v>0</v>
      </c>
      <c r="AR60">
        <f>SMALL($AX$15:$AX$251,'Stock Position'!C60)</f>
        <v>0</v>
      </c>
      <c r="AS60" t="str">
        <f>'Trade Log'!BT60</f>
        <v/>
      </c>
      <c r="AT60">
        <f t="shared" si="22"/>
        <v>0</v>
      </c>
      <c r="AU60">
        <f t="shared" si="23"/>
        <v>0</v>
      </c>
      <c r="AV60" s="491" t="e">
        <f t="shared" si="24"/>
        <v>#DIV/0!</v>
      </c>
      <c r="AW60" t="e">
        <f t="shared" si="25"/>
        <v>#DIV/0!</v>
      </c>
      <c r="AX60" s="17">
        <f t="shared" si="26"/>
        <v>0</v>
      </c>
      <c r="AY60" s="30" t="e">
        <f t="shared" si="27"/>
        <v>#DIV/0!</v>
      </c>
      <c r="AZ60" s="17" t="str">
        <f t="shared" si="28"/>
        <v>NA</v>
      </c>
      <c r="BA60" s="491" t="str">
        <f t="shared" si="29"/>
        <v>NA</v>
      </c>
      <c r="BB60">
        <f t="shared" si="30"/>
        <v>0</v>
      </c>
    </row>
    <row r="61" spans="41:68">
      <c r="AO61" t="e">
        <f>IF(AQ61&lt;0,"",MATCH('Stock Position'!E61,$AX$15:$AX$251,0))</f>
        <v>#N/A</v>
      </c>
      <c r="AP61" t="e">
        <f>IF(AR61&gt;0,"",MATCH('Stock Position'!N61,$AX$15:$AX$251,0))</f>
        <v>#N/A</v>
      </c>
      <c r="AQ61">
        <f>LARGE($AX$15:$AX$251,'Stock Position'!C61)</f>
        <v>0</v>
      </c>
      <c r="AR61">
        <f>SMALL($AX$15:$AX$251,'Stock Position'!C61)</f>
        <v>0</v>
      </c>
      <c r="AS61" t="str">
        <f>'Trade Log'!BT61</f>
        <v/>
      </c>
      <c r="AT61">
        <f t="shared" si="22"/>
        <v>0</v>
      </c>
      <c r="AU61">
        <f t="shared" si="23"/>
        <v>0</v>
      </c>
      <c r="AV61" s="491" t="e">
        <f t="shared" si="24"/>
        <v>#DIV/0!</v>
      </c>
      <c r="AW61" t="e">
        <f t="shared" si="25"/>
        <v>#DIV/0!</v>
      </c>
      <c r="AX61" s="17">
        <f t="shared" si="26"/>
        <v>0</v>
      </c>
      <c r="AY61" s="30" t="e">
        <f t="shared" si="27"/>
        <v>#DIV/0!</v>
      </c>
      <c r="AZ61" s="17" t="str">
        <f t="shared" si="28"/>
        <v>NA</v>
      </c>
      <c r="BA61" s="491" t="str">
        <f t="shared" si="29"/>
        <v>NA</v>
      </c>
      <c r="BB61">
        <f t="shared" si="30"/>
        <v>0</v>
      </c>
    </row>
    <row r="62" spans="41:68">
      <c r="AO62" t="e">
        <f>IF(AQ62&lt;0,"",MATCH('Stock Position'!E62,$AX$15:$AX$251,0))</f>
        <v>#N/A</v>
      </c>
      <c r="AP62" t="e">
        <f>IF(AR62&gt;0,"",MATCH('Stock Position'!N62,$AX$15:$AX$251,0))</f>
        <v>#N/A</v>
      </c>
      <c r="AQ62">
        <f>LARGE($AX$15:$AX$251,'Stock Position'!C62)</f>
        <v>0</v>
      </c>
      <c r="AR62">
        <f>SMALL($AX$15:$AX$251,'Stock Position'!C62)</f>
        <v>0</v>
      </c>
      <c r="AS62" t="str">
        <f>'Trade Log'!BT62</f>
        <v/>
      </c>
      <c r="AT62">
        <f t="shared" si="22"/>
        <v>0</v>
      </c>
      <c r="AU62">
        <f t="shared" si="23"/>
        <v>0</v>
      </c>
      <c r="AV62" s="491" t="e">
        <f t="shared" si="24"/>
        <v>#DIV/0!</v>
      </c>
      <c r="AW62" t="e">
        <f t="shared" si="25"/>
        <v>#DIV/0!</v>
      </c>
      <c r="AX62" s="17">
        <f t="shared" si="26"/>
        <v>0</v>
      </c>
      <c r="AY62" s="30" t="e">
        <f t="shared" si="27"/>
        <v>#DIV/0!</v>
      </c>
      <c r="AZ62" s="17" t="str">
        <f t="shared" si="28"/>
        <v>NA</v>
      </c>
      <c r="BA62" s="491" t="str">
        <f t="shared" si="29"/>
        <v>NA</v>
      </c>
      <c r="BB62">
        <f t="shared" si="30"/>
        <v>0</v>
      </c>
    </row>
    <row r="63" spans="41:68">
      <c r="AO63" t="e">
        <f>IF(AQ63&lt;0,"",MATCH('Stock Position'!E63,$AX$15:$AX$251,0))</f>
        <v>#N/A</v>
      </c>
      <c r="AP63" t="e">
        <f>IF(AR63&gt;0,"",MATCH('Stock Position'!N63,$AX$15:$AX$251,0))</f>
        <v>#N/A</v>
      </c>
      <c r="AQ63">
        <f>LARGE($AX$15:$AX$251,'Stock Position'!C63)</f>
        <v>0</v>
      </c>
      <c r="AR63">
        <f>SMALL($AX$15:$AX$251,'Stock Position'!C63)</f>
        <v>0</v>
      </c>
      <c r="AS63" t="str">
        <f>'Trade Log'!BT63</f>
        <v/>
      </c>
      <c r="AT63">
        <f t="shared" si="22"/>
        <v>0</v>
      </c>
      <c r="AU63">
        <f t="shared" si="23"/>
        <v>0</v>
      </c>
      <c r="AV63" s="491" t="e">
        <f t="shared" si="24"/>
        <v>#DIV/0!</v>
      </c>
      <c r="AW63" t="e">
        <f t="shared" si="25"/>
        <v>#DIV/0!</v>
      </c>
      <c r="AX63" s="17">
        <f t="shared" si="26"/>
        <v>0</v>
      </c>
      <c r="AY63" s="30" t="e">
        <f t="shared" si="27"/>
        <v>#DIV/0!</v>
      </c>
      <c r="AZ63" s="17" t="str">
        <f t="shared" si="28"/>
        <v>NA</v>
      </c>
      <c r="BA63" s="491" t="str">
        <f t="shared" si="29"/>
        <v>NA</v>
      </c>
      <c r="BB63">
        <f t="shared" si="30"/>
        <v>0</v>
      </c>
    </row>
    <row r="64" spans="41:68">
      <c r="AO64" t="e">
        <f>IF(AQ64&lt;0,"",MATCH('Stock Position'!E64,$AX$15:$AX$251,0))</f>
        <v>#N/A</v>
      </c>
      <c r="AP64" t="e">
        <f>IF(AR64&gt;0,"",MATCH('Stock Position'!N64,$AX$15:$AX$251,0))</f>
        <v>#N/A</v>
      </c>
      <c r="AQ64">
        <f>LARGE($AX$15:$AX$251,'Stock Position'!C64)</f>
        <v>0</v>
      </c>
      <c r="AR64">
        <f>SMALL($AX$15:$AX$251,'Stock Position'!C64)</f>
        <v>0</v>
      </c>
      <c r="AS64" t="str">
        <f>'Trade Log'!BT64</f>
        <v/>
      </c>
      <c r="AT64">
        <f t="shared" si="22"/>
        <v>0</v>
      </c>
      <c r="AU64">
        <f t="shared" si="23"/>
        <v>0</v>
      </c>
      <c r="AV64" s="491" t="e">
        <f t="shared" si="24"/>
        <v>#DIV/0!</v>
      </c>
      <c r="AW64" t="e">
        <f t="shared" si="25"/>
        <v>#DIV/0!</v>
      </c>
      <c r="AX64" s="17">
        <f t="shared" si="26"/>
        <v>0</v>
      </c>
      <c r="AY64" s="30" t="e">
        <f t="shared" si="27"/>
        <v>#DIV/0!</v>
      </c>
      <c r="AZ64" s="17" t="str">
        <f t="shared" si="28"/>
        <v>NA</v>
      </c>
      <c r="BA64" s="491" t="str">
        <f t="shared" si="29"/>
        <v>NA</v>
      </c>
      <c r="BB64">
        <f t="shared" si="30"/>
        <v>0</v>
      </c>
    </row>
    <row r="65" spans="41:54">
      <c r="AO65" t="e">
        <f>IF(AQ65&lt;0,"",MATCH('Stock Position'!E65,$AX$15:$AX$251,0))</f>
        <v>#N/A</v>
      </c>
      <c r="AP65" t="e">
        <f>IF(AR65&gt;0,"",MATCH('Stock Position'!N65,$AX$15:$AX$251,0))</f>
        <v>#N/A</v>
      </c>
      <c r="AQ65">
        <f>LARGE($AX$15:$AX$251,'Stock Position'!C65)</f>
        <v>0</v>
      </c>
      <c r="AR65">
        <f>SMALL($AX$15:$AX$251,'Stock Position'!C65)</f>
        <v>0</v>
      </c>
      <c r="AS65">
        <f>'Trade Log'!BT65</f>
        <v>0</v>
      </c>
      <c r="AT65">
        <f t="shared" si="22"/>
        <v>0</v>
      </c>
      <c r="AU65">
        <f t="shared" si="23"/>
        <v>0</v>
      </c>
      <c r="AV65" s="491" t="e">
        <f t="shared" si="24"/>
        <v>#DIV/0!</v>
      </c>
      <c r="AW65" t="e">
        <f t="shared" si="25"/>
        <v>#DIV/0!</v>
      </c>
      <c r="AX65" s="17">
        <f t="shared" si="26"/>
        <v>0</v>
      </c>
      <c r="AY65" s="30" t="e">
        <f t="shared" si="27"/>
        <v>#DIV/0!</v>
      </c>
      <c r="AZ65" s="17" t="str">
        <f t="shared" si="28"/>
        <v>NA</v>
      </c>
      <c r="BA65" s="491" t="str">
        <f t="shared" si="29"/>
        <v>NA</v>
      </c>
      <c r="BB65">
        <f t="shared" si="30"/>
        <v>0</v>
      </c>
    </row>
    <row r="66" spans="41:54">
      <c r="AO66" t="e">
        <f>IF(AQ66&lt;0,"",MATCH('Stock Position'!E66,$AX$15:$AX$251,0))</f>
        <v>#N/A</v>
      </c>
      <c r="AP66" t="e">
        <f>IF(AR66&gt;0,"",MATCH('Stock Position'!N66,$AX$15:$AX$251,0))</f>
        <v>#N/A</v>
      </c>
      <c r="AQ66">
        <f>LARGE($AX$15:$AX$251,'Stock Position'!C66)</f>
        <v>0</v>
      </c>
      <c r="AR66">
        <f>SMALL($AX$15:$AX$251,'Stock Position'!C66)</f>
        <v>0</v>
      </c>
      <c r="AS66">
        <f>'Trade Log'!BT66</f>
        <v>0</v>
      </c>
      <c r="AT66">
        <f t="shared" si="22"/>
        <v>0</v>
      </c>
      <c r="AU66">
        <f t="shared" si="23"/>
        <v>0</v>
      </c>
      <c r="AV66" s="491" t="e">
        <f t="shared" si="24"/>
        <v>#DIV/0!</v>
      </c>
      <c r="AW66" t="e">
        <f t="shared" si="25"/>
        <v>#DIV/0!</v>
      </c>
      <c r="AX66" s="17">
        <f t="shared" si="26"/>
        <v>0</v>
      </c>
      <c r="AY66" s="30" t="e">
        <f t="shared" si="27"/>
        <v>#DIV/0!</v>
      </c>
      <c r="AZ66" s="17" t="str">
        <f t="shared" si="28"/>
        <v>NA</v>
      </c>
      <c r="BA66" s="491" t="str">
        <f t="shared" si="29"/>
        <v>NA</v>
      </c>
      <c r="BB66">
        <f t="shared" si="30"/>
        <v>0</v>
      </c>
    </row>
    <row r="67" spans="41:54">
      <c r="AO67" t="e">
        <f>IF(AQ67&lt;0,"",MATCH('Stock Position'!E67,$AX$15:$AX$251,0))</f>
        <v>#N/A</v>
      </c>
      <c r="AP67" t="e">
        <f>IF(AR67&gt;0,"",MATCH('Stock Position'!N67,$AX$15:$AX$251,0))</f>
        <v>#N/A</v>
      </c>
      <c r="AQ67">
        <f>LARGE($AX$15:$AX$251,'Stock Position'!C67)</f>
        <v>0</v>
      </c>
      <c r="AR67">
        <f>SMALL($AX$15:$AX$251,'Stock Position'!C67)</f>
        <v>0</v>
      </c>
      <c r="AS67">
        <f>'Trade Log'!BT67</f>
        <v>0</v>
      </c>
      <c r="AT67">
        <f t="shared" si="22"/>
        <v>0</v>
      </c>
      <c r="AU67">
        <f t="shared" si="23"/>
        <v>0</v>
      </c>
      <c r="AV67" s="491" t="e">
        <f t="shared" si="24"/>
        <v>#DIV/0!</v>
      </c>
      <c r="AW67" t="e">
        <f t="shared" si="25"/>
        <v>#DIV/0!</v>
      </c>
      <c r="AX67" s="17">
        <f t="shared" si="26"/>
        <v>0</v>
      </c>
      <c r="AY67" s="30" t="e">
        <f t="shared" si="27"/>
        <v>#DIV/0!</v>
      </c>
      <c r="AZ67" s="17" t="str">
        <f t="shared" si="28"/>
        <v>NA</v>
      </c>
      <c r="BA67" s="491" t="str">
        <f t="shared" si="29"/>
        <v>NA</v>
      </c>
      <c r="BB67">
        <f t="shared" si="30"/>
        <v>0</v>
      </c>
    </row>
    <row r="68" spans="41:54">
      <c r="AO68" t="e">
        <f>IF(AQ68&lt;0,"",MATCH('Stock Position'!E68,$AX$15:$AX$251,0))</f>
        <v>#N/A</v>
      </c>
      <c r="AP68" t="e">
        <f>IF(AR68&gt;0,"",MATCH('Stock Position'!N68,$AX$15:$AX$251,0))</f>
        <v>#N/A</v>
      </c>
      <c r="AQ68">
        <f>LARGE($AX$15:$AX$251,'Stock Position'!C68)</f>
        <v>0</v>
      </c>
      <c r="AR68">
        <f>SMALL($AX$15:$AX$251,'Stock Position'!C68)</f>
        <v>0</v>
      </c>
      <c r="AS68">
        <f>'Trade Log'!BT68</f>
        <v>0</v>
      </c>
      <c r="AT68">
        <f t="shared" si="22"/>
        <v>0</v>
      </c>
      <c r="AU68">
        <f t="shared" si="23"/>
        <v>0</v>
      </c>
      <c r="AV68" s="491" t="e">
        <f t="shared" si="24"/>
        <v>#DIV/0!</v>
      </c>
      <c r="AW68" t="e">
        <f t="shared" si="25"/>
        <v>#DIV/0!</v>
      </c>
      <c r="AX68" s="17">
        <f t="shared" si="26"/>
        <v>0</v>
      </c>
      <c r="AY68" s="30" t="e">
        <f t="shared" si="27"/>
        <v>#DIV/0!</v>
      </c>
      <c r="AZ68" s="17" t="str">
        <f t="shared" si="28"/>
        <v>NA</v>
      </c>
      <c r="BA68" s="491" t="str">
        <f t="shared" si="29"/>
        <v>NA</v>
      </c>
      <c r="BB68">
        <f t="shared" si="30"/>
        <v>0</v>
      </c>
    </row>
    <row r="69" spans="41:54">
      <c r="AO69" t="e">
        <f>IF(AQ69&lt;0,"",MATCH('Stock Position'!E69,$AX$15:$AX$251,0))</f>
        <v>#N/A</v>
      </c>
      <c r="AP69" t="e">
        <f>IF(AR69&gt;0,"",MATCH('Stock Position'!N69,$AX$15:$AX$251,0))</f>
        <v>#N/A</v>
      </c>
      <c r="AQ69">
        <f>LARGE($AX$15:$AX$251,'Stock Position'!C69)</f>
        <v>0</v>
      </c>
      <c r="AR69">
        <f>SMALL($AX$15:$AX$251,'Stock Position'!C69)</f>
        <v>0</v>
      </c>
      <c r="AS69">
        <f>'Trade Log'!BT69</f>
        <v>0</v>
      </c>
      <c r="AT69">
        <f t="shared" si="22"/>
        <v>0</v>
      </c>
      <c r="AU69">
        <f t="shared" si="23"/>
        <v>0</v>
      </c>
      <c r="AV69" s="491" t="e">
        <f t="shared" si="24"/>
        <v>#DIV/0!</v>
      </c>
      <c r="AW69" t="e">
        <f t="shared" si="25"/>
        <v>#DIV/0!</v>
      </c>
      <c r="AX69" s="17">
        <f t="shared" si="26"/>
        <v>0</v>
      </c>
      <c r="AY69" s="30" t="e">
        <f t="shared" si="27"/>
        <v>#DIV/0!</v>
      </c>
      <c r="AZ69" s="17" t="str">
        <f t="shared" si="28"/>
        <v>NA</v>
      </c>
      <c r="BA69" s="491" t="str">
        <f t="shared" si="29"/>
        <v>NA</v>
      </c>
      <c r="BB69">
        <f t="shared" si="30"/>
        <v>0</v>
      </c>
    </row>
    <row r="70" spans="41:54">
      <c r="AO70" t="e">
        <f>IF(AQ70&lt;0,"",MATCH('Stock Position'!E70,$AX$15:$AX$251,0))</f>
        <v>#N/A</v>
      </c>
      <c r="AP70" t="e">
        <f>IF(AR70&gt;0,"",MATCH('Stock Position'!N70,$AX$15:$AX$251,0))</f>
        <v>#N/A</v>
      </c>
      <c r="AQ70">
        <f>LARGE($AX$15:$AX$251,'Stock Position'!C70)</f>
        <v>0</v>
      </c>
      <c r="AR70">
        <f>SMALL($AX$15:$AX$251,'Stock Position'!C70)</f>
        <v>0</v>
      </c>
      <c r="AS70">
        <f>'Trade Log'!BT70</f>
        <v>0</v>
      </c>
      <c r="AT70">
        <f t="shared" si="22"/>
        <v>0</v>
      </c>
      <c r="AU70">
        <f t="shared" si="23"/>
        <v>0</v>
      </c>
      <c r="AV70" s="491" t="e">
        <f t="shared" si="24"/>
        <v>#DIV/0!</v>
      </c>
      <c r="AW70" t="e">
        <f t="shared" si="25"/>
        <v>#DIV/0!</v>
      </c>
      <c r="AX70" s="17">
        <f t="shared" si="26"/>
        <v>0</v>
      </c>
      <c r="AY70" s="30" t="e">
        <f t="shared" si="27"/>
        <v>#DIV/0!</v>
      </c>
      <c r="AZ70" s="17" t="str">
        <f t="shared" si="28"/>
        <v>NA</v>
      </c>
      <c r="BA70" s="491" t="str">
        <f t="shared" si="29"/>
        <v>NA</v>
      </c>
      <c r="BB70">
        <f t="shared" si="30"/>
        <v>0</v>
      </c>
    </row>
    <row r="71" spans="41:54">
      <c r="AO71" t="e">
        <f>IF(AQ71&lt;0,"",MATCH('Stock Position'!E71,$AX$15:$AX$251,0))</f>
        <v>#N/A</v>
      </c>
      <c r="AP71" t="e">
        <f>IF(AR71&gt;0,"",MATCH('Stock Position'!N71,$AX$15:$AX$251,0))</f>
        <v>#N/A</v>
      </c>
      <c r="AQ71">
        <f>LARGE($AX$15:$AX$251,'Stock Position'!C71)</f>
        <v>0</v>
      </c>
      <c r="AR71">
        <f>SMALL($AX$15:$AX$251,'Stock Position'!C71)</f>
        <v>0</v>
      </c>
      <c r="AS71">
        <f>'Trade Log'!BT71</f>
        <v>0</v>
      </c>
      <c r="AT71">
        <f t="shared" si="22"/>
        <v>0</v>
      </c>
      <c r="AU71">
        <f t="shared" si="23"/>
        <v>0</v>
      </c>
      <c r="AV71" s="491" t="e">
        <f t="shared" si="24"/>
        <v>#DIV/0!</v>
      </c>
      <c r="AW71" t="e">
        <f t="shared" si="25"/>
        <v>#DIV/0!</v>
      </c>
      <c r="AX71" s="17">
        <f t="shared" si="26"/>
        <v>0</v>
      </c>
      <c r="AY71" s="30" t="e">
        <f t="shared" si="27"/>
        <v>#DIV/0!</v>
      </c>
      <c r="AZ71" s="17" t="str">
        <f t="shared" si="28"/>
        <v>NA</v>
      </c>
      <c r="BA71" s="491" t="str">
        <f t="shared" si="29"/>
        <v>NA</v>
      </c>
      <c r="BB71">
        <f t="shared" si="30"/>
        <v>0</v>
      </c>
    </row>
    <row r="72" spans="41:54">
      <c r="AO72" t="e">
        <f>IF(AQ72&lt;0,"",MATCH('Stock Position'!E72,$AX$15:$AX$251,0))</f>
        <v>#N/A</v>
      </c>
      <c r="AP72" t="e">
        <f>IF(AR72&gt;0,"",MATCH('Stock Position'!N72,$AX$15:$AX$251,0))</f>
        <v>#N/A</v>
      </c>
      <c r="AQ72">
        <f>LARGE($AX$15:$AX$251,'Stock Position'!C72)</f>
        <v>0</v>
      </c>
      <c r="AR72">
        <f>SMALL($AX$15:$AX$251,'Stock Position'!C72)</f>
        <v>0</v>
      </c>
      <c r="AS72">
        <f>'Trade Log'!BT72</f>
        <v>0</v>
      </c>
      <c r="AT72">
        <f t="shared" si="22"/>
        <v>0</v>
      </c>
      <c r="AU72">
        <f t="shared" si="23"/>
        <v>0</v>
      </c>
      <c r="AV72" s="491" t="e">
        <f t="shared" si="24"/>
        <v>#DIV/0!</v>
      </c>
      <c r="AW72" t="e">
        <f t="shared" si="25"/>
        <v>#DIV/0!</v>
      </c>
      <c r="AX72" s="17">
        <f t="shared" si="26"/>
        <v>0</v>
      </c>
      <c r="AY72" s="30" t="e">
        <f t="shared" si="27"/>
        <v>#DIV/0!</v>
      </c>
      <c r="AZ72" s="17" t="str">
        <f t="shared" si="28"/>
        <v>NA</v>
      </c>
      <c r="BA72" s="491" t="str">
        <f t="shared" si="29"/>
        <v>NA</v>
      </c>
      <c r="BB72">
        <f t="shared" si="30"/>
        <v>0</v>
      </c>
    </row>
    <row r="73" spans="41:54">
      <c r="AO73" t="e">
        <f>IF(AQ73&lt;0,"",MATCH('Stock Position'!E73,$AX$15:$AX$251,0))</f>
        <v>#N/A</v>
      </c>
      <c r="AP73" t="e">
        <f>IF(AR73&gt;0,"",MATCH('Stock Position'!N73,$AX$15:$AX$251,0))</f>
        <v>#N/A</v>
      </c>
      <c r="AQ73">
        <f>LARGE($AX$15:$AX$251,'Stock Position'!C73)</f>
        <v>0</v>
      </c>
      <c r="AR73">
        <f>SMALL($AX$15:$AX$251,'Stock Position'!C73)</f>
        <v>0</v>
      </c>
      <c r="AS73">
        <f>'Trade Log'!BT73</f>
        <v>0</v>
      </c>
      <c r="AT73">
        <f t="shared" si="22"/>
        <v>0</v>
      </c>
      <c r="AU73">
        <f t="shared" si="23"/>
        <v>0</v>
      </c>
      <c r="AV73" s="491" t="e">
        <f t="shared" si="24"/>
        <v>#DIV/0!</v>
      </c>
      <c r="AW73" t="e">
        <f t="shared" si="25"/>
        <v>#DIV/0!</v>
      </c>
      <c r="AX73" s="17">
        <f t="shared" si="26"/>
        <v>0</v>
      </c>
      <c r="AY73" s="30" t="e">
        <f t="shared" si="27"/>
        <v>#DIV/0!</v>
      </c>
      <c r="AZ73" s="17" t="str">
        <f t="shared" si="28"/>
        <v>NA</v>
      </c>
      <c r="BA73" s="491" t="str">
        <f t="shared" si="29"/>
        <v>NA</v>
      </c>
      <c r="BB73">
        <f t="shared" si="30"/>
        <v>0</v>
      </c>
    </row>
    <row r="74" spans="41:54">
      <c r="AO74" t="e">
        <f>IF(AQ74&lt;0,"",MATCH('Stock Position'!E74,$AX$15:$AX$251,0))</f>
        <v>#N/A</v>
      </c>
      <c r="AP74" t="e">
        <f>IF(AR74&gt;0,"",MATCH('Stock Position'!N74,$AX$15:$AX$251,0))</f>
        <v>#N/A</v>
      </c>
      <c r="AQ74">
        <f>LARGE($AX$15:$AX$251,'Stock Position'!C74)</f>
        <v>0</v>
      </c>
      <c r="AR74">
        <f>SMALL($AX$15:$AX$251,'Stock Position'!C74)</f>
        <v>0</v>
      </c>
      <c r="AS74">
        <f>'Trade Log'!BT74</f>
        <v>0</v>
      </c>
      <c r="AT74">
        <f t="shared" si="22"/>
        <v>0</v>
      </c>
      <c r="AU74">
        <f t="shared" si="23"/>
        <v>0</v>
      </c>
      <c r="AV74" s="491" t="e">
        <f t="shared" si="24"/>
        <v>#DIV/0!</v>
      </c>
      <c r="AW74" t="e">
        <f t="shared" si="25"/>
        <v>#DIV/0!</v>
      </c>
      <c r="AX74" s="17">
        <f t="shared" si="26"/>
        <v>0</v>
      </c>
      <c r="AY74" s="30" t="e">
        <f t="shared" si="27"/>
        <v>#DIV/0!</v>
      </c>
      <c r="AZ74" s="17" t="str">
        <f t="shared" si="28"/>
        <v>NA</v>
      </c>
      <c r="BA74" s="491" t="str">
        <f t="shared" si="29"/>
        <v>NA</v>
      </c>
      <c r="BB74">
        <f t="shared" si="30"/>
        <v>0</v>
      </c>
    </row>
    <row r="75" spans="41:54">
      <c r="AO75" t="e">
        <f>IF(AQ75&lt;0,"",MATCH('Stock Position'!E75,$AX$15:$AX$251,0))</f>
        <v>#N/A</v>
      </c>
      <c r="AP75" t="e">
        <f>IF(AR75&gt;0,"",MATCH('Stock Position'!N75,$AX$15:$AX$251,0))</f>
        <v>#N/A</v>
      </c>
      <c r="AQ75">
        <f>LARGE($AX$15:$AX$251,'Stock Position'!C75)</f>
        <v>0</v>
      </c>
      <c r="AR75">
        <f>SMALL($AX$15:$AX$251,'Stock Position'!C75)</f>
        <v>0</v>
      </c>
      <c r="AS75">
        <f>'Trade Log'!BT75</f>
        <v>0</v>
      </c>
      <c r="AT75">
        <f t="shared" si="22"/>
        <v>0</v>
      </c>
      <c r="AU75">
        <f t="shared" si="23"/>
        <v>0</v>
      </c>
      <c r="AV75" s="491" t="e">
        <f t="shared" si="24"/>
        <v>#DIV/0!</v>
      </c>
      <c r="AW75" t="e">
        <f t="shared" si="25"/>
        <v>#DIV/0!</v>
      </c>
      <c r="AX75" s="17">
        <f t="shared" si="26"/>
        <v>0</v>
      </c>
      <c r="AY75" s="30" t="e">
        <f t="shared" si="27"/>
        <v>#DIV/0!</v>
      </c>
      <c r="AZ75" s="17" t="str">
        <f t="shared" si="28"/>
        <v>NA</v>
      </c>
      <c r="BA75" s="491" t="str">
        <f t="shared" si="29"/>
        <v>NA</v>
      </c>
      <c r="BB75">
        <f t="shared" si="30"/>
        <v>0</v>
      </c>
    </row>
    <row r="76" spans="41:54">
      <c r="AO76" t="e">
        <f>IF(AQ76&lt;0,"",MATCH('Stock Position'!E76,$AX$15:$AX$251,0))</f>
        <v>#N/A</v>
      </c>
      <c r="AP76" t="e">
        <f>IF(AR76&gt;0,"",MATCH('Stock Position'!N76,$AX$15:$AX$251,0))</f>
        <v>#N/A</v>
      </c>
      <c r="AQ76">
        <f>LARGE($AX$15:$AX$251,'Stock Position'!C76)</f>
        <v>0</v>
      </c>
      <c r="AR76">
        <f>SMALL($AX$15:$AX$251,'Stock Position'!C76)</f>
        <v>0</v>
      </c>
      <c r="AS76">
        <f>'Trade Log'!BT76</f>
        <v>0</v>
      </c>
      <c r="AT76">
        <f t="shared" si="22"/>
        <v>0</v>
      </c>
      <c r="AU76">
        <f t="shared" si="23"/>
        <v>0</v>
      </c>
      <c r="AV76" s="491" t="e">
        <f t="shared" si="24"/>
        <v>#DIV/0!</v>
      </c>
      <c r="AW76" t="e">
        <f t="shared" si="25"/>
        <v>#DIV/0!</v>
      </c>
      <c r="AX76" s="17">
        <f t="shared" si="26"/>
        <v>0</v>
      </c>
      <c r="AY76" s="30" t="e">
        <f t="shared" si="27"/>
        <v>#DIV/0!</v>
      </c>
      <c r="AZ76" s="17" t="str">
        <f t="shared" si="28"/>
        <v>NA</v>
      </c>
      <c r="BA76" s="491" t="str">
        <f t="shared" si="29"/>
        <v>NA</v>
      </c>
      <c r="BB76">
        <f t="shared" si="30"/>
        <v>0</v>
      </c>
    </row>
    <row r="77" spans="41:54">
      <c r="AO77" t="e">
        <f>IF(AQ77&lt;0,"",MATCH('Stock Position'!E77,$AX$15:$AX$251,0))</f>
        <v>#N/A</v>
      </c>
      <c r="AP77" t="e">
        <f>IF(AR77&gt;0,"",MATCH('Stock Position'!N77,$AX$15:$AX$251,0))</f>
        <v>#N/A</v>
      </c>
      <c r="AQ77">
        <f>LARGE($AX$15:$AX$251,'Stock Position'!C77)</f>
        <v>0</v>
      </c>
      <c r="AR77">
        <f>SMALL($AX$15:$AX$251,'Stock Position'!C77)</f>
        <v>0</v>
      </c>
      <c r="AS77">
        <f>'Trade Log'!BT77</f>
        <v>0</v>
      </c>
      <c r="AT77">
        <f t="shared" si="22"/>
        <v>0</v>
      </c>
      <c r="AU77">
        <f t="shared" si="23"/>
        <v>0</v>
      </c>
      <c r="AV77" s="491" t="e">
        <f t="shared" si="24"/>
        <v>#DIV/0!</v>
      </c>
      <c r="AW77" t="e">
        <f t="shared" si="25"/>
        <v>#DIV/0!</v>
      </c>
      <c r="AX77" s="17">
        <f t="shared" si="26"/>
        <v>0</v>
      </c>
      <c r="AY77" s="30" t="e">
        <f t="shared" si="27"/>
        <v>#DIV/0!</v>
      </c>
      <c r="AZ77" s="17" t="str">
        <f t="shared" si="28"/>
        <v>NA</v>
      </c>
      <c r="BA77" s="491" t="str">
        <f t="shared" si="29"/>
        <v>NA</v>
      </c>
      <c r="BB77">
        <f t="shared" si="30"/>
        <v>0</v>
      </c>
    </row>
    <row r="78" spans="41:54">
      <c r="AO78" t="e">
        <f>IF(AQ78&lt;0,"",MATCH('Stock Position'!E78,$AX$15:$AX$251,0))</f>
        <v>#N/A</v>
      </c>
      <c r="AP78" t="e">
        <f>IF(AR78&gt;0,"",MATCH('Stock Position'!N78,$AX$15:$AX$251,0))</f>
        <v>#N/A</v>
      </c>
      <c r="AQ78">
        <f>LARGE($AX$15:$AX$251,'Stock Position'!C78)</f>
        <v>0</v>
      </c>
      <c r="AR78">
        <f>SMALL($AX$15:$AX$251,'Stock Position'!C78)</f>
        <v>0</v>
      </c>
      <c r="AS78">
        <f>'Trade Log'!BT78</f>
        <v>0</v>
      </c>
      <c r="AT78">
        <f t="shared" si="22"/>
        <v>0</v>
      </c>
      <c r="AU78">
        <f t="shared" si="23"/>
        <v>0</v>
      </c>
      <c r="AV78" s="491" t="e">
        <f t="shared" si="24"/>
        <v>#DIV/0!</v>
      </c>
      <c r="AW78" t="e">
        <f t="shared" si="25"/>
        <v>#DIV/0!</v>
      </c>
      <c r="AX78" s="17">
        <f t="shared" si="26"/>
        <v>0</v>
      </c>
      <c r="AY78" s="30" t="e">
        <f t="shared" si="27"/>
        <v>#DIV/0!</v>
      </c>
      <c r="AZ78" s="17" t="str">
        <f t="shared" si="28"/>
        <v>NA</v>
      </c>
      <c r="BA78" s="491" t="str">
        <f t="shared" si="29"/>
        <v>NA</v>
      </c>
      <c r="BB78">
        <f t="shared" si="30"/>
        <v>0</v>
      </c>
    </row>
    <row r="79" spans="41:54">
      <c r="AO79" t="e">
        <f>IF(AQ79&lt;0,"",MATCH('Stock Position'!E79,$AX$15:$AX$251,0))</f>
        <v>#N/A</v>
      </c>
      <c r="AP79" t="e">
        <f>IF(AR79&gt;0,"",MATCH('Stock Position'!N79,$AX$15:$AX$251,0))</f>
        <v>#N/A</v>
      </c>
      <c r="AQ79">
        <f>LARGE($AX$15:$AX$251,'Stock Position'!C79)</f>
        <v>0</v>
      </c>
      <c r="AR79">
        <f>SMALL($AX$15:$AX$251,'Stock Position'!C79)</f>
        <v>0</v>
      </c>
      <c r="AS79">
        <f>'Trade Log'!BT79</f>
        <v>0</v>
      </c>
      <c r="AT79">
        <f t="shared" ref="AT79:AT142" si="44">COUNTIFS(symbol,AS79,stats,2)</f>
        <v>0</v>
      </c>
      <c r="AU79">
        <f t="shared" ref="AU79:AU142" si="45">COUNTIFS(symbol,AS79,stats,1)</f>
        <v>0</v>
      </c>
      <c r="AV79" s="491" t="e">
        <f t="shared" ref="AV79:AV142" si="46">(SUMIFS(profitLoss,profitLoss,"&gt;=0",symbol,AS79)/AT79)*AY79</f>
        <v>#DIV/0!</v>
      </c>
      <c r="AW79" t="e">
        <f t="shared" ref="AW79:AW142" si="47">-(SUMIFS(profitLoss,profitLoss,"&lt;0",symbol,AS79)/AU79)*(1-AY79)</f>
        <v>#DIV/0!</v>
      </c>
      <c r="AX79" s="17">
        <f t="shared" ref="AX79:AX142" si="48">SUMIFS(profitLoss,symbol,AS79)</f>
        <v>0</v>
      </c>
      <c r="AY79" s="30" t="e">
        <f t="shared" ref="AY79:AY142" si="49">AT79/(AT79+AU79)</f>
        <v>#DIV/0!</v>
      </c>
      <c r="AZ79" s="17" t="str">
        <f t="shared" ref="AZ79:AZ142" si="50">IFERROR(AV79/AW79,"NA")</f>
        <v>NA</v>
      </c>
      <c r="BA79" s="491" t="str">
        <f t="shared" ref="BA79:BA142" si="51">IFERROR(AV79-AW79,"NA")</f>
        <v>NA</v>
      </c>
      <c r="BB79">
        <f t="shared" ref="BB79:BB142" si="52">AU79+AT79</f>
        <v>0</v>
      </c>
    </row>
    <row r="80" spans="41:54">
      <c r="AO80" t="e">
        <f>IF(AQ80&lt;0,"",MATCH('Stock Position'!E80,$AX$15:$AX$251,0))</f>
        <v>#N/A</v>
      </c>
      <c r="AP80" t="e">
        <f>IF(AR80&gt;0,"",MATCH('Stock Position'!N80,$AX$15:$AX$251,0))</f>
        <v>#N/A</v>
      </c>
      <c r="AQ80">
        <f>LARGE($AX$15:$AX$251,'Stock Position'!C80)</f>
        <v>0</v>
      </c>
      <c r="AR80">
        <f>SMALL($AX$15:$AX$251,'Stock Position'!C80)</f>
        <v>0</v>
      </c>
      <c r="AS80">
        <f>'Trade Log'!BT80</f>
        <v>0</v>
      </c>
      <c r="AT80">
        <f t="shared" si="44"/>
        <v>0</v>
      </c>
      <c r="AU80">
        <f t="shared" si="45"/>
        <v>0</v>
      </c>
      <c r="AV80" s="491" t="e">
        <f t="shared" si="46"/>
        <v>#DIV/0!</v>
      </c>
      <c r="AW80" t="e">
        <f t="shared" si="47"/>
        <v>#DIV/0!</v>
      </c>
      <c r="AX80" s="17">
        <f t="shared" si="48"/>
        <v>0</v>
      </c>
      <c r="AY80" s="30" t="e">
        <f t="shared" si="49"/>
        <v>#DIV/0!</v>
      </c>
      <c r="AZ80" s="17" t="str">
        <f t="shared" si="50"/>
        <v>NA</v>
      </c>
      <c r="BA80" s="491" t="str">
        <f t="shared" si="51"/>
        <v>NA</v>
      </c>
      <c r="BB80">
        <f t="shared" si="52"/>
        <v>0</v>
      </c>
    </row>
    <row r="81" spans="41:54">
      <c r="AO81" t="e">
        <f>IF(AQ81&lt;0,"",MATCH('Stock Position'!E81,$AX$15:$AX$251,0))</f>
        <v>#N/A</v>
      </c>
      <c r="AP81" t="e">
        <f>IF(AR81&gt;0,"",MATCH('Stock Position'!N81,$AX$15:$AX$251,0))</f>
        <v>#N/A</v>
      </c>
      <c r="AQ81">
        <f>LARGE($AX$15:$AX$251,'Stock Position'!C81)</f>
        <v>0</v>
      </c>
      <c r="AR81">
        <f>SMALL($AX$15:$AX$251,'Stock Position'!C81)</f>
        <v>0</v>
      </c>
      <c r="AS81">
        <f>'Trade Log'!BT81</f>
        <v>0</v>
      </c>
      <c r="AT81">
        <f t="shared" si="44"/>
        <v>0</v>
      </c>
      <c r="AU81">
        <f t="shared" si="45"/>
        <v>0</v>
      </c>
      <c r="AV81" s="491" t="e">
        <f t="shared" si="46"/>
        <v>#DIV/0!</v>
      </c>
      <c r="AW81" t="e">
        <f t="shared" si="47"/>
        <v>#DIV/0!</v>
      </c>
      <c r="AX81" s="17">
        <f t="shared" si="48"/>
        <v>0</v>
      </c>
      <c r="AY81" s="30" t="e">
        <f t="shared" si="49"/>
        <v>#DIV/0!</v>
      </c>
      <c r="AZ81" s="17" t="str">
        <f t="shared" si="50"/>
        <v>NA</v>
      </c>
      <c r="BA81" s="491" t="str">
        <f t="shared" si="51"/>
        <v>NA</v>
      </c>
      <c r="BB81">
        <f t="shared" si="52"/>
        <v>0</v>
      </c>
    </row>
    <row r="82" spans="41:54">
      <c r="AO82" t="e">
        <f>IF(AQ82&lt;0,"",MATCH('Stock Position'!E82,$AX$15:$AX$251,0))</f>
        <v>#N/A</v>
      </c>
      <c r="AP82" t="e">
        <f>IF(AR82&gt;0,"",MATCH('Stock Position'!N82,$AX$15:$AX$251,0))</f>
        <v>#N/A</v>
      </c>
      <c r="AQ82">
        <f>LARGE($AX$15:$AX$251,'Stock Position'!C82)</f>
        <v>0</v>
      </c>
      <c r="AR82">
        <f>SMALL($AX$15:$AX$251,'Stock Position'!C82)</f>
        <v>0</v>
      </c>
      <c r="AS82">
        <f>'Trade Log'!BT82</f>
        <v>0</v>
      </c>
      <c r="AT82">
        <f t="shared" si="44"/>
        <v>0</v>
      </c>
      <c r="AU82">
        <f t="shared" si="45"/>
        <v>0</v>
      </c>
      <c r="AV82" s="491" t="e">
        <f t="shared" si="46"/>
        <v>#DIV/0!</v>
      </c>
      <c r="AW82" t="e">
        <f t="shared" si="47"/>
        <v>#DIV/0!</v>
      </c>
      <c r="AX82" s="17">
        <f t="shared" si="48"/>
        <v>0</v>
      </c>
      <c r="AY82" s="30" t="e">
        <f t="shared" si="49"/>
        <v>#DIV/0!</v>
      </c>
      <c r="AZ82" s="17" t="str">
        <f t="shared" si="50"/>
        <v>NA</v>
      </c>
      <c r="BA82" s="491" t="str">
        <f t="shared" si="51"/>
        <v>NA</v>
      </c>
      <c r="BB82">
        <f t="shared" si="52"/>
        <v>0</v>
      </c>
    </row>
    <row r="83" spans="41:54">
      <c r="AO83" t="e">
        <f>IF(AQ83&lt;0,"",MATCH('Stock Position'!E83,$AX$15:$AX$251,0))</f>
        <v>#N/A</v>
      </c>
      <c r="AP83" t="e">
        <f>IF(AR83&gt;0,"",MATCH('Stock Position'!N83,$AX$15:$AX$251,0))</f>
        <v>#N/A</v>
      </c>
      <c r="AQ83">
        <f>LARGE($AX$15:$AX$251,'Stock Position'!C83)</f>
        <v>0</v>
      </c>
      <c r="AR83">
        <f>SMALL($AX$15:$AX$251,'Stock Position'!C83)</f>
        <v>0</v>
      </c>
      <c r="AS83">
        <f>'Trade Log'!BT83</f>
        <v>0</v>
      </c>
      <c r="AT83">
        <f t="shared" si="44"/>
        <v>0</v>
      </c>
      <c r="AU83">
        <f t="shared" si="45"/>
        <v>0</v>
      </c>
      <c r="AV83" s="491" t="e">
        <f t="shared" si="46"/>
        <v>#DIV/0!</v>
      </c>
      <c r="AW83" t="e">
        <f t="shared" si="47"/>
        <v>#DIV/0!</v>
      </c>
      <c r="AX83" s="17">
        <f t="shared" si="48"/>
        <v>0</v>
      </c>
      <c r="AY83" s="30" t="e">
        <f t="shared" si="49"/>
        <v>#DIV/0!</v>
      </c>
      <c r="AZ83" s="17" t="str">
        <f t="shared" si="50"/>
        <v>NA</v>
      </c>
      <c r="BA83" s="491" t="str">
        <f t="shared" si="51"/>
        <v>NA</v>
      </c>
      <c r="BB83">
        <f t="shared" si="52"/>
        <v>0</v>
      </c>
    </row>
    <row r="84" spans="41:54">
      <c r="AO84" t="e">
        <f>IF(AQ84&lt;0,"",MATCH('Stock Position'!E84,$AX$15:$AX$251,0))</f>
        <v>#N/A</v>
      </c>
      <c r="AP84" t="e">
        <f>IF(AR84&gt;0,"",MATCH('Stock Position'!N84,$AX$15:$AX$251,0))</f>
        <v>#N/A</v>
      </c>
      <c r="AQ84">
        <f>LARGE($AX$15:$AX$251,'Stock Position'!C84)</f>
        <v>0</v>
      </c>
      <c r="AR84">
        <f>SMALL($AX$15:$AX$251,'Stock Position'!C84)</f>
        <v>0</v>
      </c>
      <c r="AS84">
        <f>'Trade Log'!BT84</f>
        <v>0</v>
      </c>
      <c r="AT84">
        <f t="shared" si="44"/>
        <v>0</v>
      </c>
      <c r="AU84">
        <f t="shared" si="45"/>
        <v>0</v>
      </c>
      <c r="AV84" s="491" t="e">
        <f t="shared" si="46"/>
        <v>#DIV/0!</v>
      </c>
      <c r="AW84" t="e">
        <f t="shared" si="47"/>
        <v>#DIV/0!</v>
      </c>
      <c r="AX84" s="17">
        <f t="shared" si="48"/>
        <v>0</v>
      </c>
      <c r="AY84" s="30" t="e">
        <f t="shared" si="49"/>
        <v>#DIV/0!</v>
      </c>
      <c r="AZ84" s="17" t="str">
        <f t="shared" si="50"/>
        <v>NA</v>
      </c>
      <c r="BA84" s="491" t="str">
        <f t="shared" si="51"/>
        <v>NA</v>
      </c>
      <c r="BB84">
        <f t="shared" si="52"/>
        <v>0</v>
      </c>
    </row>
    <row r="85" spans="41:54">
      <c r="AO85" t="e">
        <f>IF(AQ85&lt;0,"",MATCH('Stock Position'!E85,$AX$15:$AX$251,0))</f>
        <v>#N/A</v>
      </c>
      <c r="AP85" t="e">
        <f>IF(AR85&gt;0,"",MATCH('Stock Position'!N85,$AX$15:$AX$251,0))</f>
        <v>#N/A</v>
      </c>
      <c r="AQ85">
        <f>LARGE($AX$15:$AX$251,'Stock Position'!C85)</f>
        <v>0</v>
      </c>
      <c r="AR85">
        <f>SMALL($AX$15:$AX$251,'Stock Position'!C85)</f>
        <v>0</v>
      </c>
      <c r="AS85">
        <f>'Trade Log'!BT85</f>
        <v>0</v>
      </c>
      <c r="AT85">
        <f t="shared" si="44"/>
        <v>0</v>
      </c>
      <c r="AU85">
        <f t="shared" si="45"/>
        <v>0</v>
      </c>
      <c r="AV85" s="491" t="e">
        <f t="shared" si="46"/>
        <v>#DIV/0!</v>
      </c>
      <c r="AW85" t="e">
        <f t="shared" si="47"/>
        <v>#DIV/0!</v>
      </c>
      <c r="AX85" s="17">
        <f t="shared" si="48"/>
        <v>0</v>
      </c>
      <c r="AY85" s="30" t="e">
        <f t="shared" si="49"/>
        <v>#DIV/0!</v>
      </c>
      <c r="AZ85" s="17" t="str">
        <f t="shared" si="50"/>
        <v>NA</v>
      </c>
      <c r="BA85" s="491" t="str">
        <f t="shared" si="51"/>
        <v>NA</v>
      </c>
      <c r="BB85">
        <f t="shared" si="52"/>
        <v>0</v>
      </c>
    </row>
    <row r="86" spans="41:54">
      <c r="AO86" t="e">
        <f>IF(AQ86&lt;0,"",MATCH('Stock Position'!E86,$AX$15:$AX$251,0))</f>
        <v>#N/A</v>
      </c>
      <c r="AP86" t="e">
        <f>IF(AR86&gt;0,"",MATCH('Stock Position'!N86,$AX$15:$AX$251,0))</f>
        <v>#N/A</v>
      </c>
      <c r="AQ86">
        <f>LARGE($AX$15:$AX$251,'Stock Position'!C86)</f>
        <v>0</v>
      </c>
      <c r="AR86">
        <f>SMALL($AX$15:$AX$251,'Stock Position'!C86)</f>
        <v>0</v>
      </c>
      <c r="AS86">
        <f>'Trade Log'!BT86</f>
        <v>0</v>
      </c>
      <c r="AT86">
        <f t="shared" si="44"/>
        <v>0</v>
      </c>
      <c r="AU86">
        <f t="shared" si="45"/>
        <v>0</v>
      </c>
      <c r="AV86" s="491" t="e">
        <f t="shared" si="46"/>
        <v>#DIV/0!</v>
      </c>
      <c r="AW86" t="e">
        <f t="shared" si="47"/>
        <v>#DIV/0!</v>
      </c>
      <c r="AX86" s="17">
        <f t="shared" si="48"/>
        <v>0</v>
      </c>
      <c r="AY86" s="30" t="e">
        <f t="shared" si="49"/>
        <v>#DIV/0!</v>
      </c>
      <c r="AZ86" s="17" t="str">
        <f t="shared" si="50"/>
        <v>NA</v>
      </c>
      <c r="BA86" s="491" t="str">
        <f t="shared" si="51"/>
        <v>NA</v>
      </c>
      <c r="BB86">
        <f t="shared" si="52"/>
        <v>0</v>
      </c>
    </row>
    <row r="87" spans="41:54">
      <c r="AO87" t="e">
        <f>IF(AQ87&lt;0,"",MATCH('Stock Position'!E87,$AX$15:$AX$251,0))</f>
        <v>#N/A</v>
      </c>
      <c r="AP87" t="e">
        <f>IF(AR87&gt;0,"",MATCH('Stock Position'!N87,$AX$15:$AX$251,0))</f>
        <v>#N/A</v>
      </c>
      <c r="AQ87">
        <f>LARGE($AX$15:$AX$251,'Stock Position'!C87)</f>
        <v>0</v>
      </c>
      <c r="AR87">
        <f>SMALL($AX$15:$AX$251,'Stock Position'!C87)</f>
        <v>0</v>
      </c>
      <c r="AS87">
        <f>'Trade Log'!BT87</f>
        <v>0</v>
      </c>
      <c r="AT87">
        <f t="shared" si="44"/>
        <v>0</v>
      </c>
      <c r="AU87">
        <f t="shared" si="45"/>
        <v>0</v>
      </c>
      <c r="AV87" s="491" t="e">
        <f t="shared" si="46"/>
        <v>#DIV/0!</v>
      </c>
      <c r="AW87" t="e">
        <f t="shared" si="47"/>
        <v>#DIV/0!</v>
      </c>
      <c r="AX87" s="17">
        <f t="shared" si="48"/>
        <v>0</v>
      </c>
      <c r="AY87" s="30" t="e">
        <f t="shared" si="49"/>
        <v>#DIV/0!</v>
      </c>
      <c r="AZ87" s="17" t="str">
        <f t="shared" si="50"/>
        <v>NA</v>
      </c>
      <c r="BA87" s="491" t="str">
        <f t="shared" si="51"/>
        <v>NA</v>
      </c>
      <c r="BB87">
        <f t="shared" si="52"/>
        <v>0</v>
      </c>
    </row>
    <row r="88" spans="41:54">
      <c r="AO88" t="e">
        <f>IF(AQ88&lt;0,"",MATCH('Stock Position'!E88,$AX$15:$AX$251,0))</f>
        <v>#N/A</v>
      </c>
      <c r="AP88" t="e">
        <f>IF(AR88&gt;0,"",MATCH('Stock Position'!N88,$AX$15:$AX$251,0))</f>
        <v>#N/A</v>
      </c>
      <c r="AQ88">
        <f>LARGE($AX$15:$AX$251,'Stock Position'!C88)</f>
        <v>0</v>
      </c>
      <c r="AR88">
        <f>SMALL($AX$15:$AX$251,'Stock Position'!C88)</f>
        <v>0</v>
      </c>
      <c r="AS88">
        <f>'Trade Log'!BT88</f>
        <v>0</v>
      </c>
      <c r="AT88">
        <f t="shared" si="44"/>
        <v>0</v>
      </c>
      <c r="AU88">
        <f t="shared" si="45"/>
        <v>0</v>
      </c>
      <c r="AV88" s="491" t="e">
        <f t="shared" si="46"/>
        <v>#DIV/0!</v>
      </c>
      <c r="AW88" t="e">
        <f t="shared" si="47"/>
        <v>#DIV/0!</v>
      </c>
      <c r="AX88" s="17">
        <f t="shared" si="48"/>
        <v>0</v>
      </c>
      <c r="AY88" s="30" t="e">
        <f t="shared" si="49"/>
        <v>#DIV/0!</v>
      </c>
      <c r="AZ88" s="17" t="str">
        <f t="shared" si="50"/>
        <v>NA</v>
      </c>
      <c r="BA88" s="491" t="str">
        <f t="shared" si="51"/>
        <v>NA</v>
      </c>
      <c r="BB88">
        <f t="shared" si="52"/>
        <v>0</v>
      </c>
    </row>
    <row r="89" spans="41:54">
      <c r="AO89" t="e">
        <f>IF(AQ89&lt;0,"",MATCH('Stock Position'!E89,$AX$15:$AX$251,0))</f>
        <v>#N/A</v>
      </c>
      <c r="AP89" t="e">
        <f>IF(AR89&gt;0,"",MATCH('Stock Position'!N89,$AX$15:$AX$251,0))</f>
        <v>#N/A</v>
      </c>
      <c r="AQ89">
        <f>LARGE($AX$15:$AX$251,'Stock Position'!C89)</f>
        <v>0</v>
      </c>
      <c r="AR89">
        <f>SMALL($AX$15:$AX$251,'Stock Position'!C89)</f>
        <v>0</v>
      </c>
      <c r="AS89">
        <f>'Trade Log'!BT89</f>
        <v>0</v>
      </c>
      <c r="AT89">
        <f t="shared" si="44"/>
        <v>0</v>
      </c>
      <c r="AU89">
        <f t="shared" si="45"/>
        <v>0</v>
      </c>
      <c r="AV89" s="491" t="e">
        <f t="shared" si="46"/>
        <v>#DIV/0!</v>
      </c>
      <c r="AW89" t="e">
        <f t="shared" si="47"/>
        <v>#DIV/0!</v>
      </c>
      <c r="AX89" s="17">
        <f t="shared" si="48"/>
        <v>0</v>
      </c>
      <c r="AY89" s="30" t="e">
        <f t="shared" si="49"/>
        <v>#DIV/0!</v>
      </c>
      <c r="AZ89" s="17" t="str">
        <f t="shared" si="50"/>
        <v>NA</v>
      </c>
      <c r="BA89" s="491" t="str">
        <f t="shared" si="51"/>
        <v>NA</v>
      </c>
      <c r="BB89">
        <f t="shared" si="52"/>
        <v>0</v>
      </c>
    </row>
    <row r="90" spans="41:54">
      <c r="AO90" t="e">
        <f>IF(AQ90&lt;0,"",MATCH('Stock Position'!E90,$AX$15:$AX$251,0))</f>
        <v>#N/A</v>
      </c>
      <c r="AP90" t="e">
        <f>IF(AR90&gt;0,"",MATCH('Stock Position'!N90,$AX$15:$AX$251,0))</f>
        <v>#N/A</v>
      </c>
      <c r="AQ90">
        <f>LARGE($AX$15:$AX$251,'Stock Position'!C90)</f>
        <v>0</v>
      </c>
      <c r="AR90">
        <f>SMALL($AX$15:$AX$251,'Stock Position'!C90)</f>
        <v>0</v>
      </c>
      <c r="AS90">
        <f>'Trade Log'!BT90</f>
        <v>0</v>
      </c>
      <c r="AT90">
        <f t="shared" si="44"/>
        <v>0</v>
      </c>
      <c r="AU90">
        <f t="shared" si="45"/>
        <v>0</v>
      </c>
      <c r="AV90" s="491" t="e">
        <f t="shared" si="46"/>
        <v>#DIV/0!</v>
      </c>
      <c r="AW90" t="e">
        <f t="shared" si="47"/>
        <v>#DIV/0!</v>
      </c>
      <c r="AX90" s="17">
        <f t="shared" si="48"/>
        <v>0</v>
      </c>
      <c r="AY90" s="30" t="e">
        <f t="shared" si="49"/>
        <v>#DIV/0!</v>
      </c>
      <c r="AZ90" s="17" t="str">
        <f t="shared" si="50"/>
        <v>NA</v>
      </c>
      <c r="BA90" s="491" t="str">
        <f t="shared" si="51"/>
        <v>NA</v>
      </c>
      <c r="BB90">
        <f t="shared" si="52"/>
        <v>0</v>
      </c>
    </row>
    <row r="91" spans="41:54">
      <c r="AO91" t="e">
        <f>IF(AQ91&lt;0,"",MATCH('Stock Position'!E91,$AX$15:$AX$251,0))</f>
        <v>#N/A</v>
      </c>
      <c r="AP91" t="e">
        <f>IF(AR91&gt;0,"",MATCH('Stock Position'!N91,$AX$15:$AX$251,0))</f>
        <v>#N/A</v>
      </c>
      <c r="AQ91">
        <f>LARGE($AX$15:$AX$251,'Stock Position'!C91)</f>
        <v>0</v>
      </c>
      <c r="AR91">
        <f>SMALL($AX$15:$AX$251,'Stock Position'!C91)</f>
        <v>0</v>
      </c>
      <c r="AS91">
        <f>'Trade Log'!BT91</f>
        <v>0</v>
      </c>
      <c r="AT91">
        <f t="shared" si="44"/>
        <v>0</v>
      </c>
      <c r="AU91">
        <f t="shared" si="45"/>
        <v>0</v>
      </c>
      <c r="AV91" s="491" t="e">
        <f t="shared" si="46"/>
        <v>#DIV/0!</v>
      </c>
      <c r="AW91" t="e">
        <f t="shared" si="47"/>
        <v>#DIV/0!</v>
      </c>
      <c r="AX91" s="17">
        <f t="shared" si="48"/>
        <v>0</v>
      </c>
      <c r="AY91" s="30" t="e">
        <f t="shared" si="49"/>
        <v>#DIV/0!</v>
      </c>
      <c r="AZ91" s="17" t="str">
        <f t="shared" si="50"/>
        <v>NA</v>
      </c>
      <c r="BA91" s="491" t="str">
        <f t="shared" si="51"/>
        <v>NA</v>
      </c>
      <c r="BB91">
        <f t="shared" si="52"/>
        <v>0</v>
      </c>
    </row>
    <row r="92" spans="41:54">
      <c r="AO92" t="e">
        <f>IF(AQ92&lt;0,"",MATCH('Stock Position'!E92,$AX$15:$AX$251,0))</f>
        <v>#N/A</v>
      </c>
      <c r="AP92" t="e">
        <f>IF(AR92&gt;0,"",MATCH('Stock Position'!N92,$AX$15:$AX$251,0))</f>
        <v>#N/A</v>
      </c>
      <c r="AQ92">
        <f>LARGE($AX$15:$AX$251,'Stock Position'!C92)</f>
        <v>0</v>
      </c>
      <c r="AR92">
        <f>SMALL($AX$15:$AX$251,'Stock Position'!C92)</f>
        <v>0</v>
      </c>
      <c r="AS92">
        <f>'Trade Log'!BT92</f>
        <v>0</v>
      </c>
      <c r="AT92">
        <f t="shared" si="44"/>
        <v>0</v>
      </c>
      <c r="AU92">
        <f t="shared" si="45"/>
        <v>0</v>
      </c>
      <c r="AV92" s="491" t="e">
        <f t="shared" si="46"/>
        <v>#DIV/0!</v>
      </c>
      <c r="AW92" t="e">
        <f t="shared" si="47"/>
        <v>#DIV/0!</v>
      </c>
      <c r="AX92" s="17">
        <f t="shared" si="48"/>
        <v>0</v>
      </c>
      <c r="AY92" s="30" t="e">
        <f t="shared" si="49"/>
        <v>#DIV/0!</v>
      </c>
      <c r="AZ92" s="17" t="str">
        <f t="shared" si="50"/>
        <v>NA</v>
      </c>
      <c r="BA92" s="491" t="str">
        <f t="shared" si="51"/>
        <v>NA</v>
      </c>
      <c r="BB92">
        <f t="shared" si="52"/>
        <v>0</v>
      </c>
    </row>
    <row r="93" spans="41:54">
      <c r="AO93" t="e">
        <f>IF(AQ93&lt;0,"",MATCH('Stock Position'!E93,$AX$15:$AX$251,0))</f>
        <v>#N/A</v>
      </c>
      <c r="AP93" t="e">
        <f>IF(AR93&gt;0,"",MATCH('Stock Position'!N93,$AX$15:$AX$251,0))</f>
        <v>#N/A</v>
      </c>
      <c r="AQ93">
        <f>LARGE($AX$15:$AX$251,'Stock Position'!C93)</f>
        <v>0</v>
      </c>
      <c r="AR93">
        <f>SMALL($AX$15:$AX$251,'Stock Position'!C93)</f>
        <v>0</v>
      </c>
      <c r="AS93">
        <f>'Trade Log'!BT93</f>
        <v>0</v>
      </c>
      <c r="AT93">
        <f t="shared" si="44"/>
        <v>0</v>
      </c>
      <c r="AU93">
        <f t="shared" si="45"/>
        <v>0</v>
      </c>
      <c r="AV93" s="491" t="e">
        <f t="shared" si="46"/>
        <v>#DIV/0!</v>
      </c>
      <c r="AW93" t="e">
        <f t="shared" si="47"/>
        <v>#DIV/0!</v>
      </c>
      <c r="AX93" s="17">
        <f t="shared" si="48"/>
        <v>0</v>
      </c>
      <c r="AY93" s="30" t="e">
        <f t="shared" si="49"/>
        <v>#DIV/0!</v>
      </c>
      <c r="AZ93" s="17" t="str">
        <f t="shared" si="50"/>
        <v>NA</v>
      </c>
      <c r="BA93" s="491" t="str">
        <f t="shared" si="51"/>
        <v>NA</v>
      </c>
      <c r="BB93">
        <f t="shared" si="52"/>
        <v>0</v>
      </c>
    </row>
    <row r="94" spans="41:54">
      <c r="AO94" t="e">
        <f>IF(AQ94&lt;0,"",MATCH('Stock Position'!E94,$AX$15:$AX$251,0))</f>
        <v>#N/A</v>
      </c>
      <c r="AP94" t="e">
        <f>IF(AR94&gt;0,"",MATCH('Stock Position'!N94,$AX$15:$AX$251,0))</f>
        <v>#N/A</v>
      </c>
      <c r="AQ94">
        <f>LARGE($AX$15:$AX$251,'Stock Position'!C94)</f>
        <v>0</v>
      </c>
      <c r="AR94">
        <f>SMALL($AX$15:$AX$251,'Stock Position'!C94)</f>
        <v>0</v>
      </c>
      <c r="AS94">
        <f>'Trade Log'!BT94</f>
        <v>0</v>
      </c>
      <c r="AT94">
        <f t="shared" si="44"/>
        <v>0</v>
      </c>
      <c r="AU94">
        <f t="shared" si="45"/>
        <v>0</v>
      </c>
      <c r="AV94" s="491" t="e">
        <f t="shared" si="46"/>
        <v>#DIV/0!</v>
      </c>
      <c r="AW94" t="e">
        <f t="shared" si="47"/>
        <v>#DIV/0!</v>
      </c>
      <c r="AX94" s="17">
        <f t="shared" si="48"/>
        <v>0</v>
      </c>
      <c r="AY94" s="30" t="e">
        <f t="shared" si="49"/>
        <v>#DIV/0!</v>
      </c>
      <c r="AZ94" s="17" t="str">
        <f t="shared" si="50"/>
        <v>NA</v>
      </c>
      <c r="BA94" s="491" t="str">
        <f t="shared" si="51"/>
        <v>NA</v>
      </c>
      <c r="BB94">
        <f t="shared" si="52"/>
        <v>0</v>
      </c>
    </row>
    <row r="95" spans="41:54">
      <c r="AO95" t="e">
        <f>IF(AQ95&lt;0,"",MATCH('Stock Position'!E95,$AX$15:$AX$251,0))</f>
        <v>#N/A</v>
      </c>
      <c r="AP95" t="e">
        <f>IF(AR95&gt;0,"",MATCH('Stock Position'!N95,$AX$15:$AX$251,0))</f>
        <v>#N/A</v>
      </c>
      <c r="AQ95">
        <f>LARGE($AX$15:$AX$251,'Stock Position'!C95)</f>
        <v>0</v>
      </c>
      <c r="AR95">
        <f>SMALL($AX$15:$AX$251,'Stock Position'!C95)</f>
        <v>0</v>
      </c>
      <c r="AS95">
        <f>'Trade Log'!BT95</f>
        <v>0</v>
      </c>
      <c r="AT95">
        <f t="shared" si="44"/>
        <v>0</v>
      </c>
      <c r="AU95">
        <f t="shared" si="45"/>
        <v>0</v>
      </c>
      <c r="AV95" s="491" t="e">
        <f t="shared" si="46"/>
        <v>#DIV/0!</v>
      </c>
      <c r="AW95" t="e">
        <f t="shared" si="47"/>
        <v>#DIV/0!</v>
      </c>
      <c r="AX95" s="17">
        <f t="shared" si="48"/>
        <v>0</v>
      </c>
      <c r="AY95" s="30" t="e">
        <f t="shared" si="49"/>
        <v>#DIV/0!</v>
      </c>
      <c r="AZ95" s="17" t="str">
        <f t="shared" si="50"/>
        <v>NA</v>
      </c>
      <c r="BA95" s="491" t="str">
        <f t="shared" si="51"/>
        <v>NA</v>
      </c>
      <c r="BB95">
        <f t="shared" si="52"/>
        <v>0</v>
      </c>
    </row>
    <row r="96" spans="41:54">
      <c r="AO96" t="e">
        <f>IF(AQ96&lt;0,"",MATCH('Stock Position'!E96,$AX$15:$AX$251,0))</f>
        <v>#N/A</v>
      </c>
      <c r="AP96" t="e">
        <f>IF(AR96&gt;0,"",MATCH('Stock Position'!N96,$AX$15:$AX$251,0))</f>
        <v>#N/A</v>
      </c>
      <c r="AQ96">
        <f>LARGE($AX$15:$AX$251,'Stock Position'!C96)</f>
        <v>0</v>
      </c>
      <c r="AR96">
        <f>SMALL($AX$15:$AX$251,'Stock Position'!C96)</f>
        <v>0</v>
      </c>
      <c r="AS96">
        <f>'Trade Log'!BT96</f>
        <v>0</v>
      </c>
      <c r="AT96">
        <f t="shared" si="44"/>
        <v>0</v>
      </c>
      <c r="AU96">
        <f t="shared" si="45"/>
        <v>0</v>
      </c>
      <c r="AV96" s="491" t="e">
        <f t="shared" si="46"/>
        <v>#DIV/0!</v>
      </c>
      <c r="AW96" t="e">
        <f t="shared" si="47"/>
        <v>#DIV/0!</v>
      </c>
      <c r="AX96" s="17">
        <f t="shared" si="48"/>
        <v>0</v>
      </c>
      <c r="AY96" s="30" t="e">
        <f t="shared" si="49"/>
        <v>#DIV/0!</v>
      </c>
      <c r="AZ96" s="17" t="str">
        <f t="shared" si="50"/>
        <v>NA</v>
      </c>
      <c r="BA96" s="491" t="str">
        <f t="shared" si="51"/>
        <v>NA</v>
      </c>
      <c r="BB96">
        <f t="shared" si="52"/>
        <v>0</v>
      </c>
    </row>
    <row r="97" spans="41:54">
      <c r="AO97" t="e">
        <f>IF(AQ97&lt;0,"",MATCH('Stock Position'!E97,$AX$15:$AX$251,0))</f>
        <v>#N/A</v>
      </c>
      <c r="AP97" t="e">
        <f>IF(AR97&gt;0,"",MATCH('Stock Position'!N97,$AX$15:$AX$251,0))</f>
        <v>#N/A</v>
      </c>
      <c r="AQ97">
        <f>LARGE($AX$15:$AX$251,'Stock Position'!C97)</f>
        <v>0</v>
      </c>
      <c r="AR97">
        <f>SMALL($AX$15:$AX$251,'Stock Position'!C97)</f>
        <v>0</v>
      </c>
      <c r="AS97">
        <f>'Trade Log'!BT97</f>
        <v>0</v>
      </c>
      <c r="AT97">
        <f t="shared" si="44"/>
        <v>0</v>
      </c>
      <c r="AU97">
        <f t="shared" si="45"/>
        <v>0</v>
      </c>
      <c r="AV97" s="491" t="e">
        <f t="shared" si="46"/>
        <v>#DIV/0!</v>
      </c>
      <c r="AW97" t="e">
        <f t="shared" si="47"/>
        <v>#DIV/0!</v>
      </c>
      <c r="AX97" s="17">
        <f t="shared" si="48"/>
        <v>0</v>
      </c>
      <c r="AY97" s="30" t="e">
        <f t="shared" si="49"/>
        <v>#DIV/0!</v>
      </c>
      <c r="AZ97" s="17" t="str">
        <f t="shared" si="50"/>
        <v>NA</v>
      </c>
      <c r="BA97" s="491" t="str">
        <f t="shared" si="51"/>
        <v>NA</v>
      </c>
      <c r="BB97">
        <f t="shared" si="52"/>
        <v>0</v>
      </c>
    </row>
    <row r="98" spans="41:54">
      <c r="AO98" t="e">
        <f>IF(AQ98&lt;0,"",MATCH('Stock Position'!E98,$AX$15:$AX$251,0))</f>
        <v>#N/A</v>
      </c>
      <c r="AP98" t="e">
        <f>IF(AR98&gt;0,"",MATCH('Stock Position'!N98,$AX$15:$AX$251,0))</f>
        <v>#N/A</v>
      </c>
      <c r="AQ98">
        <f>LARGE($AX$15:$AX$251,'Stock Position'!C98)</f>
        <v>0</v>
      </c>
      <c r="AR98">
        <f>SMALL($AX$15:$AX$251,'Stock Position'!C98)</f>
        <v>0</v>
      </c>
      <c r="AS98">
        <f>'Trade Log'!BT98</f>
        <v>0</v>
      </c>
      <c r="AT98">
        <f t="shared" si="44"/>
        <v>0</v>
      </c>
      <c r="AU98">
        <f t="shared" si="45"/>
        <v>0</v>
      </c>
      <c r="AV98" s="491" t="e">
        <f t="shared" si="46"/>
        <v>#DIV/0!</v>
      </c>
      <c r="AW98" t="e">
        <f t="shared" si="47"/>
        <v>#DIV/0!</v>
      </c>
      <c r="AX98" s="17">
        <f t="shared" si="48"/>
        <v>0</v>
      </c>
      <c r="AY98" s="30" t="e">
        <f t="shared" si="49"/>
        <v>#DIV/0!</v>
      </c>
      <c r="AZ98" s="17" t="str">
        <f t="shared" si="50"/>
        <v>NA</v>
      </c>
      <c r="BA98" s="491" t="str">
        <f t="shared" si="51"/>
        <v>NA</v>
      </c>
      <c r="BB98">
        <f t="shared" si="52"/>
        <v>0</v>
      </c>
    </row>
    <row r="99" spans="41:54">
      <c r="AO99" t="e">
        <f>IF(AQ99&lt;0,"",MATCH('Stock Position'!E99,$AX$15:$AX$251,0))</f>
        <v>#N/A</v>
      </c>
      <c r="AP99" t="e">
        <f>IF(AR99&gt;0,"",MATCH('Stock Position'!N99,$AX$15:$AX$251,0))</f>
        <v>#N/A</v>
      </c>
      <c r="AQ99">
        <f>LARGE($AX$15:$AX$251,'Stock Position'!C99)</f>
        <v>0</v>
      </c>
      <c r="AR99">
        <f>SMALL($AX$15:$AX$251,'Stock Position'!C99)</f>
        <v>0</v>
      </c>
      <c r="AS99">
        <f>'Trade Log'!BT99</f>
        <v>0</v>
      </c>
      <c r="AT99">
        <f t="shared" si="44"/>
        <v>0</v>
      </c>
      <c r="AU99">
        <f t="shared" si="45"/>
        <v>0</v>
      </c>
      <c r="AV99" s="491" t="e">
        <f t="shared" si="46"/>
        <v>#DIV/0!</v>
      </c>
      <c r="AW99" t="e">
        <f t="shared" si="47"/>
        <v>#DIV/0!</v>
      </c>
      <c r="AX99" s="17">
        <f t="shared" si="48"/>
        <v>0</v>
      </c>
      <c r="AY99" s="30" t="e">
        <f t="shared" si="49"/>
        <v>#DIV/0!</v>
      </c>
      <c r="AZ99" s="17" t="str">
        <f t="shared" si="50"/>
        <v>NA</v>
      </c>
      <c r="BA99" s="491" t="str">
        <f t="shared" si="51"/>
        <v>NA</v>
      </c>
      <c r="BB99">
        <f t="shared" si="52"/>
        <v>0</v>
      </c>
    </row>
    <row r="100" spans="41:54">
      <c r="AO100" t="e">
        <f>IF(AQ100&lt;0,"",MATCH('Stock Position'!E100,$AX$15:$AX$251,0))</f>
        <v>#N/A</v>
      </c>
      <c r="AP100" t="e">
        <f>IF(AR100&gt;0,"",MATCH('Stock Position'!N100,$AX$15:$AX$251,0))</f>
        <v>#N/A</v>
      </c>
      <c r="AQ100">
        <f>LARGE($AX$15:$AX$251,'Stock Position'!C100)</f>
        <v>0</v>
      </c>
      <c r="AR100">
        <f>SMALL($AX$15:$AX$251,'Stock Position'!C100)</f>
        <v>0</v>
      </c>
      <c r="AS100">
        <f>'Trade Log'!BT100</f>
        <v>0</v>
      </c>
      <c r="AT100">
        <f t="shared" si="44"/>
        <v>0</v>
      </c>
      <c r="AU100">
        <f t="shared" si="45"/>
        <v>0</v>
      </c>
      <c r="AV100" s="491" t="e">
        <f t="shared" si="46"/>
        <v>#DIV/0!</v>
      </c>
      <c r="AW100" t="e">
        <f t="shared" si="47"/>
        <v>#DIV/0!</v>
      </c>
      <c r="AX100" s="17">
        <f t="shared" si="48"/>
        <v>0</v>
      </c>
      <c r="AY100" s="30" t="e">
        <f t="shared" si="49"/>
        <v>#DIV/0!</v>
      </c>
      <c r="AZ100" s="17" t="str">
        <f t="shared" si="50"/>
        <v>NA</v>
      </c>
      <c r="BA100" s="491" t="str">
        <f t="shared" si="51"/>
        <v>NA</v>
      </c>
      <c r="BB100">
        <f t="shared" si="52"/>
        <v>0</v>
      </c>
    </row>
    <row r="101" spans="41:54">
      <c r="AO101" t="e">
        <f>IF(AQ101&lt;0,"",MATCH('Stock Position'!E101,$AX$15:$AX$251,0))</f>
        <v>#N/A</v>
      </c>
      <c r="AP101" t="e">
        <f>IF(AR101&gt;0,"",MATCH('Stock Position'!N101,$AX$15:$AX$251,0))</f>
        <v>#N/A</v>
      </c>
      <c r="AQ101">
        <f>LARGE($AX$15:$AX$251,'Stock Position'!C101)</f>
        <v>0</v>
      </c>
      <c r="AR101">
        <f>SMALL($AX$15:$AX$251,'Stock Position'!C101)</f>
        <v>0</v>
      </c>
      <c r="AS101">
        <f>'Trade Log'!BT101</f>
        <v>0</v>
      </c>
      <c r="AT101">
        <f t="shared" si="44"/>
        <v>0</v>
      </c>
      <c r="AU101">
        <f t="shared" si="45"/>
        <v>0</v>
      </c>
      <c r="AV101" s="491" t="e">
        <f t="shared" si="46"/>
        <v>#DIV/0!</v>
      </c>
      <c r="AW101" t="e">
        <f t="shared" si="47"/>
        <v>#DIV/0!</v>
      </c>
      <c r="AX101" s="17">
        <f t="shared" si="48"/>
        <v>0</v>
      </c>
      <c r="AY101" s="30" t="e">
        <f t="shared" si="49"/>
        <v>#DIV/0!</v>
      </c>
      <c r="AZ101" s="17" t="str">
        <f t="shared" si="50"/>
        <v>NA</v>
      </c>
      <c r="BA101" s="491" t="str">
        <f t="shared" si="51"/>
        <v>NA</v>
      </c>
      <c r="BB101">
        <f t="shared" si="52"/>
        <v>0</v>
      </c>
    </row>
    <row r="102" spans="41:54">
      <c r="AO102" t="e">
        <f>IF(AQ102&lt;0,"",MATCH('Stock Position'!E102,$AX$15:$AX$251,0))</f>
        <v>#N/A</v>
      </c>
      <c r="AP102" t="e">
        <f>IF(AR102&gt;0,"",MATCH('Stock Position'!N102,$AX$15:$AX$251,0))</f>
        <v>#N/A</v>
      </c>
      <c r="AQ102">
        <f>LARGE($AX$15:$AX$251,'Stock Position'!C102)</f>
        <v>0</v>
      </c>
      <c r="AR102">
        <f>SMALL($AX$15:$AX$251,'Stock Position'!C102)</f>
        <v>0</v>
      </c>
      <c r="AS102">
        <f>'Trade Log'!BT102</f>
        <v>0</v>
      </c>
      <c r="AT102">
        <f t="shared" si="44"/>
        <v>0</v>
      </c>
      <c r="AU102">
        <f t="shared" si="45"/>
        <v>0</v>
      </c>
      <c r="AV102" s="491" t="e">
        <f t="shared" si="46"/>
        <v>#DIV/0!</v>
      </c>
      <c r="AW102" t="e">
        <f t="shared" si="47"/>
        <v>#DIV/0!</v>
      </c>
      <c r="AX102" s="17">
        <f t="shared" si="48"/>
        <v>0</v>
      </c>
      <c r="AY102" s="30" t="e">
        <f t="shared" si="49"/>
        <v>#DIV/0!</v>
      </c>
      <c r="AZ102" s="17" t="str">
        <f t="shared" si="50"/>
        <v>NA</v>
      </c>
      <c r="BA102" s="491" t="str">
        <f t="shared" si="51"/>
        <v>NA</v>
      </c>
      <c r="BB102">
        <f t="shared" si="52"/>
        <v>0</v>
      </c>
    </row>
    <row r="103" spans="41:54">
      <c r="AO103" t="e">
        <f>IF(AQ103&lt;0,"",MATCH('Stock Position'!E103,$AX$15:$AX$251,0))</f>
        <v>#N/A</v>
      </c>
      <c r="AP103" t="e">
        <f>IF(AR103&gt;0,"",MATCH('Stock Position'!N103,$AX$15:$AX$251,0))</f>
        <v>#N/A</v>
      </c>
      <c r="AQ103">
        <f>LARGE($AX$15:$AX$251,'Stock Position'!C103)</f>
        <v>0</v>
      </c>
      <c r="AR103">
        <f>SMALL($AX$15:$AX$251,'Stock Position'!C103)</f>
        <v>0</v>
      </c>
      <c r="AS103">
        <f>'Trade Log'!BT103</f>
        <v>0</v>
      </c>
      <c r="AT103">
        <f t="shared" si="44"/>
        <v>0</v>
      </c>
      <c r="AU103">
        <f t="shared" si="45"/>
        <v>0</v>
      </c>
      <c r="AV103" s="491" t="e">
        <f t="shared" si="46"/>
        <v>#DIV/0!</v>
      </c>
      <c r="AW103" t="e">
        <f t="shared" si="47"/>
        <v>#DIV/0!</v>
      </c>
      <c r="AX103" s="17">
        <f t="shared" si="48"/>
        <v>0</v>
      </c>
      <c r="AY103" s="30" t="e">
        <f t="shared" si="49"/>
        <v>#DIV/0!</v>
      </c>
      <c r="AZ103" s="17" t="str">
        <f t="shared" si="50"/>
        <v>NA</v>
      </c>
      <c r="BA103" s="491" t="str">
        <f t="shared" si="51"/>
        <v>NA</v>
      </c>
      <c r="BB103">
        <f t="shared" si="52"/>
        <v>0</v>
      </c>
    </row>
    <row r="104" spans="41:54">
      <c r="AO104" t="e">
        <f>IF(AQ104&lt;0,"",MATCH('Stock Position'!E104,$AX$15:$AX$251,0))</f>
        <v>#N/A</v>
      </c>
      <c r="AP104" t="e">
        <f>IF(AR104&gt;0,"",MATCH('Stock Position'!N104,$AX$15:$AX$251,0))</f>
        <v>#N/A</v>
      </c>
      <c r="AQ104">
        <f>LARGE($AX$15:$AX$251,'Stock Position'!C104)</f>
        <v>0</v>
      </c>
      <c r="AR104">
        <f>SMALL($AX$15:$AX$251,'Stock Position'!C104)</f>
        <v>0</v>
      </c>
      <c r="AS104">
        <f>'Trade Log'!BT104</f>
        <v>0</v>
      </c>
      <c r="AT104">
        <f t="shared" si="44"/>
        <v>0</v>
      </c>
      <c r="AU104">
        <f t="shared" si="45"/>
        <v>0</v>
      </c>
      <c r="AV104" s="491" t="e">
        <f t="shared" si="46"/>
        <v>#DIV/0!</v>
      </c>
      <c r="AW104" t="e">
        <f t="shared" si="47"/>
        <v>#DIV/0!</v>
      </c>
      <c r="AX104" s="17">
        <f t="shared" si="48"/>
        <v>0</v>
      </c>
      <c r="AY104" s="30" t="e">
        <f t="shared" si="49"/>
        <v>#DIV/0!</v>
      </c>
      <c r="AZ104" s="17" t="str">
        <f t="shared" si="50"/>
        <v>NA</v>
      </c>
      <c r="BA104" s="491" t="str">
        <f t="shared" si="51"/>
        <v>NA</v>
      </c>
      <c r="BB104">
        <f t="shared" si="52"/>
        <v>0</v>
      </c>
    </row>
    <row r="105" spans="41:54">
      <c r="AO105" t="e">
        <f>IF(AQ105&lt;0,"",MATCH('Stock Position'!E105,$AX$15:$AX$251,0))</f>
        <v>#N/A</v>
      </c>
      <c r="AP105" t="e">
        <f>IF(AR105&gt;0,"",MATCH('Stock Position'!N105,$AX$15:$AX$251,0))</f>
        <v>#N/A</v>
      </c>
      <c r="AQ105">
        <f>LARGE($AX$15:$AX$251,'Stock Position'!C105)</f>
        <v>0</v>
      </c>
      <c r="AR105">
        <f>SMALL($AX$15:$AX$251,'Stock Position'!C105)</f>
        <v>0</v>
      </c>
      <c r="AS105">
        <f>'Trade Log'!BT105</f>
        <v>0</v>
      </c>
      <c r="AT105">
        <f t="shared" si="44"/>
        <v>0</v>
      </c>
      <c r="AU105">
        <f t="shared" si="45"/>
        <v>0</v>
      </c>
      <c r="AV105" s="491" t="e">
        <f t="shared" si="46"/>
        <v>#DIV/0!</v>
      </c>
      <c r="AW105" t="e">
        <f t="shared" si="47"/>
        <v>#DIV/0!</v>
      </c>
      <c r="AX105" s="17">
        <f t="shared" si="48"/>
        <v>0</v>
      </c>
      <c r="AY105" s="30" t="e">
        <f t="shared" si="49"/>
        <v>#DIV/0!</v>
      </c>
      <c r="AZ105" s="17" t="str">
        <f t="shared" si="50"/>
        <v>NA</v>
      </c>
      <c r="BA105" s="491" t="str">
        <f t="shared" si="51"/>
        <v>NA</v>
      </c>
      <c r="BB105">
        <f t="shared" si="52"/>
        <v>0</v>
      </c>
    </row>
    <row r="106" spans="41:54">
      <c r="AO106" t="e">
        <f>IF(AQ106&lt;0,"",MATCH('Stock Position'!E106,$AX$15:$AX$251,0))</f>
        <v>#N/A</v>
      </c>
      <c r="AP106" t="e">
        <f>IF(AR106&gt;0,"",MATCH('Stock Position'!N106,$AX$15:$AX$251,0))</f>
        <v>#N/A</v>
      </c>
      <c r="AQ106">
        <f>LARGE($AX$15:$AX$251,'Stock Position'!C106)</f>
        <v>0</v>
      </c>
      <c r="AR106">
        <f>SMALL($AX$15:$AX$251,'Stock Position'!C106)</f>
        <v>0</v>
      </c>
      <c r="AS106">
        <f>'Trade Log'!BT106</f>
        <v>0</v>
      </c>
      <c r="AT106">
        <f t="shared" si="44"/>
        <v>0</v>
      </c>
      <c r="AU106">
        <f t="shared" si="45"/>
        <v>0</v>
      </c>
      <c r="AV106" s="491" t="e">
        <f t="shared" si="46"/>
        <v>#DIV/0!</v>
      </c>
      <c r="AW106" t="e">
        <f t="shared" si="47"/>
        <v>#DIV/0!</v>
      </c>
      <c r="AX106" s="17">
        <f t="shared" si="48"/>
        <v>0</v>
      </c>
      <c r="AY106" s="30" t="e">
        <f t="shared" si="49"/>
        <v>#DIV/0!</v>
      </c>
      <c r="AZ106" s="17" t="str">
        <f t="shared" si="50"/>
        <v>NA</v>
      </c>
      <c r="BA106" s="491" t="str">
        <f t="shared" si="51"/>
        <v>NA</v>
      </c>
      <c r="BB106">
        <f t="shared" si="52"/>
        <v>0</v>
      </c>
    </row>
    <row r="107" spans="41:54">
      <c r="AO107" t="e">
        <f>IF(AQ107&lt;0,"",MATCH('Stock Position'!E107,$AX$15:$AX$251,0))</f>
        <v>#N/A</v>
      </c>
      <c r="AP107" t="e">
        <f>IF(AR107&gt;0,"",MATCH('Stock Position'!N107,$AX$15:$AX$251,0))</f>
        <v>#N/A</v>
      </c>
      <c r="AQ107">
        <f>LARGE($AX$15:$AX$251,'Stock Position'!C107)</f>
        <v>0</v>
      </c>
      <c r="AR107">
        <f>SMALL($AX$15:$AX$251,'Stock Position'!C107)</f>
        <v>0</v>
      </c>
      <c r="AS107">
        <f>'Trade Log'!BT107</f>
        <v>0</v>
      </c>
      <c r="AT107">
        <f t="shared" si="44"/>
        <v>0</v>
      </c>
      <c r="AU107">
        <f t="shared" si="45"/>
        <v>0</v>
      </c>
      <c r="AV107" s="491" t="e">
        <f t="shared" si="46"/>
        <v>#DIV/0!</v>
      </c>
      <c r="AW107" t="e">
        <f t="shared" si="47"/>
        <v>#DIV/0!</v>
      </c>
      <c r="AX107" s="17">
        <f t="shared" si="48"/>
        <v>0</v>
      </c>
      <c r="AY107" s="30" t="e">
        <f t="shared" si="49"/>
        <v>#DIV/0!</v>
      </c>
      <c r="AZ107" s="17" t="str">
        <f t="shared" si="50"/>
        <v>NA</v>
      </c>
      <c r="BA107" s="491" t="str">
        <f t="shared" si="51"/>
        <v>NA</v>
      </c>
      <c r="BB107">
        <f t="shared" si="52"/>
        <v>0</v>
      </c>
    </row>
    <row r="108" spans="41:54">
      <c r="AO108" t="e">
        <f>IF(AQ108&lt;0,"",MATCH('Stock Position'!E108,$AX$15:$AX$251,0))</f>
        <v>#N/A</v>
      </c>
      <c r="AP108" t="e">
        <f>IF(AR108&gt;0,"",MATCH('Stock Position'!N108,$AX$15:$AX$251,0))</f>
        <v>#N/A</v>
      </c>
      <c r="AQ108">
        <f>LARGE($AX$15:$AX$251,'Stock Position'!C108)</f>
        <v>0</v>
      </c>
      <c r="AR108">
        <f>SMALL($AX$15:$AX$251,'Stock Position'!C108)</f>
        <v>0</v>
      </c>
      <c r="AS108">
        <f>'Trade Log'!BT108</f>
        <v>0</v>
      </c>
      <c r="AT108">
        <f t="shared" si="44"/>
        <v>0</v>
      </c>
      <c r="AU108">
        <f t="shared" si="45"/>
        <v>0</v>
      </c>
      <c r="AV108" s="491" t="e">
        <f t="shared" si="46"/>
        <v>#DIV/0!</v>
      </c>
      <c r="AW108" t="e">
        <f t="shared" si="47"/>
        <v>#DIV/0!</v>
      </c>
      <c r="AX108" s="17">
        <f t="shared" si="48"/>
        <v>0</v>
      </c>
      <c r="AY108" s="30" t="e">
        <f t="shared" si="49"/>
        <v>#DIV/0!</v>
      </c>
      <c r="AZ108" s="17" t="str">
        <f t="shared" si="50"/>
        <v>NA</v>
      </c>
      <c r="BA108" s="491" t="str">
        <f t="shared" si="51"/>
        <v>NA</v>
      </c>
      <c r="BB108">
        <f t="shared" si="52"/>
        <v>0</v>
      </c>
    </row>
    <row r="109" spans="41:54">
      <c r="AO109" t="e">
        <f>IF(AQ109&lt;0,"",MATCH('Stock Position'!E109,$AX$15:$AX$251,0))</f>
        <v>#N/A</v>
      </c>
      <c r="AP109" t="e">
        <f>IF(AR109&gt;0,"",MATCH('Stock Position'!N109,$AX$15:$AX$251,0))</f>
        <v>#N/A</v>
      </c>
      <c r="AQ109">
        <f>LARGE($AX$15:$AX$251,'Stock Position'!C109)</f>
        <v>0</v>
      </c>
      <c r="AR109">
        <f>SMALL($AX$15:$AX$251,'Stock Position'!C109)</f>
        <v>0</v>
      </c>
      <c r="AS109">
        <f>'Trade Log'!BT109</f>
        <v>0</v>
      </c>
      <c r="AT109">
        <f t="shared" si="44"/>
        <v>0</v>
      </c>
      <c r="AU109">
        <f t="shared" si="45"/>
        <v>0</v>
      </c>
      <c r="AV109" s="491" t="e">
        <f t="shared" si="46"/>
        <v>#DIV/0!</v>
      </c>
      <c r="AW109" t="e">
        <f t="shared" si="47"/>
        <v>#DIV/0!</v>
      </c>
      <c r="AX109" s="17">
        <f t="shared" si="48"/>
        <v>0</v>
      </c>
      <c r="AY109" s="30" t="e">
        <f t="shared" si="49"/>
        <v>#DIV/0!</v>
      </c>
      <c r="AZ109" s="17" t="str">
        <f t="shared" si="50"/>
        <v>NA</v>
      </c>
      <c r="BA109" s="491" t="str">
        <f t="shared" si="51"/>
        <v>NA</v>
      </c>
      <c r="BB109">
        <f t="shared" si="52"/>
        <v>0</v>
      </c>
    </row>
    <row r="110" spans="41:54">
      <c r="AO110" t="e">
        <f>IF(AQ110&lt;0,"",MATCH('Stock Position'!E110,$AX$15:$AX$251,0))</f>
        <v>#N/A</v>
      </c>
      <c r="AP110" t="e">
        <f>IF(AR110&gt;0,"",MATCH('Stock Position'!N110,$AX$15:$AX$251,0))</f>
        <v>#N/A</v>
      </c>
      <c r="AQ110">
        <f>LARGE($AX$15:$AX$251,'Stock Position'!C110)</f>
        <v>0</v>
      </c>
      <c r="AR110">
        <f>SMALL($AX$15:$AX$251,'Stock Position'!C110)</f>
        <v>0</v>
      </c>
      <c r="AS110">
        <f>'Trade Log'!BT110</f>
        <v>0</v>
      </c>
      <c r="AT110">
        <f t="shared" si="44"/>
        <v>0</v>
      </c>
      <c r="AU110">
        <f t="shared" si="45"/>
        <v>0</v>
      </c>
      <c r="AV110" s="491" t="e">
        <f t="shared" si="46"/>
        <v>#DIV/0!</v>
      </c>
      <c r="AW110" t="e">
        <f t="shared" si="47"/>
        <v>#DIV/0!</v>
      </c>
      <c r="AX110" s="17">
        <f t="shared" si="48"/>
        <v>0</v>
      </c>
      <c r="AY110" s="30" t="e">
        <f t="shared" si="49"/>
        <v>#DIV/0!</v>
      </c>
      <c r="AZ110" s="17" t="str">
        <f t="shared" si="50"/>
        <v>NA</v>
      </c>
      <c r="BA110" s="491" t="str">
        <f t="shared" si="51"/>
        <v>NA</v>
      </c>
      <c r="BB110">
        <f t="shared" si="52"/>
        <v>0</v>
      </c>
    </row>
    <row r="111" spans="41:54">
      <c r="AO111" t="e">
        <f>IF(AQ111&lt;0,"",MATCH('Stock Position'!E111,$AX$15:$AX$251,0))</f>
        <v>#N/A</v>
      </c>
      <c r="AP111" t="e">
        <f>IF(AR111&gt;0,"",MATCH('Stock Position'!N111,$AX$15:$AX$251,0))</f>
        <v>#N/A</v>
      </c>
      <c r="AQ111">
        <f>LARGE($AX$15:$AX$251,'Stock Position'!C111)</f>
        <v>0</v>
      </c>
      <c r="AR111">
        <f>SMALL($AX$15:$AX$251,'Stock Position'!C111)</f>
        <v>0</v>
      </c>
      <c r="AS111">
        <f>'Trade Log'!BT111</f>
        <v>0</v>
      </c>
      <c r="AT111">
        <f t="shared" si="44"/>
        <v>0</v>
      </c>
      <c r="AU111">
        <f t="shared" si="45"/>
        <v>0</v>
      </c>
      <c r="AV111" s="491" t="e">
        <f t="shared" si="46"/>
        <v>#DIV/0!</v>
      </c>
      <c r="AW111" t="e">
        <f t="shared" si="47"/>
        <v>#DIV/0!</v>
      </c>
      <c r="AX111" s="17">
        <f t="shared" si="48"/>
        <v>0</v>
      </c>
      <c r="AY111" s="30" t="e">
        <f t="shared" si="49"/>
        <v>#DIV/0!</v>
      </c>
      <c r="AZ111" s="17" t="str">
        <f t="shared" si="50"/>
        <v>NA</v>
      </c>
      <c r="BA111" s="491" t="str">
        <f t="shared" si="51"/>
        <v>NA</v>
      </c>
      <c r="BB111">
        <f t="shared" si="52"/>
        <v>0</v>
      </c>
    </row>
    <row r="112" spans="41:54">
      <c r="AO112" t="e">
        <f>IF(AQ112&lt;0,"",MATCH('Stock Position'!E112,$AX$15:$AX$251,0))</f>
        <v>#N/A</v>
      </c>
      <c r="AP112" t="e">
        <f>IF(AR112&gt;0,"",MATCH('Stock Position'!N112,$AX$15:$AX$251,0))</f>
        <v>#N/A</v>
      </c>
      <c r="AQ112">
        <f>LARGE($AX$15:$AX$251,'Stock Position'!C112)</f>
        <v>0</v>
      </c>
      <c r="AR112">
        <f>SMALL($AX$15:$AX$251,'Stock Position'!C112)</f>
        <v>0</v>
      </c>
      <c r="AS112">
        <f>'Trade Log'!BT112</f>
        <v>0</v>
      </c>
      <c r="AT112">
        <f t="shared" si="44"/>
        <v>0</v>
      </c>
      <c r="AU112">
        <f t="shared" si="45"/>
        <v>0</v>
      </c>
      <c r="AV112" s="491" t="e">
        <f t="shared" si="46"/>
        <v>#DIV/0!</v>
      </c>
      <c r="AW112" t="e">
        <f t="shared" si="47"/>
        <v>#DIV/0!</v>
      </c>
      <c r="AX112" s="17">
        <f t="shared" si="48"/>
        <v>0</v>
      </c>
      <c r="AY112" s="30" t="e">
        <f t="shared" si="49"/>
        <v>#DIV/0!</v>
      </c>
      <c r="AZ112" s="17" t="str">
        <f t="shared" si="50"/>
        <v>NA</v>
      </c>
      <c r="BA112" s="491" t="str">
        <f t="shared" si="51"/>
        <v>NA</v>
      </c>
      <c r="BB112">
        <f t="shared" si="52"/>
        <v>0</v>
      </c>
    </row>
    <row r="113" spans="41:54">
      <c r="AO113" t="e">
        <f>IF(AQ113&lt;0,"",MATCH('Stock Position'!E113,$AX$15:$AX$251,0))</f>
        <v>#N/A</v>
      </c>
      <c r="AP113" t="e">
        <f>IF(AR113&gt;0,"",MATCH('Stock Position'!N113,$AX$15:$AX$251,0))</f>
        <v>#N/A</v>
      </c>
      <c r="AQ113">
        <f>LARGE($AX$15:$AX$251,'Stock Position'!C113)</f>
        <v>0</v>
      </c>
      <c r="AR113">
        <f>SMALL($AX$15:$AX$251,'Stock Position'!C113)</f>
        <v>0</v>
      </c>
      <c r="AS113">
        <f>'Trade Log'!BT113</f>
        <v>0</v>
      </c>
      <c r="AT113">
        <f t="shared" si="44"/>
        <v>0</v>
      </c>
      <c r="AU113">
        <f t="shared" si="45"/>
        <v>0</v>
      </c>
      <c r="AV113" s="491" t="e">
        <f t="shared" si="46"/>
        <v>#DIV/0!</v>
      </c>
      <c r="AW113" t="e">
        <f t="shared" si="47"/>
        <v>#DIV/0!</v>
      </c>
      <c r="AX113" s="17">
        <f t="shared" si="48"/>
        <v>0</v>
      </c>
      <c r="AY113" s="30" t="e">
        <f t="shared" si="49"/>
        <v>#DIV/0!</v>
      </c>
      <c r="AZ113" s="17" t="str">
        <f t="shared" si="50"/>
        <v>NA</v>
      </c>
      <c r="BA113" s="491" t="str">
        <f t="shared" si="51"/>
        <v>NA</v>
      </c>
      <c r="BB113">
        <f t="shared" si="52"/>
        <v>0</v>
      </c>
    </row>
    <row r="114" spans="41:54">
      <c r="AO114" t="e">
        <f>IF(AQ114&lt;0,"",MATCH('Stock Position'!E114,$AX$15:$AX$251,0))</f>
        <v>#N/A</v>
      </c>
      <c r="AP114" t="e">
        <f>IF(AR114&gt;0,"",MATCH('Stock Position'!N114,$AX$15:$AX$251,0))</f>
        <v>#N/A</v>
      </c>
      <c r="AQ114">
        <f>LARGE($AX$15:$AX$251,'Stock Position'!C114)</f>
        <v>0</v>
      </c>
      <c r="AR114">
        <f>SMALL($AX$15:$AX$251,'Stock Position'!C114)</f>
        <v>0</v>
      </c>
      <c r="AS114">
        <f>'Trade Log'!BT114</f>
        <v>0</v>
      </c>
      <c r="AT114">
        <f t="shared" si="44"/>
        <v>0</v>
      </c>
      <c r="AU114">
        <f t="shared" si="45"/>
        <v>0</v>
      </c>
      <c r="AV114" s="491" t="e">
        <f t="shared" si="46"/>
        <v>#DIV/0!</v>
      </c>
      <c r="AW114" t="e">
        <f t="shared" si="47"/>
        <v>#DIV/0!</v>
      </c>
      <c r="AX114" s="17">
        <f t="shared" si="48"/>
        <v>0</v>
      </c>
      <c r="AY114" s="30" t="e">
        <f t="shared" si="49"/>
        <v>#DIV/0!</v>
      </c>
      <c r="AZ114" s="17" t="str">
        <f t="shared" si="50"/>
        <v>NA</v>
      </c>
      <c r="BA114" s="491" t="str">
        <f t="shared" si="51"/>
        <v>NA</v>
      </c>
      <c r="BB114">
        <f t="shared" si="52"/>
        <v>0</v>
      </c>
    </row>
    <row r="115" spans="41:54">
      <c r="AS115">
        <f>'Trade Log'!BT115</f>
        <v>0</v>
      </c>
      <c r="AT115">
        <f t="shared" si="44"/>
        <v>0</v>
      </c>
      <c r="AU115">
        <f t="shared" si="45"/>
        <v>0</v>
      </c>
      <c r="AV115" s="491" t="e">
        <f t="shared" si="46"/>
        <v>#DIV/0!</v>
      </c>
      <c r="AW115" t="e">
        <f t="shared" si="47"/>
        <v>#DIV/0!</v>
      </c>
      <c r="AX115" s="17">
        <f t="shared" si="48"/>
        <v>0</v>
      </c>
      <c r="AY115" s="30" t="e">
        <f t="shared" si="49"/>
        <v>#DIV/0!</v>
      </c>
      <c r="AZ115" s="17" t="str">
        <f t="shared" si="50"/>
        <v>NA</v>
      </c>
      <c r="BA115" s="491" t="str">
        <f t="shared" si="51"/>
        <v>NA</v>
      </c>
      <c r="BB115">
        <f t="shared" si="52"/>
        <v>0</v>
      </c>
    </row>
    <row r="116" spans="41:54">
      <c r="AS116">
        <f>'Trade Log'!BT116</f>
        <v>0</v>
      </c>
      <c r="AT116">
        <f t="shared" si="44"/>
        <v>0</v>
      </c>
      <c r="AU116">
        <f t="shared" si="45"/>
        <v>0</v>
      </c>
      <c r="AV116" s="491" t="e">
        <f t="shared" si="46"/>
        <v>#DIV/0!</v>
      </c>
      <c r="AW116" t="e">
        <f t="shared" si="47"/>
        <v>#DIV/0!</v>
      </c>
      <c r="AX116" s="17">
        <f t="shared" si="48"/>
        <v>0</v>
      </c>
      <c r="AY116" s="30" t="e">
        <f t="shared" si="49"/>
        <v>#DIV/0!</v>
      </c>
      <c r="AZ116" s="17" t="str">
        <f t="shared" si="50"/>
        <v>NA</v>
      </c>
      <c r="BA116" s="491" t="str">
        <f t="shared" si="51"/>
        <v>NA</v>
      </c>
      <c r="BB116">
        <f t="shared" si="52"/>
        <v>0</v>
      </c>
    </row>
    <row r="117" spans="41:54">
      <c r="AS117">
        <f>'Trade Log'!BT117</f>
        <v>0</v>
      </c>
      <c r="AT117">
        <f t="shared" si="44"/>
        <v>0</v>
      </c>
      <c r="AU117">
        <f t="shared" si="45"/>
        <v>0</v>
      </c>
      <c r="AV117" s="491" t="e">
        <f t="shared" si="46"/>
        <v>#DIV/0!</v>
      </c>
      <c r="AW117" t="e">
        <f t="shared" si="47"/>
        <v>#DIV/0!</v>
      </c>
      <c r="AX117" s="17">
        <f t="shared" si="48"/>
        <v>0</v>
      </c>
      <c r="AY117" s="30" t="e">
        <f t="shared" si="49"/>
        <v>#DIV/0!</v>
      </c>
      <c r="AZ117" s="17" t="str">
        <f t="shared" si="50"/>
        <v>NA</v>
      </c>
      <c r="BA117" s="491" t="str">
        <f t="shared" si="51"/>
        <v>NA</v>
      </c>
      <c r="BB117">
        <f t="shared" si="52"/>
        <v>0</v>
      </c>
    </row>
    <row r="118" spans="41:54">
      <c r="AS118">
        <f>'Trade Log'!BT118</f>
        <v>0</v>
      </c>
      <c r="AT118">
        <f t="shared" si="44"/>
        <v>0</v>
      </c>
      <c r="AU118">
        <f t="shared" si="45"/>
        <v>0</v>
      </c>
      <c r="AV118" s="491" t="e">
        <f t="shared" si="46"/>
        <v>#DIV/0!</v>
      </c>
      <c r="AW118" t="e">
        <f t="shared" si="47"/>
        <v>#DIV/0!</v>
      </c>
      <c r="AX118" s="17">
        <f t="shared" si="48"/>
        <v>0</v>
      </c>
      <c r="AY118" s="30" t="e">
        <f t="shared" si="49"/>
        <v>#DIV/0!</v>
      </c>
      <c r="AZ118" s="17" t="str">
        <f t="shared" si="50"/>
        <v>NA</v>
      </c>
      <c r="BA118" s="491" t="str">
        <f t="shared" si="51"/>
        <v>NA</v>
      </c>
      <c r="BB118">
        <f t="shared" si="52"/>
        <v>0</v>
      </c>
    </row>
    <row r="119" spans="41:54">
      <c r="AS119">
        <f>'Trade Log'!BT119</f>
        <v>0</v>
      </c>
      <c r="AT119">
        <f t="shared" si="44"/>
        <v>0</v>
      </c>
      <c r="AU119">
        <f t="shared" si="45"/>
        <v>0</v>
      </c>
      <c r="AV119" s="491" t="e">
        <f t="shared" si="46"/>
        <v>#DIV/0!</v>
      </c>
      <c r="AW119" t="e">
        <f t="shared" si="47"/>
        <v>#DIV/0!</v>
      </c>
      <c r="AX119" s="17">
        <f t="shared" si="48"/>
        <v>0</v>
      </c>
      <c r="AY119" s="30" t="e">
        <f t="shared" si="49"/>
        <v>#DIV/0!</v>
      </c>
      <c r="AZ119" s="17" t="str">
        <f t="shared" si="50"/>
        <v>NA</v>
      </c>
      <c r="BA119" s="491" t="str">
        <f t="shared" si="51"/>
        <v>NA</v>
      </c>
      <c r="BB119">
        <f t="shared" si="52"/>
        <v>0</v>
      </c>
    </row>
    <row r="120" spans="41:54">
      <c r="AS120">
        <f>'Trade Log'!BT120</f>
        <v>0</v>
      </c>
      <c r="AT120">
        <f t="shared" si="44"/>
        <v>0</v>
      </c>
      <c r="AU120">
        <f t="shared" si="45"/>
        <v>0</v>
      </c>
      <c r="AV120" s="491" t="e">
        <f t="shared" si="46"/>
        <v>#DIV/0!</v>
      </c>
      <c r="AW120" t="e">
        <f t="shared" si="47"/>
        <v>#DIV/0!</v>
      </c>
      <c r="AX120" s="17">
        <f t="shared" si="48"/>
        <v>0</v>
      </c>
      <c r="AY120" s="30" t="e">
        <f t="shared" si="49"/>
        <v>#DIV/0!</v>
      </c>
      <c r="AZ120" s="17" t="str">
        <f t="shared" si="50"/>
        <v>NA</v>
      </c>
      <c r="BA120" s="491" t="str">
        <f t="shared" si="51"/>
        <v>NA</v>
      </c>
      <c r="BB120">
        <f t="shared" si="52"/>
        <v>0</v>
      </c>
    </row>
    <row r="121" spans="41:54">
      <c r="AS121">
        <f>'Trade Log'!BT121</f>
        <v>0</v>
      </c>
      <c r="AT121">
        <f t="shared" si="44"/>
        <v>0</v>
      </c>
      <c r="AU121">
        <f t="shared" si="45"/>
        <v>0</v>
      </c>
      <c r="AV121" s="491" t="e">
        <f t="shared" si="46"/>
        <v>#DIV/0!</v>
      </c>
      <c r="AW121" t="e">
        <f t="shared" si="47"/>
        <v>#DIV/0!</v>
      </c>
      <c r="AX121" s="17">
        <f t="shared" si="48"/>
        <v>0</v>
      </c>
      <c r="AY121" s="30" t="e">
        <f t="shared" si="49"/>
        <v>#DIV/0!</v>
      </c>
      <c r="AZ121" s="17" t="str">
        <f t="shared" si="50"/>
        <v>NA</v>
      </c>
      <c r="BA121" s="491" t="str">
        <f t="shared" si="51"/>
        <v>NA</v>
      </c>
      <c r="BB121">
        <f t="shared" si="52"/>
        <v>0</v>
      </c>
    </row>
    <row r="122" spans="41:54">
      <c r="AS122">
        <f>'Trade Log'!BT122</f>
        <v>0</v>
      </c>
      <c r="AT122">
        <f t="shared" si="44"/>
        <v>0</v>
      </c>
      <c r="AU122">
        <f t="shared" si="45"/>
        <v>0</v>
      </c>
      <c r="AV122" s="491" t="e">
        <f t="shared" si="46"/>
        <v>#DIV/0!</v>
      </c>
      <c r="AW122" t="e">
        <f t="shared" si="47"/>
        <v>#DIV/0!</v>
      </c>
      <c r="AX122" s="17">
        <f t="shared" si="48"/>
        <v>0</v>
      </c>
      <c r="AY122" s="30" t="e">
        <f t="shared" si="49"/>
        <v>#DIV/0!</v>
      </c>
      <c r="AZ122" s="17" t="str">
        <f t="shared" si="50"/>
        <v>NA</v>
      </c>
      <c r="BA122" s="491" t="str">
        <f t="shared" si="51"/>
        <v>NA</v>
      </c>
      <c r="BB122">
        <f t="shared" si="52"/>
        <v>0</v>
      </c>
    </row>
    <row r="123" spans="41:54">
      <c r="AS123">
        <f>'Trade Log'!BT123</f>
        <v>0</v>
      </c>
      <c r="AT123">
        <f t="shared" si="44"/>
        <v>0</v>
      </c>
      <c r="AU123">
        <f t="shared" si="45"/>
        <v>0</v>
      </c>
      <c r="AV123" s="491" t="e">
        <f t="shared" si="46"/>
        <v>#DIV/0!</v>
      </c>
      <c r="AW123" t="e">
        <f t="shared" si="47"/>
        <v>#DIV/0!</v>
      </c>
      <c r="AX123" s="17">
        <f t="shared" si="48"/>
        <v>0</v>
      </c>
      <c r="AY123" s="30" t="e">
        <f t="shared" si="49"/>
        <v>#DIV/0!</v>
      </c>
      <c r="AZ123" s="17" t="str">
        <f t="shared" si="50"/>
        <v>NA</v>
      </c>
      <c r="BA123" s="491" t="str">
        <f t="shared" si="51"/>
        <v>NA</v>
      </c>
      <c r="BB123">
        <f t="shared" si="52"/>
        <v>0</v>
      </c>
    </row>
    <row r="124" spans="41:54">
      <c r="AS124">
        <f>'Trade Log'!BT124</f>
        <v>0</v>
      </c>
      <c r="AT124">
        <f t="shared" si="44"/>
        <v>0</v>
      </c>
      <c r="AU124">
        <f t="shared" si="45"/>
        <v>0</v>
      </c>
      <c r="AV124" s="491" t="e">
        <f t="shared" si="46"/>
        <v>#DIV/0!</v>
      </c>
      <c r="AW124" t="e">
        <f t="shared" si="47"/>
        <v>#DIV/0!</v>
      </c>
      <c r="AX124" s="17">
        <f t="shared" si="48"/>
        <v>0</v>
      </c>
      <c r="AY124" s="30" t="e">
        <f t="shared" si="49"/>
        <v>#DIV/0!</v>
      </c>
      <c r="AZ124" s="17" t="str">
        <f t="shared" si="50"/>
        <v>NA</v>
      </c>
      <c r="BA124" s="491" t="str">
        <f t="shared" si="51"/>
        <v>NA</v>
      </c>
      <c r="BB124">
        <f t="shared" si="52"/>
        <v>0</v>
      </c>
    </row>
    <row r="125" spans="41:54">
      <c r="AS125">
        <f>'Trade Log'!BT125</f>
        <v>0</v>
      </c>
      <c r="AT125">
        <f t="shared" si="44"/>
        <v>0</v>
      </c>
      <c r="AU125">
        <f t="shared" si="45"/>
        <v>0</v>
      </c>
      <c r="AV125" s="491" t="e">
        <f t="shared" si="46"/>
        <v>#DIV/0!</v>
      </c>
      <c r="AW125" t="e">
        <f t="shared" si="47"/>
        <v>#DIV/0!</v>
      </c>
      <c r="AX125" s="17">
        <f t="shared" si="48"/>
        <v>0</v>
      </c>
      <c r="AY125" s="30" t="e">
        <f t="shared" si="49"/>
        <v>#DIV/0!</v>
      </c>
      <c r="AZ125" s="17" t="str">
        <f t="shared" si="50"/>
        <v>NA</v>
      </c>
      <c r="BA125" s="491" t="str">
        <f t="shared" si="51"/>
        <v>NA</v>
      </c>
      <c r="BB125">
        <f t="shared" si="52"/>
        <v>0</v>
      </c>
    </row>
    <row r="126" spans="41:54">
      <c r="AS126">
        <f>'Trade Log'!BT126</f>
        <v>0</v>
      </c>
      <c r="AT126">
        <f t="shared" si="44"/>
        <v>0</v>
      </c>
      <c r="AU126">
        <f t="shared" si="45"/>
        <v>0</v>
      </c>
      <c r="AV126" s="491" t="e">
        <f t="shared" si="46"/>
        <v>#DIV/0!</v>
      </c>
      <c r="AW126" t="e">
        <f t="shared" si="47"/>
        <v>#DIV/0!</v>
      </c>
      <c r="AX126" s="17">
        <f t="shared" si="48"/>
        <v>0</v>
      </c>
      <c r="AY126" s="30" t="e">
        <f t="shared" si="49"/>
        <v>#DIV/0!</v>
      </c>
      <c r="AZ126" s="17" t="str">
        <f t="shared" si="50"/>
        <v>NA</v>
      </c>
      <c r="BA126" s="491" t="str">
        <f t="shared" si="51"/>
        <v>NA</v>
      </c>
      <c r="BB126">
        <f t="shared" si="52"/>
        <v>0</v>
      </c>
    </row>
    <row r="127" spans="41:54">
      <c r="AS127">
        <f>'Trade Log'!BT127</f>
        <v>0</v>
      </c>
      <c r="AT127">
        <f t="shared" si="44"/>
        <v>0</v>
      </c>
      <c r="AU127">
        <f t="shared" si="45"/>
        <v>0</v>
      </c>
      <c r="AV127" s="491" t="e">
        <f t="shared" si="46"/>
        <v>#DIV/0!</v>
      </c>
      <c r="AW127" t="e">
        <f t="shared" si="47"/>
        <v>#DIV/0!</v>
      </c>
      <c r="AX127" s="17">
        <f t="shared" si="48"/>
        <v>0</v>
      </c>
      <c r="AY127" s="30" t="e">
        <f t="shared" si="49"/>
        <v>#DIV/0!</v>
      </c>
      <c r="AZ127" s="17" t="str">
        <f t="shared" si="50"/>
        <v>NA</v>
      </c>
      <c r="BA127" s="491" t="str">
        <f t="shared" si="51"/>
        <v>NA</v>
      </c>
      <c r="BB127">
        <f t="shared" si="52"/>
        <v>0</v>
      </c>
    </row>
    <row r="128" spans="41:54">
      <c r="AS128">
        <f>'Trade Log'!BT128</f>
        <v>0</v>
      </c>
      <c r="AT128">
        <f t="shared" si="44"/>
        <v>0</v>
      </c>
      <c r="AU128">
        <f t="shared" si="45"/>
        <v>0</v>
      </c>
      <c r="AV128" s="491" t="e">
        <f t="shared" si="46"/>
        <v>#DIV/0!</v>
      </c>
      <c r="AW128" t="e">
        <f t="shared" si="47"/>
        <v>#DIV/0!</v>
      </c>
      <c r="AX128" s="17">
        <f t="shared" si="48"/>
        <v>0</v>
      </c>
      <c r="AY128" s="30" t="e">
        <f t="shared" si="49"/>
        <v>#DIV/0!</v>
      </c>
      <c r="AZ128" s="17" t="str">
        <f t="shared" si="50"/>
        <v>NA</v>
      </c>
      <c r="BA128" s="491" t="str">
        <f t="shared" si="51"/>
        <v>NA</v>
      </c>
      <c r="BB128">
        <f t="shared" si="52"/>
        <v>0</v>
      </c>
    </row>
    <row r="129" spans="45:54">
      <c r="AS129">
        <f>'Trade Log'!BT129</f>
        <v>0</v>
      </c>
      <c r="AT129">
        <f t="shared" si="44"/>
        <v>0</v>
      </c>
      <c r="AU129">
        <f t="shared" si="45"/>
        <v>0</v>
      </c>
      <c r="AV129" s="491" t="e">
        <f t="shared" si="46"/>
        <v>#DIV/0!</v>
      </c>
      <c r="AW129" t="e">
        <f t="shared" si="47"/>
        <v>#DIV/0!</v>
      </c>
      <c r="AX129" s="17">
        <f t="shared" si="48"/>
        <v>0</v>
      </c>
      <c r="AY129" s="30" t="e">
        <f t="shared" si="49"/>
        <v>#DIV/0!</v>
      </c>
      <c r="AZ129" s="17" t="str">
        <f t="shared" si="50"/>
        <v>NA</v>
      </c>
      <c r="BA129" s="491" t="str">
        <f t="shared" si="51"/>
        <v>NA</v>
      </c>
      <c r="BB129">
        <f t="shared" si="52"/>
        <v>0</v>
      </c>
    </row>
    <row r="130" spans="45:54">
      <c r="AS130">
        <f>'Trade Log'!BT130</f>
        <v>0</v>
      </c>
      <c r="AT130">
        <f t="shared" si="44"/>
        <v>0</v>
      </c>
      <c r="AU130">
        <f t="shared" si="45"/>
        <v>0</v>
      </c>
      <c r="AV130" s="491" t="e">
        <f t="shared" si="46"/>
        <v>#DIV/0!</v>
      </c>
      <c r="AW130" t="e">
        <f t="shared" si="47"/>
        <v>#DIV/0!</v>
      </c>
      <c r="AX130" s="17">
        <f t="shared" si="48"/>
        <v>0</v>
      </c>
      <c r="AY130" s="30" t="e">
        <f t="shared" si="49"/>
        <v>#DIV/0!</v>
      </c>
      <c r="AZ130" s="17" t="str">
        <f t="shared" si="50"/>
        <v>NA</v>
      </c>
      <c r="BA130" s="491" t="str">
        <f t="shared" si="51"/>
        <v>NA</v>
      </c>
      <c r="BB130">
        <f t="shared" si="52"/>
        <v>0</v>
      </c>
    </row>
    <row r="131" spans="45:54">
      <c r="AS131">
        <f>'Trade Log'!BT131</f>
        <v>0</v>
      </c>
      <c r="AT131">
        <f t="shared" si="44"/>
        <v>0</v>
      </c>
      <c r="AU131">
        <f t="shared" si="45"/>
        <v>0</v>
      </c>
      <c r="AV131" s="491" t="e">
        <f t="shared" si="46"/>
        <v>#DIV/0!</v>
      </c>
      <c r="AW131" t="e">
        <f t="shared" si="47"/>
        <v>#DIV/0!</v>
      </c>
      <c r="AX131" s="17">
        <f t="shared" si="48"/>
        <v>0</v>
      </c>
      <c r="AY131" s="30" t="e">
        <f t="shared" si="49"/>
        <v>#DIV/0!</v>
      </c>
      <c r="AZ131" s="17" t="str">
        <f t="shared" si="50"/>
        <v>NA</v>
      </c>
      <c r="BA131" s="491" t="str">
        <f t="shared" si="51"/>
        <v>NA</v>
      </c>
      <c r="BB131">
        <f t="shared" si="52"/>
        <v>0</v>
      </c>
    </row>
    <row r="132" spans="45:54">
      <c r="AS132">
        <f>'Trade Log'!BT132</f>
        <v>0</v>
      </c>
      <c r="AT132">
        <f t="shared" si="44"/>
        <v>0</v>
      </c>
      <c r="AU132">
        <f t="shared" si="45"/>
        <v>0</v>
      </c>
      <c r="AV132" s="491" t="e">
        <f t="shared" si="46"/>
        <v>#DIV/0!</v>
      </c>
      <c r="AW132" t="e">
        <f t="shared" si="47"/>
        <v>#DIV/0!</v>
      </c>
      <c r="AX132" s="17">
        <f t="shared" si="48"/>
        <v>0</v>
      </c>
      <c r="AY132" s="30" t="e">
        <f t="shared" si="49"/>
        <v>#DIV/0!</v>
      </c>
      <c r="AZ132" s="17" t="str">
        <f t="shared" si="50"/>
        <v>NA</v>
      </c>
      <c r="BA132" s="491" t="str">
        <f t="shared" si="51"/>
        <v>NA</v>
      </c>
      <c r="BB132">
        <f t="shared" si="52"/>
        <v>0</v>
      </c>
    </row>
    <row r="133" spans="45:54">
      <c r="AS133">
        <f>'Trade Log'!BT133</f>
        <v>0</v>
      </c>
      <c r="AT133">
        <f t="shared" si="44"/>
        <v>0</v>
      </c>
      <c r="AU133">
        <f t="shared" si="45"/>
        <v>0</v>
      </c>
      <c r="AV133" s="491" t="e">
        <f t="shared" si="46"/>
        <v>#DIV/0!</v>
      </c>
      <c r="AW133" t="e">
        <f t="shared" si="47"/>
        <v>#DIV/0!</v>
      </c>
      <c r="AX133" s="17">
        <f t="shared" si="48"/>
        <v>0</v>
      </c>
      <c r="AY133" s="30" t="e">
        <f t="shared" si="49"/>
        <v>#DIV/0!</v>
      </c>
      <c r="AZ133" s="17" t="str">
        <f t="shared" si="50"/>
        <v>NA</v>
      </c>
      <c r="BA133" s="491" t="str">
        <f t="shared" si="51"/>
        <v>NA</v>
      </c>
      <c r="BB133">
        <f t="shared" si="52"/>
        <v>0</v>
      </c>
    </row>
    <row r="134" spans="45:54">
      <c r="AS134">
        <f>'Trade Log'!BT134</f>
        <v>0</v>
      </c>
      <c r="AT134">
        <f t="shared" si="44"/>
        <v>0</v>
      </c>
      <c r="AU134">
        <f t="shared" si="45"/>
        <v>0</v>
      </c>
      <c r="AV134" s="491" t="e">
        <f t="shared" si="46"/>
        <v>#DIV/0!</v>
      </c>
      <c r="AW134" t="e">
        <f t="shared" si="47"/>
        <v>#DIV/0!</v>
      </c>
      <c r="AX134" s="17">
        <f t="shared" si="48"/>
        <v>0</v>
      </c>
      <c r="AY134" s="30" t="e">
        <f t="shared" si="49"/>
        <v>#DIV/0!</v>
      </c>
      <c r="AZ134" s="17" t="str">
        <f t="shared" si="50"/>
        <v>NA</v>
      </c>
      <c r="BA134" s="491" t="str">
        <f t="shared" si="51"/>
        <v>NA</v>
      </c>
      <c r="BB134">
        <f t="shared" si="52"/>
        <v>0</v>
      </c>
    </row>
    <row r="135" spans="45:54">
      <c r="AS135">
        <f>'Trade Log'!BT135</f>
        <v>0</v>
      </c>
      <c r="AT135">
        <f t="shared" si="44"/>
        <v>0</v>
      </c>
      <c r="AU135">
        <f t="shared" si="45"/>
        <v>0</v>
      </c>
      <c r="AV135" s="491" t="e">
        <f t="shared" si="46"/>
        <v>#DIV/0!</v>
      </c>
      <c r="AW135" t="e">
        <f t="shared" si="47"/>
        <v>#DIV/0!</v>
      </c>
      <c r="AX135" s="17">
        <f t="shared" si="48"/>
        <v>0</v>
      </c>
      <c r="AY135" s="30" t="e">
        <f t="shared" si="49"/>
        <v>#DIV/0!</v>
      </c>
      <c r="AZ135" s="17" t="str">
        <f t="shared" si="50"/>
        <v>NA</v>
      </c>
      <c r="BA135" s="491" t="str">
        <f t="shared" si="51"/>
        <v>NA</v>
      </c>
      <c r="BB135">
        <f t="shared" si="52"/>
        <v>0</v>
      </c>
    </row>
    <row r="136" spans="45:54">
      <c r="AS136">
        <f>'Trade Log'!BT136</f>
        <v>0</v>
      </c>
      <c r="AT136">
        <f t="shared" si="44"/>
        <v>0</v>
      </c>
      <c r="AU136">
        <f t="shared" si="45"/>
        <v>0</v>
      </c>
      <c r="AV136" s="491" t="e">
        <f t="shared" si="46"/>
        <v>#DIV/0!</v>
      </c>
      <c r="AW136" t="e">
        <f t="shared" si="47"/>
        <v>#DIV/0!</v>
      </c>
      <c r="AX136" s="17">
        <f t="shared" si="48"/>
        <v>0</v>
      </c>
      <c r="AY136" s="30" t="e">
        <f t="shared" si="49"/>
        <v>#DIV/0!</v>
      </c>
      <c r="AZ136" s="17" t="str">
        <f t="shared" si="50"/>
        <v>NA</v>
      </c>
      <c r="BA136" s="491" t="str">
        <f t="shared" si="51"/>
        <v>NA</v>
      </c>
      <c r="BB136">
        <f t="shared" si="52"/>
        <v>0</v>
      </c>
    </row>
    <row r="137" spans="45:54">
      <c r="AS137">
        <f>'Trade Log'!BT137</f>
        <v>0</v>
      </c>
      <c r="AT137">
        <f t="shared" si="44"/>
        <v>0</v>
      </c>
      <c r="AU137">
        <f t="shared" si="45"/>
        <v>0</v>
      </c>
      <c r="AV137" s="491" t="e">
        <f t="shared" si="46"/>
        <v>#DIV/0!</v>
      </c>
      <c r="AW137" t="e">
        <f t="shared" si="47"/>
        <v>#DIV/0!</v>
      </c>
      <c r="AX137" s="17">
        <f t="shared" si="48"/>
        <v>0</v>
      </c>
      <c r="AY137" s="30" t="e">
        <f t="shared" si="49"/>
        <v>#DIV/0!</v>
      </c>
      <c r="AZ137" s="17" t="str">
        <f t="shared" si="50"/>
        <v>NA</v>
      </c>
      <c r="BA137" s="491" t="str">
        <f t="shared" si="51"/>
        <v>NA</v>
      </c>
      <c r="BB137">
        <f t="shared" si="52"/>
        <v>0</v>
      </c>
    </row>
    <row r="138" spans="45:54">
      <c r="AS138">
        <f>'Trade Log'!BT138</f>
        <v>0</v>
      </c>
      <c r="AT138">
        <f t="shared" si="44"/>
        <v>0</v>
      </c>
      <c r="AU138">
        <f t="shared" si="45"/>
        <v>0</v>
      </c>
      <c r="AV138" s="491" t="e">
        <f t="shared" si="46"/>
        <v>#DIV/0!</v>
      </c>
      <c r="AW138" t="e">
        <f t="shared" si="47"/>
        <v>#DIV/0!</v>
      </c>
      <c r="AX138" s="17">
        <f t="shared" si="48"/>
        <v>0</v>
      </c>
      <c r="AY138" s="30" t="e">
        <f t="shared" si="49"/>
        <v>#DIV/0!</v>
      </c>
      <c r="AZ138" s="17" t="str">
        <f t="shared" si="50"/>
        <v>NA</v>
      </c>
      <c r="BA138" s="491" t="str">
        <f t="shared" si="51"/>
        <v>NA</v>
      </c>
      <c r="BB138">
        <f t="shared" si="52"/>
        <v>0</v>
      </c>
    </row>
    <row r="139" spans="45:54">
      <c r="AS139">
        <f>'Trade Log'!BT139</f>
        <v>0</v>
      </c>
      <c r="AT139">
        <f t="shared" si="44"/>
        <v>0</v>
      </c>
      <c r="AU139">
        <f t="shared" si="45"/>
        <v>0</v>
      </c>
      <c r="AV139" s="491" t="e">
        <f t="shared" si="46"/>
        <v>#DIV/0!</v>
      </c>
      <c r="AW139" t="e">
        <f t="shared" si="47"/>
        <v>#DIV/0!</v>
      </c>
      <c r="AX139" s="17">
        <f t="shared" si="48"/>
        <v>0</v>
      </c>
      <c r="AY139" s="30" t="e">
        <f t="shared" si="49"/>
        <v>#DIV/0!</v>
      </c>
      <c r="AZ139" s="17" t="str">
        <f t="shared" si="50"/>
        <v>NA</v>
      </c>
      <c r="BA139" s="491" t="str">
        <f t="shared" si="51"/>
        <v>NA</v>
      </c>
      <c r="BB139">
        <f t="shared" si="52"/>
        <v>0</v>
      </c>
    </row>
    <row r="140" spans="45:54">
      <c r="AS140">
        <f>'Trade Log'!BT140</f>
        <v>0</v>
      </c>
      <c r="AT140">
        <f t="shared" si="44"/>
        <v>0</v>
      </c>
      <c r="AU140">
        <f t="shared" si="45"/>
        <v>0</v>
      </c>
      <c r="AV140" s="491" t="e">
        <f t="shared" si="46"/>
        <v>#DIV/0!</v>
      </c>
      <c r="AW140" t="e">
        <f t="shared" si="47"/>
        <v>#DIV/0!</v>
      </c>
      <c r="AX140" s="17">
        <f t="shared" si="48"/>
        <v>0</v>
      </c>
      <c r="AY140" s="30" t="e">
        <f t="shared" si="49"/>
        <v>#DIV/0!</v>
      </c>
      <c r="AZ140" s="17" t="str">
        <f t="shared" si="50"/>
        <v>NA</v>
      </c>
      <c r="BA140" s="491" t="str">
        <f t="shared" si="51"/>
        <v>NA</v>
      </c>
      <c r="BB140">
        <f t="shared" si="52"/>
        <v>0</v>
      </c>
    </row>
    <row r="141" spans="45:54">
      <c r="AS141">
        <f>'Trade Log'!BT141</f>
        <v>0</v>
      </c>
      <c r="AT141">
        <f t="shared" si="44"/>
        <v>0</v>
      </c>
      <c r="AU141">
        <f t="shared" si="45"/>
        <v>0</v>
      </c>
      <c r="AV141" s="491" t="e">
        <f t="shared" si="46"/>
        <v>#DIV/0!</v>
      </c>
      <c r="AW141" t="e">
        <f t="shared" si="47"/>
        <v>#DIV/0!</v>
      </c>
      <c r="AX141" s="17">
        <f t="shared" si="48"/>
        <v>0</v>
      </c>
      <c r="AY141" s="30" t="e">
        <f t="shared" si="49"/>
        <v>#DIV/0!</v>
      </c>
      <c r="AZ141" s="17" t="str">
        <f t="shared" si="50"/>
        <v>NA</v>
      </c>
      <c r="BA141" s="491" t="str">
        <f t="shared" si="51"/>
        <v>NA</v>
      </c>
      <c r="BB141">
        <f t="shared" si="52"/>
        <v>0</v>
      </c>
    </row>
    <row r="142" spans="45:54">
      <c r="AS142">
        <f>'Trade Log'!BT142</f>
        <v>0</v>
      </c>
      <c r="AT142">
        <f t="shared" si="44"/>
        <v>0</v>
      </c>
      <c r="AU142">
        <f t="shared" si="45"/>
        <v>0</v>
      </c>
      <c r="AV142" s="491" t="e">
        <f t="shared" si="46"/>
        <v>#DIV/0!</v>
      </c>
      <c r="AW142" t="e">
        <f t="shared" si="47"/>
        <v>#DIV/0!</v>
      </c>
      <c r="AX142" s="17">
        <f t="shared" si="48"/>
        <v>0</v>
      </c>
      <c r="AY142" s="30" t="e">
        <f t="shared" si="49"/>
        <v>#DIV/0!</v>
      </c>
      <c r="AZ142" s="17" t="str">
        <f t="shared" si="50"/>
        <v>NA</v>
      </c>
      <c r="BA142" s="491" t="str">
        <f t="shared" si="51"/>
        <v>NA</v>
      </c>
      <c r="BB142">
        <f t="shared" si="52"/>
        <v>0</v>
      </c>
    </row>
    <row r="143" spans="45:54">
      <c r="AS143">
        <f>'Trade Log'!BT143</f>
        <v>0</v>
      </c>
      <c r="AT143">
        <f t="shared" ref="AT143:AT206" si="53">COUNTIFS(symbol,AS143,stats,2)</f>
        <v>0</v>
      </c>
      <c r="AU143">
        <f t="shared" ref="AU143:AU206" si="54">COUNTIFS(symbol,AS143,stats,1)</f>
        <v>0</v>
      </c>
      <c r="AV143" s="491" t="e">
        <f t="shared" ref="AV143:AV206" si="55">(SUMIFS(profitLoss,profitLoss,"&gt;=0",symbol,AS143)/AT143)*AY143</f>
        <v>#DIV/0!</v>
      </c>
      <c r="AW143" t="e">
        <f t="shared" ref="AW143:AW206" si="56">-(SUMIFS(profitLoss,profitLoss,"&lt;0",symbol,AS143)/AU143)*(1-AY143)</f>
        <v>#DIV/0!</v>
      </c>
      <c r="AX143" s="17">
        <f t="shared" ref="AX143:AX206" si="57">SUMIFS(profitLoss,symbol,AS143)</f>
        <v>0</v>
      </c>
      <c r="AY143" s="30" t="e">
        <f t="shared" ref="AY143:AY206" si="58">AT143/(AT143+AU143)</f>
        <v>#DIV/0!</v>
      </c>
      <c r="AZ143" s="17" t="str">
        <f t="shared" ref="AZ143:AZ206" si="59">IFERROR(AV143/AW143,"NA")</f>
        <v>NA</v>
      </c>
      <c r="BA143" s="491" t="str">
        <f t="shared" ref="BA143:BA206" si="60">IFERROR(AV143-AW143,"NA")</f>
        <v>NA</v>
      </c>
      <c r="BB143">
        <f t="shared" ref="BB143:BB206" si="61">AU143+AT143</f>
        <v>0</v>
      </c>
    </row>
    <row r="144" spans="45:54">
      <c r="AS144">
        <f>'Trade Log'!BT144</f>
        <v>0</v>
      </c>
      <c r="AT144">
        <f t="shared" si="53"/>
        <v>0</v>
      </c>
      <c r="AU144">
        <f t="shared" si="54"/>
        <v>0</v>
      </c>
      <c r="AV144" s="491" t="e">
        <f t="shared" si="55"/>
        <v>#DIV/0!</v>
      </c>
      <c r="AW144" t="e">
        <f t="shared" si="56"/>
        <v>#DIV/0!</v>
      </c>
      <c r="AX144" s="17">
        <f t="shared" si="57"/>
        <v>0</v>
      </c>
      <c r="AY144" s="30" t="e">
        <f t="shared" si="58"/>
        <v>#DIV/0!</v>
      </c>
      <c r="AZ144" s="17" t="str">
        <f t="shared" si="59"/>
        <v>NA</v>
      </c>
      <c r="BA144" s="491" t="str">
        <f t="shared" si="60"/>
        <v>NA</v>
      </c>
      <c r="BB144">
        <f t="shared" si="61"/>
        <v>0</v>
      </c>
    </row>
    <row r="145" spans="45:54">
      <c r="AS145">
        <f>'Trade Log'!BT145</f>
        <v>0</v>
      </c>
      <c r="AT145">
        <f t="shared" si="53"/>
        <v>0</v>
      </c>
      <c r="AU145">
        <f t="shared" si="54"/>
        <v>0</v>
      </c>
      <c r="AV145" s="491" t="e">
        <f t="shared" si="55"/>
        <v>#DIV/0!</v>
      </c>
      <c r="AW145" t="e">
        <f t="shared" si="56"/>
        <v>#DIV/0!</v>
      </c>
      <c r="AX145" s="17">
        <f t="shared" si="57"/>
        <v>0</v>
      </c>
      <c r="AY145" s="30" t="e">
        <f t="shared" si="58"/>
        <v>#DIV/0!</v>
      </c>
      <c r="AZ145" s="17" t="str">
        <f t="shared" si="59"/>
        <v>NA</v>
      </c>
      <c r="BA145" s="491" t="str">
        <f t="shared" si="60"/>
        <v>NA</v>
      </c>
      <c r="BB145">
        <f t="shared" si="61"/>
        <v>0</v>
      </c>
    </row>
    <row r="146" spans="45:54">
      <c r="AS146">
        <f>'Trade Log'!BT146</f>
        <v>0</v>
      </c>
      <c r="AT146">
        <f t="shared" si="53"/>
        <v>0</v>
      </c>
      <c r="AU146">
        <f t="shared" si="54"/>
        <v>0</v>
      </c>
      <c r="AV146" s="491" t="e">
        <f t="shared" si="55"/>
        <v>#DIV/0!</v>
      </c>
      <c r="AW146" t="e">
        <f t="shared" si="56"/>
        <v>#DIV/0!</v>
      </c>
      <c r="AX146" s="17">
        <f t="shared" si="57"/>
        <v>0</v>
      </c>
      <c r="AY146" s="30" t="e">
        <f t="shared" si="58"/>
        <v>#DIV/0!</v>
      </c>
      <c r="AZ146" s="17" t="str">
        <f t="shared" si="59"/>
        <v>NA</v>
      </c>
      <c r="BA146" s="491" t="str">
        <f t="shared" si="60"/>
        <v>NA</v>
      </c>
      <c r="BB146">
        <f t="shared" si="61"/>
        <v>0</v>
      </c>
    </row>
    <row r="147" spans="45:54">
      <c r="AS147">
        <f>'Trade Log'!BT147</f>
        <v>0</v>
      </c>
      <c r="AT147">
        <f t="shared" si="53"/>
        <v>0</v>
      </c>
      <c r="AU147">
        <f t="shared" si="54"/>
        <v>0</v>
      </c>
      <c r="AV147" s="491" t="e">
        <f t="shared" si="55"/>
        <v>#DIV/0!</v>
      </c>
      <c r="AW147" t="e">
        <f t="shared" si="56"/>
        <v>#DIV/0!</v>
      </c>
      <c r="AX147" s="17">
        <f t="shared" si="57"/>
        <v>0</v>
      </c>
      <c r="AY147" s="30" t="e">
        <f t="shared" si="58"/>
        <v>#DIV/0!</v>
      </c>
      <c r="AZ147" s="17" t="str">
        <f t="shared" si="59"/>
        <v>NA</v>
      </c>
      <c r="BA147" s="491" t="str">
        <f t="shared" si="60"/>
        <v>NA</v>
      </c>
      <c r="BB147">
        <f t="shared" si="61"/>
        <v>0</v>
      </c>
    </row>
    <row r="148" spans="45:54">
      <c r="AS148">
        <f>'Trade Log'!BT148</f>
        <v>0</v>
      </c>
      <c r="AT148">
        <f t="shared" si="53"/>
        <v>0</v>
      </c>
      <c r="AU148">
        <f t="shared" si="54"/>
        <v>0</v>
      </c>
      <c r="AV148" s="491" t="e">
        <f t="shared" si="55"/>
        <v>#DIV/0!</v>
      </c>
      <c r="AW148" t="e">
        <f t="shared" si="56"/>
        <v>#DIV/0!</v>
      </c>
      <c r="AX148" s="17">
        <f t="shared" si="57"/>
        <v>0</v>
      </c>
      <c r="AY148" s="30" t="e">
        <f t="shared" si="58"/>
        <v>#DIV/0!</v>
      </c>
      <c r="AZ148" s="17" t="str">
        <f t="shared" si="59"/>
        <v>NA</v>
      </c>
      <c r="BA148" s="491" t="str">
        <f t="shared" si="60"/>
        <v>NA</v>
      </c>
      <c r="BB148">
        <f t="shared" si="61"/>
        <v>0</v>
      </c>
    </row>
    <row r="149" spans="45:54">
      <c r="AS149">
        <f>'Trade Log'!BT149</f>
        <v>0</v>
      </c>
      <c r="AT149">
        <f t="shared" si="53"/>
        <v>0</v>
      </c>
      <c r="AU149">
        <f t="shared" si="54"/>
        <v>0</v>
      </c>
      <c r="AV149" s="491" t="e">
        <f t="shared" si="55"/>
        <v>#DIV/0!</v>
      </c>
      <c r="AW149" t="e">
        <f t="shared" si="56"/>
        <v>#DIV/0!</v>
      </c>
      <c r="AX149" s="17">
        <f t="shared" si="57"/>
        <v>0</v>
      </c>
      <c r="AY149" s="30" t="e">
        <f t="shared" si="58"/>
        <v>#DIV/0!</v>
      </c>
      <c r="AZ149" s="17" t="str">
        <f t="shared" si="59"/>
        <v>NA</v>
      </c>
      <c r="BA149" s="491" t="str">
        <f t="shared" si="60"/>
        <v>NA</v>
      </c>
      <c r="BB149">
        <f t="shared" si="61"/>
        <v>0</v>
      </c>
    </row>
    <row r="150" spans="45:54">
      <c r="AS150">
        <f>'Trade Log'!BT150</f>
        <v>0</v>
      </c>
      <c r="AT150">
        <f t="shared" si="53"/>
        <v>0</v>
      </c>
      <c r="AU150">
        <f t="shared" si="54"/>
        <v>0</v>
      </c>
      <c r="AV150" s="491" t="e">
        <f t="shared" si="55"/>
        <v>#DIV/0!</v>
      </c>
      <c r="AW150" t="e">
        <f t="shared" si="56"/>
        <v>#DIV/0!</v>
      </c>
      <c r="AX150" s="17">
        <f t="shared" si="57"/>
        <v>0</v>
      </c>
      <c r="AY150" s="30" t="e">
        <f t="shared" si="58"/>
        <v>#DIV/0!</v>
      </c>
      <c r="AZ150" s="17" t="str">
        <f t="shared" si="59"/>
        <v>NA</v>
      </c>
      <c r="BA150" s="491" t="str">
        <f t="shared" si="60"/>
        <v>NA</v>
      </c>
      <c r="BB150">
        <f t="shared" si="61"/>
        <v>0</v>
      </c>
    </row>
    <row r="151" spans="45:54">
      <c r="AS151">
        <f>'Trade Log'!BT151</f>
        <v>0</v>
      </c>
      <c r="AT151">
        <f t="shared" si="53"/>
        <v>0</v>
      </c>
      <c r="AU151">
        <f t="shared" si="54"/>
        <v>0</v>
      </c>
      <c r="AV151" s="491" t="e">
        <f t="shared" si="55"/>
        <v>#DIV/0!</v>
      </c>
      <c r="AW151" t="e">
        <f t="shared" si="56"/>
        <v>#DIV/0!</v>
      </c>
      <c r="AX151" s="17">
        <f t="shared" si="57"/>
        <v>0</v>
      </c>
      <c r="AY151" s="30" t="e">
        <f t="shared" si="58"/>
        <v>#DIV/0!</v>
      </c>
      <c r="AZ151" s="17" t="str">
        <f t="shared" si="59"/>
        <v>NA</v>
      </c>
      <c r="BA151" s="491" t="str">
        <f t="shared" si="60"/>
        <v>NA</v>
      </c>
      <c r="BB151">
        <f t="shared" si="61"/>
        <v>0</v>
      </c>
    </row>
    <row r="152" spans="45:54">
      <c r="AS152">
        <f>'Trade Log'!BT152</f>
        <v>0</v>
      </c>
      <c r="AT152">
        <f t="shared" si="53"/>
        <v>0</v>
      </c>
      <c r="AU152">
        <f t="shared" si="54"/>
        <v>0</v>
      </c>
      <c r="AV152" s="491" t="e">
        <f t="shared" si="55"/>
        <v>#DIV/0!</v>
      </c>
      <c r="AW152" t="e">
        <f t="shared" si="56"/>
        <v>#DIV/0!</v>
      </c>
      <c r="AX152" s="17">
        <f t="shared" si="57"/>
        <v>0</v>
      </c>
      <c r="AY152" s="30" t="e">
        <f t="shared" si="58"/>
        <v>#DIV/0!</v>
      </c>
      <c r="AZ152" s="17" t="str">
        <f t="shared" si="59"/>
        <v>NA</v>
      </c>
      <c r="BA152" s="491" t="str">
        <f t="shared" si="60"/>
        <v>NA</v>
      </c>
      <c r="BB152">
        <f t="shared" si="61"/>
        <v>0</v>
      </c>
    </row>
    <row r="153" spans="45:54">
      <c r="AS153">
        <f>'Trade Log'!BT153</f>
        <v>0</v>
      </c>
      <c r="AT153">
        <f t="shared" si="53"/>
        <v>0</v>
      </c>
      <c r="AU153">
        <f t="shared" si="54"/>
        <v>0</v>
      </c>
      <c r="AV153" s="491" t="e">
        <f t="shared" si="55"/>
        <v>#DIV/0!</v>
      </c>
      <c r="AW153" t="e">
        <f t="shared" si="56"/>
        <v>#DIV/0!</v>
      </c>
      <c r="AX153" s="17">
        <f t="shared" si="57"/>
        <v>0</v>
      </c>
      <c r="AY153" s="30" t="e">
        <f t="shared" si="58"/>
        <v>#DIV/0!</v>
      </c>
      <c r="AZ153" s="17" t="str">
        <f t="shared" si="59"/>
        <v>NA</v>
      </c>
      <c r="BA153" s="491" t="str">
        <f t="shared" si="60"/>
        <v>NA</v>
      </c>
      <c r="BB153">
        <f t="shared" si="61"/>
        <v>0</v>
      </c>
    </row>
    <row r="154" spans="45:54">
      <c r="AS154">
        <f>'Trade Log'!BT154</f>
        <v>0</v>
      </c>
      <c r="AT154">
        <f t="shared" si="53"/>
        <v>0</v>
      </c>
      <c r="AU154">
        <f t="shared" si="54"/>
        <v>0</v>
      </c>
      <c r="AV154" s="491" t="e">
        <f t="shared" si="55"/>
        <v>#DIV/0!</v>
      </c>
      <c r="AW154" t="e">
        <f t="shared" si="56"/>
        <v>#DIV/0!</v>
      </c>
      <c r="AX154" s="17">
        <f t="shared" si="57"/>
        <v>0</v>
      </c>
      <c r="AY154" s="30" t="e">
        <f t="shared" si="58"/>
        <v>#DIV/0!</v>
      </c>
      <c r="AZ154" s="17" t="str">
        <f t="shared" si="59"/>
        <v>NA</v>
      </c>
      <c r="BA154" s="491" t="str">
        <f t="shared" si="60"/>
        <v>NA</v>
      </c>
      <c r="BB154">
        <f t="shared" si="61"/>
        <v>0</v>
      </c>
    </row>
    <row r="155" spans="45:54">
      <c r="AS155">
        <f>'Trade Log'!BT155</f>
        <v>0</v>
      </c>
      <c r="AT155">
        <f t="shared" si="53"/>
        <v>0</v>
      </c>
      <c r="AU155">
        <f t="shared" si="54"/>
        <v>0</v>
      </c>
      <c r="AV155" s="491" t="e">
        <f t="shared" si="55"/>
        <v>#DIV/0!</v>
      </c>
      <c r="AW155" t="e">
        <f t="shared" si="56"/>
        <v>#DIV/0!</v>
      </c>
      <c r="AX155" s="17">
        <f t="shared" si="57"/>
        <v>0</v>
      </c>
      <c r="AY155" s="30" t="e">
        <f t="shared" si="58"/>
        <v>#DIV/0!</v>
      </c>
      <c r="AZ155" s="17" t="str">
        <f t="shared" si="59"/>
        <v>NA</v>
      </c>
      <c r="BA155" s="491" t="str">
        <f t="shared" si="60"/>
        <v>NA</v>
      </c>
      <c r="BB155">
        <f t="shared" si="61"/>
        <v>0</v>
      </c>
    </row>
    <row r="156" spans="45:54">
      <c r="AS156">
        <f>'Trade Log'!BT156</f>
        <v>0</v>
      </c>
      <c r="AT156">
        <f t="shared" si="53"/>
        <v>0</v>
      </c>
      <c r="AU156">
        <f t="shared" si="54"/>
        <v>0</v>
      </c>
      <c r="AV156" s="491" t="e">
        <f t="shared" si="55"/>
        <v>#DIV/0!</v>
      </c>
      <c r="AW156" t="e">
        <f t="shared" si="56"/>
        <v>#DIV/0!</v>
      </c>
      <c r="AX156" s="17">
        <f t="shared" si="57"/>
        <v>0</v>
      </c>
      <c r="AY156" s="30" t="e">
        <f t="shared" si="58"/>
        <v>#DIV/0!</v>
      </c>
      <c r="AZ156" s="17" t="str">
        <f t="shared" si="59"/>
        <v>NA</v>
      </c>
      <c r="BA156" s="491" t="str">
        <f t="shared" si="60"/>
        <v>NA</v>
      </c>
      <c r="BB156">
        <f t="shared" si="61"/>
        <v>0</v>
      </c>
    </row>
    <row r="157" spans="45:54">
      <c r="AS157">
        <f>'Trade Log'!BT157</f>
        <v>0</v>
      </c>
      <c r="AT157">
        <f t="shared" si="53"/>
        <v>0</v>
      </c>
      <c r="AU157">
        <f t="shared" si="54"/>
        <v>0</v>
      </c>
      <c r="AV157" s="491" t="e">
        <f t="shared" si="55"/>
        <v>#DIV/0!</v>
      </c>
      <c r="AW157" t="e">
        <f t="shared" si="56"/>
        <v>#DIV/0!</v>
      </c>
      <c r="AX157" s="17">
        <f t="shared" si="57"/>
        <v>0</v>
      </c>
      <c r="AY157" s="30" t="e">
        <f t="shared" si="58"/>
        <v>#DIV/0!</v>
      </c>
      <c r="AZ157" s="17" t="str">
        <f t="shared" si="59"/>
        <v>NA</v>
      </c>
      <c r="BA157" s="491" t="str">
        <f t="shared" si="60"/>
        <v>NA</v>
      </c>
      <c r="BB157">
        <f t="shared" si="61"/>
        <v>0</v>
      </c>
    </row>
    <row r="158" spans="45:54">
      <c r="AS158">
        <f>'Trade Log'!BT158</f>
        <v>0</v>
      </c>
      <c r="AT158">
        <f t="shared" si="53"/>
        <v>0</v>
      </c>
      <c r="AU158">
        <f t="shared" si="54"/>
        <v>0</v>
      </c>
      <c r="AV158" s="491" t="e">
        <f t="shared" si="55"/>
        <v>#DIV/0!</v>
      </c>
      <c r="AW158" t="e">
        <f t="shared" si="56"/>
        <v>#DIV/0!</v>
      </c>
      <c r="AX158" s="17">
        <f t="shared" si="57"/>
        <v>0</v>
      </c>
      <c r="AY158" s="30" t="e">
        <f t="shared" si="58"/>
        <v>#DIV/0!</v>
      </c>
      <c r="AZ158" s="17" t="str">
        <f t="shared" si="59"/>
        <v>NA</v>
      </c>
      <c r="BA158" s="491" t="str">
        <f t="shared" si="60"/>
        <v>NA</v>
      </c>
      <c r="BB158">
        <f t="shared" si="61"/>
        <v>0</v>
      </c>
    </row>
    <row r="159" spans="45:54">
      <c r="AS159">
        <f>'Trade Log'!BT159</f>
        <v>0</v>
      </c>
      <c r="AT159">
        <f t="shared" si="53"/>
        <v>0</v>
      </c>
      <c r="AU159">
        <f t="shared" si="54"/>
        <v>0</v>
      </c>
      <c r="AV159" s="491" t="e">
        <f t="shared" si="55"/>
        <v>#DIV/0!</v>
      </c>
      <c r="AW159" t="e">
        <f t="shared" si="56"/>
        <v>#DIV/0!</v>
      </c>
      <c r="AX159" s="17">
        <f t="shared" si="57"/>
        <v>0</v>
      </c>
      <c r="AY159" s="30" t="e">
        <f t="shared" si="58"/>
        <v>#DIV/0!</v>
      </c>
      <c r="AZ159" s="17" t="str">
        <f t="shared" si="59"/>
        <v>NA</v>
      </c>
      <c r="BA159" s="491" t="str">
        <f t="shared" si="60"/>
        <v>NA</v>
      </c>
      <c r="BB159">
        <f t="shared" si="61"/>
        <v>0</v>
      </c>
    </row>
    <row r="160" spans="45:54">
      <c r="AS160">
        <f>'Trade Log'!BT160</f>
        <v>0</v>
      </c>
      <c r="AT160">
        <f t="shared" si="53"/>
        <v>0</v>
      </c>
      <c r="AU160">
        <f t="shared" si="54"/>
        <v>0</v>
      </c>
      <c r="AV160" s="491" t="e">
        <f t="shared" si="55"/>
        <v>#DIV/0!</v>
      </c>
      <c r="AW160" t="e">
        <f t="shared" si="56"/>
        <v>#DIV/0!</v>
      </c>
      <c r="AX160" s="17">
        <f t="shared" si="57"/>
        <v>0</v>
      </c>
      <c r="AY160" s="30" t="e">
        <f t="shared" si="58"/>
        <v>#DIV/0!</v>
      </c>
      <c r="AZ160" s="17" t="str">
        <f t="shared" si="59"/>
        <v>NA</v>
      </c>
      <c r="BA160" s="491" t="str">
        <f t="shared" si="60"/>
        <v>NA</v>
      </c>
      <c r="BB160">
        <f t="shared" si="61"/>
        <v>0</v>
      </c>
    </row>
    <row r="161" spans="45:54">
      <c r="AS161">
        <f>'Trade Log'!BT161</f>
        <v>0</v>
      </c>
      <c r="AT161">
        <f t="shared" si="53"/>
        <v>0</v>
      </c>
      <c r="AU161">
        <f t="shared" si="54"/>
        <v>0</v>
      </c>
      <c r="AV161" s="491" t="e">
        <f t="shared" si="55"/>
        <v>#DIV/0!</v>
      </c>
      <c r="AW161" t="e">
        <f t="shared" si="56"/>
        <v>#DIV/0!</v>
      </c>
      <c r="AX161" s="17">
        <f t="shared" si="57"/>
        <v>0</v>
      </c>
      <c r="AY161" s="30" t="e">
        <f t="shared" si="58"/>
        <v>#DIV/0!</v>
      </c>
      <c r="AZ161" s="17" t="str">
        <f t="shared" si="59"/>
        <v>NA</v>
      </c>
      <c r="BA161" s="491" t="str">
        <f t="shared" si="60"/>
        <v>NA</v>
      </c>
      <c r="BB161">
        <f t="shared" si="61"/>
        <v>0</v>
      </c>
    </row>
    <row r="162" spans="45:54">
      <c r="AS162">
        <f>'Trade Log'!BT162</f>
        <v>0</v>
      </c>
      <c r="AT162">
        <f t="shared" si="53"/>
        <v>0</v>
      </c>
      <c r="AU162">
        <f t="shared" si="54"/>
        <v>0</v>
      </c>
      <c r="AV162" s="491" t="e">
        <f t="shared" si="55"/>
        <v>#DIV/0!</v>
      </c>
      <c r="AW162" t="e">
        <f t="shared" si="56"/>
        <v>#DIV/0!</v>
      </c>
      <c r="AX162" s="17">
        <f t="shared" si="57"/>
        <v>0</v>
      </c>
      <c r="AY162" s="30" t="e">
        <f t="shared" si="58"/>
        <v>#DIV/0!</v>
      </c>
      <c r="AZ162" s="17" t="str">
        <f t="shared" si="59"/>
        <v>NA</v>
      </c>
      <c r="BA162" s="491" t="str">
        <f t="shared" si="60"/>
        <v>NA</v>
      </c>
      <c r="BB162">
        <f t="shared" si="61"/>
        <v>0</v>
      </c>
    </row>
    <row r="163" spans="45:54">
      <c r="AS163">
        <f>'Trade Log'!BT163</f>
        <v>0</v>
      </c>
      <c r="AT163">
        <f t="shared" si="53"/>
        <v>0</v>
      </c>
      <c r="AU163">
        <f t="shared" si="54"/>
        <v>0</v>
      </c>
      <c r="AV163" s="491" t="e">
        <f t="shared" si="55"/>
        <v>#DIV/0!</v>
      </c>
      <c r="AW163" t="e">
        <f t="shared" si="56"/>
        <v>#DIV/0!</v>
      </c>
      <c r="AX163" s="17">
        <f t="shared" si="57"/>
        <v>0</v>
      </c>
      <c r="AY163" s="30" t="e">
        <f t="shared" si="58"/>
        <v>#DIV/0!</v>
      </c>
      <c r="AZ163" s="17" t="str">
        <f t="shared" si="59"/>
        <v>NA</v>
      </c>
      <c r="BA163" s="491" t="str">
        <f t="shared" si="60"/>
        <v>NA</v>
      </c>
      <c r="BB163">
        <f t="shared" si="61"/>
        <v>0</v>
      </c>
    </row>
    <row r="164" spans="45:54">
      <c r="AS164">
        <f>'Trade Log'!BT164</f>
        <v>0</v>
      </c>
      <c r="AT164">
        <f t="shared" si="53"/>
        <v>0</v>
      </c>
      <c r="AU164">
        <f t="shared" si="54"/>
        <v>0</v>
      </c>
      <c r="AV164" s="491" t="e">
        <f t="shared" si="55"/>
        <v>#DIV/0!</v>
      </c>
      <c r="AW164" t="e">
        <f t="shared" si="56"/>
        <v>#DIV/0!</v>
      </c>
      <c r="AX164" s="17">
        <f t="shared" si="57"/>
        <v>0</v>
      </c>
      <c r="AY164" s="30" t="e">
        <f t="shared" si="58"/>
        <v>#DIV/0!</v>
      </c>
      <c r="AZ164" s="17" t="str">
        <f t="shared" si="59"/>
        <v>NA</v>
      </c>
      <c r="BA164" s="491" t="str">
        <f t="shared" si="60"/>
        <v>NA</v>
      </c>
      <c r="BB164">
        <f t="shared" si="61"/>
        <v>0</v>
      </c>
    </row>
    <row r="165" spans="45:54">
      <c r="AS165">
        <f>'Trade Log'!BT165</f>
        <v>0</v>
      </c>
      <c r="AT165">
        <f t="shared" si="53"/>
        <v>0</v>
      </c>
      <c r="AU165">
        <f t="shared" si="54"/>
        <v>0</v>
      </c>
      <c r="AV165" s="491" t="e">
        <f t="shared" si="55"/>
        <v>#DIV/0!</v>
      </c>
      <c r="AW165" t="e">
        <f t="shared" si="56"/>
        <v>#DIV/0!</v>
      </c>
      <c r="AX165" s="17">
        <f t="shared" si="57"/>
        <v>0</v>
      </c>
      <c r="AY165" s="30" t="e">
        <f t="shared" si="58"/>
        <v>#DIV/0!</v>
      </c>
      <c r="AZ165" s="17" t="str">
        <f t="shared" si="59"/>
        <v>NA</v>
      </c>
      <c r="BA165" s="491" t="str">
        <f t="shared" si="60"/>
        <v>NA</v>
      </c>
      <c r="BB165">
        <f t="shared" si="61"/>
        <v>0</v>
      </c>
    </row>
    <row r="166" spans="45:54">
      <c r="AS166">
        <f>'Trade Log'!BT166</f>
        <v>0</v>
      </c>
      <c r="AT166">
        <f t="shared" si="53"/>
        <v>0</v>
      </c>
      <c r="AU166">
        <f t="shared" si="54"/>
        <v>0</v>
      </c>
      <c r="AV166" s="491" t="e">
        <f t="shared" si="55"/>
        <v>#DIV/0!</v>
      </c>
      <c r="AW166" t="e">
        <f t="shared" si="56"/>
        <v>#DIV/0!</v>
      </c>
      <c r="AX166" s="17">
        <f t="shared" si="57"/>
        <v>0</v>
      </c>
      <c r="AY166" s="30" t="e">
        <f t="shared" si="58"/>
        <v>#DIV/0!</v>
      </c>
      <c r="AZ166" s="17" t="str">
        <f t="shared" si="59"/>
        <v>NA</v>
      </c>
      <c r="BA166" s="491" t="str">
        <f t="shared" si="60"/>
        <v>NA</v>
      </c>
      <c r="BB166">
        <f t="shared" si="61"/>
        <v>0</v>
      </c>
    </row>
    <row r="167" spans="45:54">
      <c r="AS167">
        <f>'Trade Log'!BT167</f>
        <v>0</v>
      </c>
      <c r="AT167">
        <f t="shared" si="53"/>
        <v>0</v>
      </c>
      <c r="AU167">
        <f t="shared" si="54"/>
        <v>0</v>
      </c>
      <c r="AV167" s="491" t="e">
        <f t="shared" si="55"/>
        <v>#DIV/0!</v>
      </c>
      <c r="AW167" t="e">
        <f t="shared" si="56"/>
        <v>#DIV/0!</v>
      </c>
      <c r="AX167" s="17">
        <f t="shared" si="57"/>
        <v>0</v>
      </c>
      <c r="AY167" s="30" t="e">
        <f t="shared" si="58"/>
        <v>#DIV/0!</v>
      </c>
      <c r="AZ167" s="17" t="str">
        <f t="shared" si="59"/>
        <v>NA</v>
      </c>
      <c r="BA167" s="491" t="str">
        <f t="shared" si="60"/>
        <v>NA</v>
      </c>
      <c r="BB167">
        <f t="shared" si="61"/>
        <v>0</v>
      </c>
    </row>
    <row r="168" spans="45:54">
      <c r="AS168">
        <f>'Trade Log'!BT168</f>
        <v>0</v>
      </c>
      <c r="AT168">
        <f t="shared" si="53"/>
        <v>0</v>
      </c>
      <c r="AU168">
        <f t="shared" si="54"/>
        <v>0</v>
      </c>
      <c r="AV168" s="491" t="e">
        <f t="shared" si="55"/>
        <v>#DIV/0!</v>
      </c>
      <c r="AW168" t="e">
        <f t="shared" si="56"/>
        <v>#DIV/0!</v>
      </c>
      <c r="AX168" s="17">
        <f t="shared" si="57"/>
        <v>0</v>
      </c>
      <c r="AY168" s="30" t="e">
        <f t="shared" si="58"/>
        <v>#DIV/0!</v>
      </c>
      <c r="AZ168" s="17" t="str">
        <f t="shared" si="59"/>
        <v>NA</v>
      </c>
      <c r="BA168" s="491" t="str">
        <f t="shared" si="60"/>
        <v>NA</v>
      </c>
      <c r="BB168">
        <f t="shared" si="61"/>
        <v>0</v>
      </c>
    </row>
    <row r="169" spans="45:54">
      <c r="AS169">
        <f>'Trade Log'!BT169</f>
        <v>0</v>
      </c>
      <c r="AT169">
        <f t="shared" si="53"/>
        <v>0</v>
      </c>
      <c r="AU169">
        <f t="shared" si="54"/>
        <v>0</v>
      </c>
      <c r="AV169" s="491" t="e">
        <f t="shared" si="55"/>
        <v>#DIV/0!</v>
      </c>
      <c r="AW169" t="e">
        <f t="shared" si="56"/>
        <v>#DIV/0!</v>
      </c>
      <c r="AX169" s="17">
        <f t="shared" si="57"/>
        <v>0</v>
      </c>
      <c r="AY169" s="30" t="e">
        <f t="shared" si="58"/>
        <v>#DIV/0!</v>
      </c>
      <c r="AZ169" s="17" t="str">
        <f t="shared" si="59"/>
        <v>NA</v>
      </c>
      <c r="BA169" s="491" t="str">
        <f t="shared" si="60"/>
        <v>NA</v>
      </c>
      <c r="BB169">
        <f t="shared" si="61"/>
        <v>0</v>
      </c>
    </row>
    <row r="170" spans="45:54">
      <c r="AS170">
        <f>'Trade Log'!BT170</f>
        <v>0</v>
      </c>
      <c r="AT170">
        <f t="shared" si="53"/>
        <v>0</v>
      </c>
      <c r="AU170">
        <f t="shared" si="54"/>
        <v>0</v>
      </c>
      <c r="AV170" s="491" t="e">
        <f t="shared" si="55"/>
        <v>#DIV/0!</v>
      </c>
      <c r="AW170" t="e">
        <f t="shared" si="56"/>
        <v>#DIV/0!</v>
      </c>
      <c r="AX170" s="17">
        <f t="shared" si="57"/>
        <v>0</v>
      </c>
      <c r="AY170" s="30" t="e">
        <f t="shared" si="58"/>
        <v>#DIV/0!</v>
      </c>
      <c r="AZ170" s="17" t="str">
        <f t="shared" si="59"/>
        <v>NA</v>
      </c>
      <c r="BA170" s="491" t="str">
        <f t="shared" si="60"/>
        <v>NA</v>
      </c>
      <c r="BB170">
        <f t="shared" si="61"/>
        <v>0</v>
      </c>
    </row>
    <row r="171" spans="45:54">
      <c r="AS171">
        <f>'Trade Log'!BT171</f>
        <v>0</v>
      </c>
      <c r="AT171">
        <f t="shared" si="53"/>
        <v>0</v>
      </c>
      <c r="AU171">
        <f t="shared" si="54"/>
        <v>0</v>
      </c>
      <c r="AV171" s="491" t="e">
        <f t="shared" si="55"/>
        <v>#DIV/0!</v>
      </c>
      <c r="AW171" t="e">
        <f t="shared" si="56"/>
        <v>#DIV/0!</v>
      </c>
      <c r="AX171" s="17">
        <f t="shared" si="57"/>
        <v>0</v>
      </c>
      <c r="AY171" s="30" t="e">
        <f t="shared" si="58"/>
        <v>#DIV/0!</v>
      </c>
      <c r="AZ171" s="17" t="str">
        <f t="shared" si="59"/>
        <v>NA</v>
      </c>
      <c r="BA171" s="491" t="str">
        <f t="shared" si="60"/>
        <v>NA</v>
      </c>
      <c r="BB171">
        <f t="shared" si="61"/>
        <v>0</v>
      </c>
    </row>
    <row r="172" spans="45:54">
      <c r="AS172">
        <f>'Trade Log'!BT172</f>
        <v>0</v>
      </c>
      <c r="AT172">
        <f t="shared" si="53"/>
        <v>0</v>
      </c>
      <c r="AU172">
        <f t="shared" si="54"/>
        <v>0</v>
      </c>
      <c r="AV172" s="491" t="e">
        <f t="shared" si="55"/>
        <v>#DIV/0!</v>
      </c>
      <c r="AW172" t="e">
        <f t="shared" si="56"/>
        <v>#DIV/0!</v>
      </c>
      <c r="AX172" s="17">
        <f t="shared" si="57"/>
        <v>0</v>
      </c>
      <c r="AY172" s="30" t="e">
        <f t="shared" si="58"/>
        <v>#DIV/0!</v>
      </c>
      <c r="AZ172" s="17" t="str">
        <f t="shared" si="59"/>
        <v>NA</v>
      </c>
      <c r="BA172" s="491" t="str">
        <f t="shared" si="60"/>
        <v>NA</v>
      </c>
      <c r="BB172">
        <f t="shared" si="61"/>
        <v>0</v>
      </c>
    </row>
    <row r="173" spans="45:54">
      <c r="AS173">
        <f>'Trade Log'!BT173</f>
        <v>0</v>
      </c>
      <c r="AT173">
        <f t="shared" si="53"/>
        <v>0</v>
      </c>
      <c r="AU173">
        <f t="shared" si="54"/>
        <v>0</v>
      </c>
      <c r="AV173" s="491" t="e">
        <f t="shared" si="55"/>
        <v>#DIV/0!</v>
      </c>
      <c r="AW173" t="e">
        <f t="shared" si="56"/>
        <v>#DIV/0!</v>
      </c>
      <c r="AX173" s="17">
        <f t="shared" si="57"/>
        <v>0</v>
      </c>
      <c r="AY173" s="30" t="e">
        <f t="shared" si="58"/>
        <v>#DIV/0!</v>
      </c>
      <c r="AZ173" s="17" t="str">
        <f t="shared" si="59"/>
        <v>NA</v>
      </c>
      <c r="BA173" s="491" t="str">
        <f t="shared" si="60"/>
        <v>NA</v>
      </c>
      <c r="BB173">
        <f t="shared" si="61"/>
        <v>0</v>
      </c>
    </row>
    <row r="174" spans="45:54">
      <c r="AS174">
        <f>'Trade Log'!BT174</f>
        <v>0</v>
      </c>
      <c r="AT174">
        <f t="shared" si="53"/>
        <v>0</v>
      </c>
      <c r="AU174">
        <f t="shared" si="54"/>
        <v>0</v>
      </c>
      <c r="AV174" s="491" t="e">
        <f t="shared" si="55"/>
        <v>#DIV/0!</v>
      </c>
      <c r="AW174" t="e">
        <f t="shared" si="56"/>
        <v>#DIV/0!</v>
      </c>
      <c r="AX174" s="17">
        <f t="shared" si="57"/>
        <v>0</v>
      </c>
      <c r="AY174" s="30" t="e">
        <f t="shared" si="58"/>
        <v>#DIV/0!</v>
      </c>
      <c r="AZ174" s="17" t="str">
        <f t="shared" si="59"/>
        <v>NA</v>
      </c>
      <c r="BA174" s="491" t="str">
        <f t="shared" si="60"/>
        <v>NA</v>
      </c>
      <c r="BB174">
        <f t="shared" si="61"/>
        <v>0</v>
      </c>
    </row>
    <row r="175" spans="45:54">
      <c r="AS175">
        <f>'Trade Log'!BT175</f>
        <v>0</v>
      </c>
      <c r="AT175">
        <f t="shared" si="53"/>
        <v>0</v>
      </c>
      <c r="AU175">
        <f t="shared" si="54"/>
        <v>0</v>
      </c>
      <c r="AV175" s="491" t="e">
        <f t="shared" si="55"/>
        <v>#DIV/0!</v>
      </c>
      <c r="AW175" t="e">
        <f t="shared" si="56"/>
        <v>#DIV/0!</v>
      </c>
      <c r="AX175" s="17">
        <f t="shared" si="57"/>
        <v>0</v>
      </c>
      <c r="AY175" s="30" t="e">
        <f t="shared" si="58"/>
        <v>#DIV/0!</v>
      </c>
      <c r="AZ175" s="17" t="str">
        <f t="shared" si="59"/>
        <v>NA</v>
      </c>
      <c r="BA175" s="491" t="str">
        <f t="shared" si="60"/>
        <v>NA</v>
      </c>
      <c r="BB175">
        <f t="shared" si="61"/>
        <v>0</v>
      </c>
    </row>
    <row r="176" spans="45:54">
      <c r="AS176">
        <f>'Trade Log'!BT176</f>
        <v>0</v>
      </c>
      <c r="AT176">
        <f t="shared" si="53"/>
        <v>0</v>
      </c>
      <c r="AU176">
        <f t="shared" si="54"/>
        <v>0</v>
      </c>
      <c r="AV176" s="491" t="e">
        <f t="shared" si="55"/>
        <v>#DIV/0!</v>
      </c>
      <c r="AW176" t="e">
        <f t="shared" si="56"/>
        <v>#DIV/0!</v>
      </c>
      <c r="AX176" s="17">
        <f t="shared" si="57"/>
        <v>0</v>
      </c>
      <c r="AY176" s="30" t="e">
        <f t="shared" si="58"/>
        <v>#DIV/0!</v>
      </c>
      <c r="AZ176" s="17" t="str">
        <f t="shared" si="59"/>
        <v>NA</v>
      </c>
      <c r="BA176" s="491" t="str">
        <f t="shared" si="60"/>
        <v>NA</v>
      </c>
      <c r="BB176">
        <f t="shared" si="61"/>
        <v>0</v>
      </c>
    </row>
    <row r="177" spans="45:54">
      <c r="AS177">
        <f>'Trade Log'!BT177</f>
        <v>0</v>
      </c>
      <c r="AT177">
        <f t="shared" si="53"/>
        <v>0</v>
      </c>
      <c r="AU177">
        <f t="shared" si="54"/>
        <v>0</v>
      </c>
      <c r="AV177" s="491" t="e">
        <f t="shared" si="55"/>
        <v>#DIV/0!</v>
      </c>
      <c r="AW177" t="e">
        <f t="shared" si="56"/>
        <v>#DIV/0!</v>
      </c>
      <c r="AX177" s="17">
        <f t="shared" si="57"/>
        <v>0</v>
      </c>
      <c r="AY177" s="30" t="e">
        <f t="shared" si="58"/>
        <v>#DIV/0!</v>
      </c>
      <c r="AZ177" s="17" t="str">
        <f t="shared" si="59"/>
        <v>NA</v>
      </c>
      <c r="BA177" s="491" t="str">
        <f t="shared" si="60"/>
        <v>NA</v>
      </c>
      <c r="BB177">
        <f t="shared" si="61"/>
        <v>0</v>
      </c>
    </row>
    <row r="178" spans="45:54">
      <c r="AS178">
        <f>'Trade Log'!BT178</f>
        <v>0</v>
      </c>
      <c r="AT178">
        <f t="shared" si="53"/>
        <v>0</v>
      </c>
      <c r="AU178">
        <f t="shared" si="54"/>
        <v>0</v>
      </c>
      <c r="AV178" s="491" t="e">
        <f t="shared" si="55"/>
        <v>#DIV/0!</v>
      </c>
      <c r="AW178" t="e">
        <f t="shared" si="56"/>
        <v>#DIV/0!</v>
      </c>
      <c r="AX178" s="17">
        <f t="shared" si="57"/>
        <v>0</v>
      </c>
      <c r="AY178" s="30" t="e">
        <f t="shared" si="58"/>
        <v>#DIV/0!</v>
      </c>
      <c r="AZ178" s="17" t="str">
        <f t="shared" si="59"/>
        <v>NA</v>
      </c>
      <c r="BA178" s="491" t="str">
        <f t="shared" si="60"/>
        <v>NA</v>
      </c>
      <c r="BB178">
        <f t="shared" si="61"/>
        <v>0</v>
      </c>
    </row>
    <row r="179" spans="45:54">
      <c r="AS179">
        <f>'Trade Log'!BT179</f>
        <v>0</v>
      </c>
      <c r="AT179">
        <f t="shared" si="53"/>
        <v>0</v>
      </c>
      <c r="AU179">
        <f t="shared" si="54"/>
        <v>0</v>
      </c>
      <c r="AV179" s="491" t="e">
        <f t="shared" si="55"/>
        <v>#DIV/0!</v>
      </c>
      <c r="AW179" t="e">
        <f t="shared" si="56"/>
        <v>#DIV/0!</v>
      </c>
      <c r="AX179" s="17">
        <f t="shared" si="57"/>
        <v>0</v>
      </c>
      <c r="AY179" s="30" t="e">
        <f t="shared" si="58"/>
        <v>#DIV/0!</v>
      </c>
      <c r="AZ179" s="17" t="str">
        <f t="shared" si="59"/>
        <v>NA</v>
      </c>
      <c r="BA179" s="491" t="str">
        <f t="shared" si="60"/>
        <v>NA</v>
      </c>
      <c r="BB179">
        <f t="shared" si="61"/>
        <v>0</v>
      </c>
    </row>
    <row r="180" spans="45:54">
      <c r="AS180">
        <f>'Trade Log'!BT180</f>
        <v>0</v>
      </c>
      <c r="AT180">
        <f t="shared" si="53"/>
        <v>0</v>
      </c>
      <c r="AU180">
        <f t="shared" si="54"/>
        <v>0</v>
      </c>
      <c r="AV180" s="491" t="e">
        <f t="shared" si="55"/>
        <v>#DIV/0!</v>
      </c>
      <c r="AW180" t="e">
        <f t="shared" si="56"/>
        <v>#DIV/0!</v>
      </c>
      <c r="AX180" s="17">
        <f t="shared" si="57"/>
        <v>0</v>
      </c>
      <c r="AY180" s="30" t="e">
        <f t="shared" si="58"/>
        <v>#DIV/0!</v>
      </c>
      <c r="AZ180" s="17" t="str">
        <f t="shared" si="59"/>
        <v>NA</v>
      </c>
      <c r="BA180" s="491" t="str">
        <f t="shared" si="60"/>
        <v>NA</v>
      </c>
      <c r="BB180">
        <f t="shared" si="61"/>
        <v>0</v>
      </c>
    </row>
    <row r="181" spans="45:54">
      <c r="AS181">
        <f>'Trade Log'!BT181</f>
        <v>0</v>
      </c>
      <c r="AT181">
        <f t="shared" si="53"/>
        <v>0</v>
      </c>
      <c r="AU181">
        <f t="shared" si="54"/>
        <v>0</v>
      </c>
      <c r="AV181" s="491" t="e">
        <f t="shared" si="55"/>
        <v>#DIV/0!</v>
      </c>
      <c r="AW181" t="e">
        <f t="shared" si="56"/>
        <v>#DIV/0!</v>
      </c>
      <c r="AX181" s="17">
        <f t="shared" si="57"/>
        <v>0</v>
      </c>
      <c r="AY181" s="30" t="e">
        <f t="shared" si="58"/>
        <v>#DIV/0!</v>
      </c>
      <c r="AZ181" s="17" t="str">
        <f t="shared" si="59"/>
        <v>NA</v>
      </c>
      <c r="BA181" s="491" t="str">
        <f t="shared" si="60"/>
        <v>NA</v>
      </c>
      <c r="BB181">
        <f t="shared" si="61"/>
        <v>0</v>
      </c>
    </row>
    <row r="182" spans="45:54">
      <c r="AS182">
        <f>'Trade Log'!BT182</f>
        <v>0</v>
      </c>
      <c r="AT182">
        <f t="shared" si="53"/>
        <v>0</v>
      </c>
      <c r="AU182">
        <f t="shared" si="54"/>
        <v>0</v>
      </c>
      <c r="AV182" s="491" t="e">
        <f t="shared" si="55"/>
        <v>#DIV/0!</v>
      </c>
      <c r="AW182" t="e">
        <f t="shared" si="56"/>
        <v>#DIV/0!</v>
      </c>
      <c r="AX182" s="17">
        <f t="shared" si="57"/>
        <v>0</v>
      </c>
      <c r="AY182" s="30" t="e">
        <f t="shared" si="58"/>
        <v>#DIV/0!</v>
      </c>
      <c r="AZ182" s="17" t="str">
        <f t="shared" si="59"/>
        <v>NA</v>
      </c>
      <c r="BA182" s="491" t="str">
        <f t="shared" si="60"/>
        <v>NA</v>
      </c>
      <c r="BB182">
        <f t="shared" si="61"/>
        <v>0</v>
      </c>
    </row>
    <row r="183" spans="45:54">
      <c r="AS183">
        <f>'Trade Log'!BT183</f>
        <v>0</v>
      </c>
      <c r="AT183">
        <f t="shared" si="53"/>
        <v>0</v>
      </c>
      <c r="AU183">
        <f t="shared" si="54"/>
        <v>0</v>
      </c>
      <c r="AV183" s="491" t="e">
        <f t="shared" si="55"/>
        <v>#DIV/0!</v>
      </c>
      <c r="AW183" t="e">
        <f t="shared" si="56"/>
        <v>#DIV/0!</v>
      </c>
      <c r="AX183" s="17">
        <f t="shared" si="57"/>
        <v>0</v>
      </c>
      <c r="AY183" s="30" t="e">
        <f t="shared" si="58"/>
        <v>#DIV/0!</v>
      </c>
      <c r="AZ183" s="17" t="str">
        <f t="shared" si="59"/>
        <v>NA</v>
      </c>
      <c r="BA183" s="491" t="str">
        <f t="shared" si="60"/>
        <v>NA</v>
      </c>
      <c r="BB183">
        <f t="shared" si="61"/>
        <v>0</v>
      </c>
    </row>
    <row r="184" spans="45:54">
      <c r="AS184">
        <f>'Trade Log'!BT184</f>
        <v>0</v>
      </c>
      <c r="AT184">
        <f t="shared" si="53"/>
        <v>0</v>
      </c>
      <c r="AU184">
        <f t="shared" si="54"/>
        <v>0</v>
      </c>
      <c r="AV184" s="491" t="e">
        <f t="shared" si="55"/>
        <v>#DIV/0!</v>
      </c>
      <c r="AW184" t="e">
        <f t="shared" si="56"/>
        <v>#DIV/0!</v>
      </c>
      <c r="AX184" s="17">
        <f t="shared" si="57"/>
        <v>0</v>
      </c>
      <c r="AY184" s="30" t="e">
        <f t="shared" si="58"/>
        <v>#DIV/0!</v>
      </c>
      <c r="AZ184" s="17" t="str">
        <f t="shared" si="59"/>
        <v>NA</v>
      </c>
      <c r="BA184" s="491" t="str">
        <f t="shared" si="60"/>
        <v>NA</v>
      </c>
      <c r="BB184">
        <f t="shared" si="61"/>
        <v>0</v>
      </c>
    </row>
    <row r="185" spans="45:54">
      <c r="AS185">
        <f>'Trade Log'!BT185</f>
        <v>0</v>
      </c>
      <c r="AT185">
        <f t="shared" si="53"/>
        <v>0</v>
      </c>
      <c r="AU185">
        <f t="shared" si="54"/>
        <v>0</v>
      </c>
      <c r="AV185" s="491" t="e">
        <f t="shared" si="55"/>
        <v>#DIV/0!</v>
      </c>
      <c r="AW185" t="e">
        <f t="shared" si="56"/>
        <v>#DIV/0!</v>
      </c>
      <c r="AX185" s="17">
        <f t="shared" si="57"/>
        <v>0</v>
      </c>
      <c r="AY185" s="30" t="e">
        <f t="shared" si="58"/>
        <v>#DIV/0!</v>
      </c>
      <c r="AZ185" s="17" t="str">
        <f t="shared" si="59"/>
        <v>NA</v>
      </c>
      <c r="BA185" s="491" t="str">
        <f t="shared" si="60"/>
        <v>NA</v>
      </c>
      <c r="BB185">
        <f t="shared" si="61"/>
        <v>0</v>
      </c>
    </row>
    <row r="186" spans="45:54">
      <c r="AS186">
        <f>'Trade Log'!BT186</f>
        <v>0</v>
      </c>
      <c r="AT186">
        <f t="shared" si="53"/>
        <v>0</v>
      </c>
      <c r="AU186">
        <f t="shared" si="54"/>
        <v>0</v>
      </c>
      <c r="AV186" s="491" t="e">
        <f t="shared" si="55"/>
        <v>#DIV/0!</v>
      </c>
      <c r="AW186" t="e">
        <f t="shared" si="56"/>
        <v>#DIV/0!</v>
      </c>
      <c r="AX186" s="17">
        <f t="shared" si="57"/>
        <v>0</v>
      </c>
      <c r="AY186" s="30" t="e">
        <f t="shared" si="58"/>
        <v>#DIV/0!</v>
      </c>
      <c r="AZ186" s="17" t="str">
        <f t="shared" si="59"/>
        <v>NA</v>
      </c>
      <c r="BA186" s="491" t="str">
        <f t="shared" si="60"/>
        <v>NA</v>
      </c>
      <c r="BB186">
        <f t="shared" si="61"/>
        <v>0</v>
      </c>
    </row>
    <row r="187" spans="45:54">
      <c r="AS187">
        <f>'Trade Log'!BT187</f>
        <v>0</v>
      </c>
      <c r="AT187">
        <f t="shared" si="53"/>
        <v>0</v>
      </c>
      <c r="AU187">
        <f t="shared" si="54"/>
        <v>0</v>
      </c>
      <c r="AV187" s="491" t="e">
        <f t="shared" si="55"/>
        <v>#DIV/0!</v>
      </c>
      <c r="AW187" t="e">
        <f t="shared" si="56"/>
        <v>#DIV/0!</v>
      </c>
      <c r="AX187" s="17">
        <f t="shared" si="57"/>
        <v>0</v>
      </c>
      <c r="AY187" s="30" t="e">
        <f t="shared" si="58"/>
        <v>#DIV/0!</v>
      </c>
      <c r="AZ187" s="17" t="str">
        <f t="shared" si="59"/>
        <v>NA</v>
      </c>
      <c r="BA187" s="491" t="str">
        <f t="shared" si="60"/>
        <v>NA</v>
      </c>
      <c r="BB187">
        <f t="shared" si="61"/>
        <v>0</v>
      </c>
    </row>
    <row r="188" spans="45:54">
      <c r="AS188">
        <f>'Trade Log'!BT188</f>
        <v>0</v>
      </c>
      <c r="AT188">
        <f t="shared" si="53"/>
        <v>0</v>
      </c>
      <c r="AU188">
        <f t="shared" si="54"/>
        <v>0</v>
      </c>
      <c r="AV188" s="491" t="e">
        <f t="shared" si="55"/>
        <v>#DIV/0!</v>
      </c>
      <c r="AW188" t="e">
        <f t="shared" si="56"/>
        <v>#DIV/0!</v>
      </c>
      <c r="AX188" s="17">
        <f t="shared" si="57"/>
        <v>0</v>
      </c>
      <c r="AY188" s="30" t="e">
        <f t="shared" si="58"/>
        <v>#DIV/0!</v>
      </c>
      <c r="AZ188" s="17" t="str">
        <f t="shared" si="59"/>
        <v>NA</v>
      </c>
      <c r="BA188" s="491" t="str">
        <f t="shared" si="60"/>
        <v>NA</v>
      </c>
      <c r="BB188">
        <f t="shared" si="61"/>
        <v>0</v>
      </c>
    </row>
    <row r="189" spans="45:54">
      <c r="AS189">
        <f>'Trade Log'!BT189</f>
        <v>0</v>
      </c>
      <c r="AT189">
        <f t="shared" si="53"/>
        <v>0</v>
      </c>
      <c r="AU189">
        <f t="shared" si="54"/>
        <v>0</v>
      </c>
      <c r="AV189" s="491" t="e">
        <f t="shared" si="55"/>
        <v>#DIV/0!</v>
      </c>
      <c r="AW189" t="e">
        <f t="shared" si="56"/>
        <v>#DIV/0!</v>
      </c>
      <c r="AX189" s="17">
        <f t="shared" si="57"/>
        <v>0</v>
      </c>
      <c r="AY189" s="30" t="e">
        <f t="shared" si="58"/>
        <v>#DIV/0!</v>
      </c>
      <c r="AZ189" s="17" t="str">
        <f t="shared" si="59"/>
        <v>NA</v>
      </c>
      <c r="BA189" s="491" t="str">
        <f t="shared" si="60"/>
        <v>NA</v>
      </c>
      <c r="BB189">
        <f t="shared" si="61"/>
        <v>0</v>
      </c>
    </row>
    <row r="190" spans="45:54">
      <c r="AS190">
        <f>'Trade Log'!BT190</f>
        <v>0</v>
      </c>
      <c r="AT190">
        <f t="shared" si="53"/>
        <v>0</v>
      </c>
      <c r="AU190">
        <f t="shared" si="54"/>
        <v>0</v>
      </c>
      <c r="AV190" s="491" t="e">
        <f t="shared" si="55"/>
        <v>#DIV/0!</v>
      </c>
      <c r="AW190" t="e">
        <f t="shared" si="56"/>
        <v>#DIV/0!</v>
      </c>
      <c r="AX190" s="17">
        <f t="shared" si="57"/>
        <v>0</v>
      </c>
      <c r="AY190" s="30" t="e">
        <f t="shared" si="58"/>
        <v>#DIV/0!</v>
      </c>
      <c r="AZ190" s="17" t="str">
        <f t="shared" si="59"/>
        <v>NA</v>
      </c>
      <c r="BA190" s="491" t="str">
        <f t="shared" si="60"/>
        <v>NA</v>
      </c>
      <c r="BB190">
        <f t="shared" si="61"/>
        <v>0</v>
      </c>
    </row>
    <row r="191" spans="45:54">
      <c r="AS191">
        <f>'Trade Log'!BT191</f>
        <v>0</v>
      </c>
      <c r="AT191">
        <f t="shared" si="53"/>
        <v>0</v>
      </c>
      <c r="AU191">
        <f t="shared" si="54"/>
        <v>0</v>
      </c>
      <c r="AV191" s="491" t="e">
        <f t="shared" si="55"/>
        <v>#DIV/0!</v>
      </c>
      <c r="AW191" t="e">
        <f t="shared" si="56"/>
        <v>#DIV/0!</v>
      </c>
      <c r="AX191" s="17">
        <f t="shared" si="57"/>
        <v>0</v>
      </c>
      <c r="AY191" s="30" t="e">
        <f t="shared" si="58"/>
        <v>#DIV/0!</v>
      </c>
      <c r="AZ191" s="17" t="str">
        <f t="shared" si="59"/>
        <v>NA</v>
      </c>
      <c r="BA191" s="491" t="str">
        <f t="shared" si="60"/>
        <v>NA</v>
      </c>
      <c r="BB191">
        <f t="shared" si="61"/>
        <v>0</v>
      </c>
    </row>
    <row r="192" spans="45:54">
      <c r="AS192">
        <f>'Trade Log'!BT192</f>
        <v>0</v>
      </c>
      <c r="AT192">
        <f t="shared" si="53"/>
        <v>0</v>
      </c>
      <c r="AU192">
        <f t="shared" si="54"/>
        <v>0</v>
      </c>
      <c r="AV192" s="491" t="e">
        <f t="shared" si="55"/>
        <v>#DIV/0!</v>
      </c>
      <c r="AW192" t="e">
        <f t="shared" si="56"/>
        <v>#DIV/0!</v>
      </c>
      <c r="AX192" s="17">
        <f t="shared" si="57"/>
        <v>0</v>
      </c>
      <c r="AY192" s="30" t="e">
        <f t="shared" si="58"/>
        <v>#DIV/0!</v>
      </c>
      <c r="AZ192" s="17" t="str">
        <f t="shared" si="59"/>
        <v>NA</v>
      </c>
      <c r="BA192" s="491" t="str">
        <f t="shared" si="60"/>
        <v>NA</v>
      </c>
      <c r="BB192">
        <f t="shared" si="61"/>
        <v>0</v>
      </c>
    </row>
    <row r="193" spans="45:54">
      <c r="AS193">
        <f>'Trade Log'!BT193</f>
        <v>0</v>
      </c>
      <c r="AT193">
        <f t="shared" si="53"/>
        <v>0</v>
      </c>
      <c r="AU193">
        <f t="shared" si="54"/>
        <v>0</v>
      </c>
      <c r="AV193" s="491" t="e">
        <f t="shared" si="55"/>
        <v>#DIV/0!</v>
      </c>
      <c r="AW193" t="e">
        <f t="shared" si="56"/>
        <v>#DIV/0!</v>
      </c>
      <c r="AX193" s="17">
        <f t="shared" si="57"/>
        <v>0</v>
      </c>
      <c r="AY193" s="30" t="e">
        <f t="shared" si="58"/>
        <v>#DIV/0!</v>
      </c>
      <c r="AZ193" s="17" t="str">
        <f t="shared" si="59"/>
        <v>NA</v>
      </c>
      <c r="BA193" s="491" t="str">
        <f t="shared" si="60"/>
        <v>NA</v>
      </c>
      <c r="BB193">
        <f t="shared" si="61"/>
        <v>0</v>
      </c>
    </row>
    <row r="194" spans="45:54">
      <c r="AS194">
        <f>'Trade Log'!BT194</f>
        <v>0</v>
      </c>
      <c r="AT194">
        <f t="shared" si="53"/>
        <v>0</v>
      </c>
      <c r="AU194">
        <f t="shared" si="54"/>
        <v>0</v>
      </c>
      <c r="AV194" s="491" t="e">
        <f t="shared" si="55"/>
        <v>#DIV/0!</v>
      </c>
      <c r="AW194" t="e">
        <f t="shared" si="56"/>
        <v>#DIV/0!</v>
      </c>
      <c r="AX194" s="17">
        <f t="shared" si="57"/>
        <v>0</v>
      </c>
      <c r="AY194" s="30" t="e">
        <f t="shared" si="58"/>
        <v>#DIV/0!</v>
      </c>
      <c r="AZ194" s="17" t="str">
        <f t="shared" si="59"/>
        <v>NA</v>
      </c>
      <c r="BA194" s="491" t="str">
        <f t="shared" si="60"/>
        <v>NA</v>
      </c>
      <c r="BB194">
        <f t="shared" si="61"/>
        <v>0</v>
      </c>
    </row>
    <row r="195" spans="45:54">
      <c r="AS195">
        <f>'Trade Log'!BT195</f>
        <v>0</v>
      </c>
      <c r="AT195">
        <f t="shared" si="53"/>
        <v>0</v>
      </c>
      <c r="AU195">
        <f t="shared" si="54"/>
        <v>0</v>
      </c>
      <c r="AV195" s="491" t="e">
        <f t="shared" si="55"/>
        <v>#DIV/0!</v>
      </c>
      <c r="AW195" t="e">
        <f t="shared" si="56"/>
        <v>#DIV/0!</v>
      </c>
      <c r="AX195" s="17">
        <f t="shared" si="57"/>
        <v>0</v>
      </c>
      <c r="AY195" s="30" t="e">
        <f t="shared" si="58"/>
        <v>#DIV/0!</v>
      </c>
      <c r="AZ195" s="17" t="str">
        <f t="shared" si="59"/>
        <v>NA</v>
      </c>
      <c r="BA195" s="491" t="str">
        <f t="shared" si="60"/>
        <v>NA</v>
      </c>
      <c r="BB195">
        <f t="shared" si="61"/>
        <v>0</v>
      </c>
    </row>
    <row r="196" spans="45:54">
      <c r="AS196">
        <f>'Trade Log'!BT196</f>
        <v>0</v>
      </c>
      <c r="AT196">
        <f t="shared" si="53"/>
        <v>0</v>
      </c>
      <c r="AU196">
        <f t="shared" si="54"/>
        <v>0</v>
      </c>
      <c r="AV196" s="491" t="e">
        <f t="shared" si="55"/>
        <v>#DIV/0!</v>
      </c>
      <c r="AW196" t="e">
        <f t="shared" si="56"/>
        <v>#DIV/0!</v>
      </c>
      <c r="AX196" s="17">
        <f t="shared" si="57"/>
        <v>0</v>
      </c>
      <c r="AY196" s="30" t="e">
        <f t="shared" si="58"/>
        <v>#DIV/0!</v>
      </c>
      <c r="AZ196" s="17" t="str">
        <f t="shared" si="59"/>
        <v>NA</v>
      </c>
      <c r="BA196" s="491" t="str">
        <f t="shared" si="60"/>
        <v>NA</v>
      </c>
      <c r="BB196">
        <f t="shared" si="61"/>
        <v>0</v>
      </c>
    </row>
    <row r="197" spans="45:54">
      <c r="AS197">
        <f>'Trade Log'!BT197</f>
        <v>0</v>
      </c>
      <c r="AT197">
        <f t="shared" si="53"/>
        <v>0</v>
      </c>
      <c r="AU197">
        <f t="shared" si="54"/>
        <v>0</v>
      </c>
      <c r="AV197" s="491" t="e">
        <f t="shared" si="55"/>
        <v>#DIV/0!</v>
      </c>
      <c r="AW197" t="e">
        <f t="shared" si="56"/>
        <v>#DIV/0!</v>
      </c>
      <c r="AX197" s="17">
        <f t="shared" si="57"/>
        <v>0</v>
      </c>
      <c r="AY197" s="30" t="e">
        <f t="shared" si="58"/>
        <v>#DIV/0!</v>
      </c>
      <c r="AZ197" s="17" t="str">
        <f t="shared" si="59"/>
        <v>NA</v>
      </c>
      <c r="BA197" s="491" t="str">
        <f t="shared" si="60"/>
        <v>NA</v>
      </c>
      <c r="BB197">
        <f t="shared" si="61"/>
        <v>0</v>
      </c>
    </row>
    <row r="198" spans="45:54">
      <c r="AS198">
        <f>'Trade Log'!BT198</f>
        <v>0</v>
      </c>
      <c r="AT198">
        <f t="shared" si="53"/>
        <v>0</v>
      </c>
      <c r="AU198">
        <f t="shared" si="54"/>
        <v>0</v>
      </c>
      <c r="AV198" s="491" t="e">
        <f t="shared" si="55"/>
        <v>#DIV/0!</v>
      </c>
      <c r="AW198" t="e">
        <f t="shared" si="56"/>
        <v>#DIV/0!</v>
      </c>
      <c r="AX198" s="17">
        <f t="shared" si="57"/>
        <v>0</v>
      </c>
      <c r="AY198" s="30" t="e">
        <f t="shared" si="58"/>
        <v>#DIV/0!</v>
      </c>
      <c r="AZ198" s="17" t="str">
        <f t="shared" si="59"/>
        <v>NA</v>
      </c>
      <c r="BA198" s="491" t="str">
        <f t="shared" si="60"/>
        <v>NA</v>
      </c>
      <c r="BB198">
        <f t="shared" si="61"/>
        <v>0</v>
      </c>
    </row>
    <row r="199" spans="45:54">
      <c r="AS199">
        <f>'Trade Log'!BT199</f>
        <v>0</v>
      </c>
      <c r="AT199">
        <f t="shared" si="53"/>
        <v>0</v>
      </c>
      <c r="AU199">
        <f t="shared" si="54"/>
        <v>0</v>
      </c>
      <c r="AV199" s="491" t="e">
        <f t="shared" si="55"/>
        <v>#DIV/0!</v>
      </c>
      <c r="AW199" t="e">
        <f t="shared" si="56"/>
        <v>#DIV/0!</v>
      </c>
      <c r="AX199" s="17">
        <f t="shared" si="57"/>
        <v>0</v>
      </c>
      <c r="AY199" s="30" t="e">
        <f t="shared" si="58"/>
        <v>#DIV/0!</v>
      </c>
      <c r="AZ199" s="17" t="str">
        <f t="shared" si="59"/>
        <v>NA</v>
      </c>
      <c r="BA199" s="491" t="str">
        <f t="shared" si="60"/>
        <v>NA</v>
      </c>
      <c r="BB199">
        <f t="shared" si="61"/>
        <v>0</v>
      </c>
    </row>
    <row r="200" spans="45:54">
      <c r="AS200">
        <f>'Trade Log'!BT200</f>
        <v>0</v>
      </c>
      <c r="AT200">
        <f t="shared" si="53"/>
        <v>0</v>
      </c>
      <c r="AU200">
        <f t="shared" si="54"/>
        <v>0</v>
      </c>
      <c r="AV200" s="491" t="e">
        <f t="shared" si="55"/>
        <v>#DIV/0!</v>
      </c>
      <c r="AW200" t="e">
        <f t="shared" si="56"/>
        <v>#DIV/0!</v>
      </c>
      <c r="AX200" s="17">
        <f t="shared" si="57"/>
        <v>0</v>
      </c>
      <c r="AY200" s="30" t="e">
        <f t="shared" si="58"/>
        <v>#DIV/0!</v>
      </c>
      <c r="AZ200" s="17" t="str">
        <f t="shared" si="59"/>
        <v>NA</v>
      </c>
      <c r="BA200" s="491" t="str">
        <f t="shared" si="60"/>
        <v>NA</v>
      </c>
      <c r="BB200">
        <f t="shared" si="61"/>
        <v>0</v>
      </c>
    </row>
    <row r="201" spans="45:54">
      <c r="AS201">
        <f>'Trade Log'!BT201</f>
        <v>0</v>
      </c>
      <c r="AT201">
        <f t="shared" si="53"/>
        <v>0</v>
      </c>
      <c r="AU201">
        <f t="shared" si="54"/>
        <v>0</v>
      </c>
      <c r="AV201" s="491" t="e">
        <f t="shared" si="55"/>
        <v>#DIV/0!</v>
      </c>
      <c r="AW201" t="e">
        <f t="shared" si="56"/>
        <v>#DIV/0!</v>
      </c>
      <c r="AX201" s="17">
        <f t="shared" si="57"/>
        <v>0</v>
      </c>
      <c r="AY201" s="30" t="e">
        <f t="shared" si="58"/>
        <v>#DIV/0!</v>
      </c>
      <c r="AZ201" s="17" t="str">
        <f t="shared" si="59"/>
        <v>NA</v>
      </c>
      <c r="BA201" s="491" t="str">
        <f t="shared" si="60"/>
        <v>NA</v>
      </c>
      <c r="BB201">
        <f t="shared" si="61"/>
        <v>0</v>
      </c>
    </row>
    <row r="202" spans="45:54">
      <c r="AS202">
        <f>'Trade Log'!BT202</f>
        <v>0</v>
      </c>
      <c r="AT202">
        <f t="shared" si="53"/>
        <v>0</v>
      </c>
      <c r="AU202">
        <f t="shared" si="54"/>
        <v>0</v>
      </c>
      <c r="AV202" s="491" t="e">
        <f t="shared" si="55"/>
        <v>#DIV/0!</v>
      </c>
      <c r="AW202" t="e">
        <f t="shared" si="56"/>
        <v>#DIV/0!</v>
      </c>
      <c r="AX202" s="17">
        <f t="shared" si="57"/>
        <v>0</v>
      </c>
      <c r="AY202" s="30" t="e">
        <f t="shared" si="58"/>
        <v>#DIV/0!</v>
      </c>
      <c r="AZ202" s="17" t="str">
        <f t="shared" si="59"/>
        <v>NA</v>
      </c>
      <c r="BA202" s="491" t="str">
        <f t="shared" si="60"/>
        <v>NA</v>
      </c>
      <c r="BB202">
        <f t="shared" si="61"/>
        <v>0</v>
      </c>
    </row>
    <row r="203" spans="45:54">
      <c r="AS203">
        <f>'Trade Log'!BT203</f>
        <v>0</v>
      </c>
      <c r="AT203">
        <f t="shared" si="53"/>
        <v>0</v>
      </c>
      <c r="AU203">
        <f t="shared" si="54"/>
        <v>0</v>
      </c>
      <c r="AV203" s="491" t="e">
        <f t="shared" si="55"/>
        <v>#DIV/0!</v>
      </c>
      <c r="AW203" t="e">
        <f t="shared" si="56"/>
        <v>#DIV/0!</v>
      </c>
      <c r="AX203" s="17">
        <f t="shared" si="57"/>
        <v>0</v>
      </c>
      <c r="AY203" s="30" t="e">
        <f t="shared" si="58"/>
        <v>#DIV/0!</v>
      </c>
      <c r="AZ203" s="17" t="str">
        <f t="shared" si="59"/>
        <v>NA</v>
      </c>
      <c r="BA203" s="491" t="str">
        <f t="shared" si="60"/>
        <v>NA</v>
      </c>
      <c r="BB203">
        <f t="shared" si="61"/>
        <v>0</v>
      </c>
    </row>
    <row r="204" spans="45:54">
      <c r="AS204">
        <f>'Trade Log'!BT204</f>
        <v>0</v>
      </c>
      <c r="AT204">
        <f t="shared" si="53"/>
        <v>0</v>
      </c>
      <c r="AU204">
        <f t="shared" si="54"/>
        <v>0</v>
      </c>
      <c r="AV204" s="491" t="e">
        <f t="shared" si="55"/>
        <v>#DIV/0!</v>
      </c>
      <c r="AW204" t="e">
        <f t="shared" si="56"/>
        <v>#DIV/0!</v>
      </c>
      <c r="AX204" s="17">
        <f t="shared" si="57"/>
        <v>0</v>
      </c>
      <c r="AY204" s="30" t="e">
        <f t="shared" si="58"/>
        <v>#DIV/0!</v>
      </c>
      <c r="AZ204" s="17" t="str">
        <f t="shared" si="59"/>
        <v>NA</v>
      </c>
      <c r="BA204" s="491" t="str">
        <f t="shared" si="60"/>
        <v>NA</v>
      </c>
      <c r="BB204">
        <f t="shared" si="61"/>
        <v>0</v>
      </c>
    </row>
    <row r="205" spans="45:54">
      <c r="AS205">
        <f>'Trade Log'!BT205</f>
        <v>0</v>
      </c>
      <c r="AT205">
        <f t="shared" si="53"/>
        <v>0</v>
      </c>
      <c r="AU205">
        <f t="shared" si="54"/>
        <v>0</v>
      </c>
      <c r="AV205" s="491" t="e">
        <f t="shared" si="55"/>
        <v>#DIV/0!</v>
      </c>
      <c r="AW205" t="e">
        <f t="shared" si="56"/>
        <v>#DIV/0!</v>
      </c>
      <c r="AX205" s="17">
        <f t="shared" si="57"/>
        <v>0</v>
      </c>
      <c r="AY205" s="30" t="e">
        <f t="shared" si="58"/>
        <v>#DIV/0!</v>
      </c>
      <c r="AZ205" s="17" t="str">
        <f t="shared" si="59"/>
        <v>NA</v>
      </c>
      <c r="BA205" s="491" t="str">
        <f t="shared" si="60"/>
        <v>NA</v>
      </c>
      <c r="BB205">
        <f t="shared" si="61"/>
        <v>0</v>
      </c>
    </row>
    <row r="206" spans="45:54">
      <c r="AS206">
        <f>'Trade Log'!BT206</f>
        <v>0</v>
      </c>
      <c r="AT206">
        <f t="shared" si="53"/>
        <v>0</v>
      </c>
      <c r="AU206">
        <f t="shared" si="54"/>
        <v>0</v>
      </c>
      <c r="AV206" s="491" t="e">
        <f t="shared" si="55"/>
        <v>#DIV/0!</v>
      </c>
      <c r="AW206" t="e">
        <f t="shared" si="56"/>
        <v>#DIV/0!</v>
      </c>
      <c r="AX206" s="17">
        <f t="shared" si="57"/>
        <v>0</v>
      </c>
      <c r="AY206" s="30" t="e">
        <f t="shared" si="58"/>
        <v>#DIV/0!</v>
      </c>
      <c r="AZ206" s="17" t="str">
        <f t="shared" si="59"/>
        <v>NA</v>
      </c>
      <c r="BA206" s="491" t="str">
        <f t="shared" si="60"/>
        <v>NA</v>
      </c>
      <c r="BB206">
        <f t="shared" si="61"/>
        <v>0</v>
      </c>
    </row>
    <row r="207" spans="45:54">
      <c r="AS207">
        <f>'Trade Log'!BT207</f>
        <v>0</v>
      </c>
      <c r="AT207">
        <f t="shared" ref="AT207:AT251" si="62">COUNTIFS(symbol,AS207,stats,2)</f>
        <v>0</v>
      </c>
      <c r="AU207">
        <f t="shared" ref="AU207:AU251" si="63">COUNTIFS(symbol,AS207,stats,1)</f>
        <v>0</v>
      </c>
      <c r="AV207" s="491" t="e">
        <f t="shared" ref="AV207:AV251" si="64">(SUMIFS(profitLoss,profitLoss,"&gt;=0",symbol,AS207)/AT207)*AY207</f>
        <v>#DIV/0!</v>
      </c>
      <c r="AW207" t="e">
        <f t="shared" ref="AW207:AW251" si="65">-(SUMIFS(profitLoss,profitLoss,"&lt;0",symbol,AS207)/AU207)*(1-AY207)</f>
        <v>#DIV/0!</v>
      </c>
      <c r="AX207" s="17">
        <f t="shared" ref="AX207:AX251" si="66">SUMIFS(profitLoss,symbol,AS207)</f>
        <v>0</v>
      </c>
      <c r="AY207" s="30" t="e">
        <f t="shared" ref="AY207:AY251" si="67">AT207/(AT207+AU207)</f>
        <v>#DIV/0!</v>
      </c>
      <c r="AZ207" s="17" t="str">
        <f t="shared" ref="AZ207:AZ251" si="68">IFERROR(AV207/AW207,"NA")</f>
        <v>NA</v>
      </c>
      <c r="BA207" s="491" t="str">
        <f t="shared" ref="BA207:BA251" si="69">IFERROR(AV207-AW207,"NA")</f>
        <v>NA</v>
      </c>
      <c r="BB207">
        <f t="shared" ref="BB207:BB251" si="70">AU207+AT207</f>
        <v>0</v>
      </c>
    </row>
    <row r="208" spans="45:54">
      <c r="AS208">
        <f>'Trade Log'!BT208</f>
        <v>0</v>
      </c>
      <c r="AT208">
        <f t="shared" si="62"/>
        <v>0</v>
      </c>
      <c r="AU208">
        <f t="shared" si="63"/>
        <v>0</v>
      </c>
      <c r="AV208" s="491" t="e">
        <f t="shared" si="64"/>
        <v>#DIV/0!</v>
      </c>
      <c r="AW208" t="e">
        <f t="shared" si="65"/>
        <v>#DIV/0!</v>
      </c>
      <c r="AX208" s="17">
        <f t="shared" si="66"/>
        <v>0</v>
      </c>
      <c r="AY208" s="30" t="e">
        <f t="shared" si="67"/>
        <v>#DIV/0!</v>
      </c>
      <c r="AZ208" s="17" t="str">
        <f t="shared" si="68"/>
        <v>NA</v>
      </c>
      <c r="BA208" s="491" t="str">
        <f t="shared" si="69"/>
        <v>NA</v>
      </c>
      <c r="BB208">
        <f t="shared" si="70"/>
        <v>0</v>
      </c>
    </row>
    <row r="209" spans="45:54">
      <c r="AS209">
        <f>'Trade Log'!BT209</f>
        <v>0</v>
      </c>
      <c r="AT209">
        <f t="shared" si="62"/>
        <v>0</v>
      </c>
      <c r="AU209">
        <f t="shared" si="63"/>
        <v>0</v>
      </c>
      <c r="AV209" s="491" t="e">
        <f t="shared" si="64"/>
        <v>#DIV/0!</v>
      </c>
      <c r="AW209" t="e">
        <f t="shared" si="65"/>
        <v>#DIV/0!</v>
      </c>
      <c r="AX209" s="17">
        <f t="shared" si="66"/>
        <v>0</v>
      </c>
      <c r="AY209" s="30" t="e">
        <f t="shared" si="67"/>
        <v>#DIV/0!</v>
      </c>
      <c r="AZ209" s="17" t="str">
        <f t="shared" si="68"/>
        <v>NA</v>
      </c>
      <c r="BA209" s="491" t="str">
        <f t="shared" si="69"/>
        <v>NA</v>
      </c>
      <c r="BB209">
        <f t="shared" si="70"/>
        <v>0</v>
      </c>
    </row>
    <row r="210" spans="45:54">
      <c r="AS210">
        <f>'Trade Log'!BT210</f>
        <v>0</v>
      </c>
      <c r="AT210">
        <f t="shared" si="62"/>
        <v>0</v>
      </c>
      <c r="AU210">
        <f t="shared" si="63"/>
        <v>0</v>
      </c>
      <c r="AV210" s="491" t="e">
        <f t="shared" si="64"/>
        <v>#DIV/0!</v>
      </c>
      <c r="AW210" t="e">
        <f t="shared" si="65"/>
        <v>#DIV/0!</v>
      </c>
      <c r="AX210" s="17">
        <f t="shared" si="66"/>
        <v>0</v>
      </c>
      <c r="AY210" s="30" t="e">
        <f t="shared" si="67"/>
        <v>#DIV/0!</v>
      </c>
      <c r="AZ210" s="17" t="str">
        <f t="shared" si="68"/>
        <v>NA</v>
      </c>
      <c r="BA210" s="491" t="str">
        <f t="shared" si="69"/>
        <v>NA</v>
      </c>
      <c r="BB210">
        <f t="shared" si="70"/>
        <v>0</v>
      </c>
    </row>
    <row r="211" spans="45:54">
      <c r="AS211">
        <f>'Trade Log'!BT211</f>
        <v>0</v>
      </c>
      <c r="AT211">
        <f t="shared" si="62"/>
        <v>0</v>
      </c>
      <c r="AU211">
        <f t="shared" si="63"/>
        <v>0</v>
      </c>
      <c r="AV211" s="491" t="e">
        <f t="shared" si="64"/>
        <v>#DIV/0!</v>
      </c>
      <c r="AW211" t="e">
        <f t="shared" si="65"/>
        <v>#DIV/0!</v>
      </c>
      <c r="AX211" s="17">
        <f t="shared" si="66"/>
        <v>0</v>
      </c>
      <c r="AY211" s="30" t="e">
        <f t="shared" si="67"/>
        <v>#DIV/0!</v>
      </c>
      <c r="AZ211" s="17" t="str">
        <f t="shared" si="68"/>
        <v>NA</v>
      </c>
      <c r="BA211" s="491" t="str">
        <f t="shared" si="69"/>
        <v>NA</v>
      </c>
      <c r="BB211">
        <f t="shared" si="70"/>
        <v>0</v>
      </c>
    </row>
    <row r="212" spans="45:54">
      <c r="AS212">
        <f>'Trade Log'!BT212</f>
        <v>0</v>
      </c>
      <c r="AT212">
        <f t="shared" si="62"/>
        <v>0</v>
      </c>
      <c r="AU212">
        <f t="shared" si="63"/>
        <v>0</v>
      </c>
      <c r="AV212" s="491" t="e">
        <f t="shared" si="64"/>
        <v>#DIV/0!</v>
      </c>
      <c r="AW212" t="e">
        <f t="shared" si="65"/>
        <v>#DIV/0!</v>
      </c>
      <c r="AX212" s="17">
        <f t="shared" si="66"/>
        <v>0</v>
      </c>
      <c r="AY212" s="30" t="e">
        <f t="shared" si="67"/>
        <v>#DIV/0!</v>
      </c>
      <c r="AZ212" s="17" t="str">
        <f t="shared" si="68"/>
        <v>NA</v>
      </c>
      <c r="BA212" s="491" t="str">
        <f t="shared" si="69"/>
        <v>NA</v>
      </c>
      <c r="BB212">
        <f t="shared" si="70"/>
        <v>0</v>
      </c>
    </row>
    <row r="213" spans="45:54">
      <c r="AS213">
        <f>'Trade Log'!BT213</f>
        <v>0</v>
      </c>
      <c r="AT213">
        <f t="shared" si="62"/>
        <v>0</v>
      </c>
      <c r="AU213">
        <f t="shared" si="63"/>
        <v>0</v>
      </c>
      <c r="AV213" s="491" t="e">
        <f t="shared" si="64"/>
        <v>#DIV/0!</v>
      </c>
      <c r="AW213" t="e">
        <f t="shared" si="65"/>
        <v>#DIV/0!</v>
      </c>
      <c r="AX213" s="17">
        <f t="shared" si="66"/>
        <v>0</v>
      </c>
      <c r="AY213" s="30" t="e">
        <f t="shared" si="67"/>
        <v>#DIV/0!</v>
      </c>
      <c r="AZ213" s="17" t="str">
        <f t="shared" si="68"/>
        <v>NA</v>
      </c>
      <c r="BA213" s="491" t="str">
        <f t="shared" si="69"/>
        <v>NA</v>
      </c>
      <c r="BB213">
        <f t="shared" si="70"/>
        <v>0</v>
      </c>
    </row>
    <row r="214" spans="45:54">
      <c r="AS214">
        <f>'Trade Log'!BT214</f>
        <v>0</v>
      </c>
      <c r="AT214">
        <f t="shared" si="62"/>
        <v>0</v>
      </c>
      <c r="AU214">
        <f t="shared" si="63"/>
        <v>0</v>
      </c>
      <c r="AV214" s="491" t="e">
        <f t="shared" si="64"/>
        <v>#DIV/0!</v>
      </c>
      <c r="AW214" t="e">
        <f t="shared" si="65"/>
        <v>#DIV/0!</v>
      </c>
      <c r="AX214" s="17">
        <f t="shared" si="66"/>
        <v>0</v>
      </c>
      <c r="AY214" s="30" t="e">
        <f t="shared" si="67"/>
        <v>#DIV/0!</v>
      </c>
      <c r="AZ214" s="17" t="str">
        <f t="shared" si="68"/>
        <v>NA</v>
      </c>
      <c r="BA214" s="491" t="str">
        <f t="shared" si="69"/>
        <v>NA</v>
      </c>
      <c r="BB214">
        <f t="shared" si="70"/>
        <v>0</v>
      </c>
    </row>
    <row r="215" spans="45:54">
      <c r="AS215">
        <f>'Trade Log'!BT215</f>
        <v>0</v>
      </c>
      <c r="AT215">
        <f t="shared" si="62"/>
        <v>0</v>
      </c>
      <c r="AU215">
        <f t="shared" si="63"/>
        <v>0</v>
      </c>
      <c r="AV215" s="491" t="e">
        <f t="shared" si="64"/>
        <v>#DIV/0!</v>
      </c>
      <c r="AW215" t="e">
        <f t="shared" si="65"/>
        <v>#DIV/0!</v>
      </c>
      <c r="AX215" s="17">
        <f t="shared" si="66"/>
        <v>0</v>
      </c>
      <c r="AY215" s="30" t="e">
        <f t="shared" si="67"/>
        <v>#DIV/0!</v>
      </c>
      <c r="AZ215" s="17" t="str">
        <f t="shared" si="68"/>
        <v>NA</v>
      </c>
      <c r="BA215" s="491" t="str">
        <f t="shared" si="69"/>
        <v>NA</v>
      </c>
      <c r="BB215">
        <f t="shared" si="70"/>
        <v>0</v>
      </c>
    </row>
    <row r="216" spans="45:54">
      <c r="AS216">
        <f>'Trade Log'!BT216</f>
        <v>0</v>
      </c>
      <c r="AT216">
        <f t="shared" si="62"/>
        <v>0</v>
      </c>
      <c r="AU216">
        <f t="shared" si="63"/>
        <v>0</v>
      </c>
      <c r="AV216" s="491" t="e">
        <f t="shared" si="64"/>
        <v>#DIV/0!</v>
      </c>
      <c r="AW216" t="e">
        <f t="shared" si="65"/>
        <v>#DIV/0!</v>
      </c>
      <c r="AX216" s="17">
        <f t="shared" si="66"/>
        <v>0</v>
      </c>
      <c r="AY216" s="30" t="e">
        <f t="shared" si="67"/>
        <v>#DIV/0!</v>
      </c>
      <c r="AZ216" s="17" t="str">
        <f t="shared" si="68"/>
        <v>NA</v>
      </c>
      <c r="BA216" s="491" t="str">
        <f t="shared" si="69"/>
        <v>NA</v>
      </c>
      <c r="BB216">
        <f t="shared" si="70"/>
        <v>0</v>
      </c>
    </row>
    <row r="217" spans="45:54">
      <c r="AS217">
        <f>'Trade Log'!BT217</f>
        <v>0</v>
      </c>
      <c r="AT217">
        <f t="shared" si="62"/>
        <v>0</v>
      </c>
      <c r="AU217">
        <f t="shared" si="63"/>
        <v>0</v>
      </c>
      <c r="AV217" s="491" t="e">
        <f t="shared" si="64"/>
        <v>#DIV/0!</v>
      </c>
      <c r="AW217" t="e">
        <f t="shared" si="65"/>
        <v>#DIV/0!</v>
      </c>
      <c r="AX217" s="17">
        <f t="shared" si="66"/>
        <v>0</v>
      </c>
      <c r="AY217" s="30" t="e">
        <f t="shared" si="67"/>
        <v>#DIV/0!</v>
      </c>
      <c r="AZ217" s="17" t="str">
        <f t="shared" si="68"/>
        <v>NA</v>
      </c>
      <c r="BA217" s="491" t="str">
        <f t="shared" si="69"/>
        <v>NA</v>
      </c>
      <c r="BB217">
        <f t="shared" si="70"/>
        <v>0</v>
      </c>
    </row>
    <row r="218" spans="45:54">
      <c r="AS218">
        <f>'Trade Log'!BT218</f>
        <v>0</v>
      </c>
      <c r="AT218">
        <f t="shared" si="62"/>
        <v>0</v>
      </c>
      <c r="AU218">
        <f t="shared" si="63"/>
        <v>0</v>
      </c>
      <c r="AV218" s="491" t="e">
        <f t="shared" si="64"/>
        <v>#DIV/0!</v>
      </c>
      <c r="AW218" t="e">
        <f t="shared" si="65"/>
        <v>#DIV/0!</v>
      </c>
      <c r="AX218" s="17">
        <f t="shared" si="66"/>
        <v>0</v>
      </c>
      <c r="AY218" s="30" t="e">
        <f t="shared" si="67"/>
        <v>#DIV/0!</v>
      </c>
      <c r="AZ218" s="17" t="str">
        <f t="shared" si="68"/>
        <v>NA</v>
      </c>
      <c r="BA218" s="491" t="str">
        <f t="shared" si="69"/>
        <v>NA</v>
      </c>
      <c r="BB218">
        <f t="shared" si="70"/>
        <v>0</v>
      </c>
    </row>
    <row r="219" spans="45:54">
      <c r="AS219">
        <f>'Trade Log'!BT219</f>
        <v>0</v>
      </c>
      <c r="AT219">
        <f t="shared" si="62"/>
        <v>0</v>
      </c>
      <c r="AU219">
        <f t="shared" si="63"/>
        <v>0</v>
      </c>
      <c r="AV219" s="491" t="e">
        <f t="shared" si="64"/>
        <v>#DIV/0!</v>
      </c>
      <c r="AW219" t="e">
        <f t="shared" si="65"/>
        <v>#DIV/0!</v>
      </c>
      <c r="AX219" s="17">
        <f t="shared" si="66"/>
        <v>0</v>
      </c>
      <c r="AY219" s="30" t="e">
        <f t="shared" si="67"/>
        <v>#DIV/0!</v>
      </c>
      <c r="AZ219" s="17" t="str">
        <f t="shared" si="68"/>
        <v>NA</v>
      </c>
      <c r="BA219" s="491" t="str">
        <f t="shared" si="69"/>
        <v>NA</v>
      </c>
      <c r="BB219">
        <f t="shared" si="70"/>
        <v>0</v>
      </c>
    </row>
    <row r="220" spans="45:54">
      <c r="AS220">
        <f>'Trade Log'!BT220</f>
        <v>0</v>
      </c>
      <c r="AT220">
        <f t="shared" si="62"/>
        <v>0</v>
      </c>
      <c r="AU220">
        <f t="shared" si="63"/>
        <v>0</v>
      </c>
      <c r="AV220" s="491" t="e">
        <f t="shared" si="64"/>
        <v>#DIV/0!</v>
      </c>
      <c r="AW220" t="e">
        <f t="shared" si="65"/>
        <v>#DIV/0!</v>
      </c>
      <c r="AX220" s="17">
        <f t="shared" si="66"/>
        <v>0</v>
      </c>
      <c r="AY220" s="30" t="e">
        <f t="shared" si="67"/>
        <v>#DIV/0!</v>
      </c>
      <c r="AZ220" s="17" t="str">
        <f t="shared" si="68"/>
        <v>NA</v>
      </c>
      <c r="BA220" s="491" t="str">
        <f t="shared" si="69"/>
        <v>NA</v>
      </c>
      <c r="BB220">
        <f t="shared" si="70"/>
        <v>0</v>
      </c>
    </row>
    <row r="221" spans="45:54">
      <c r="AS221">
        <f>'Trade Log'!BT221</f>
        <v>0</v>
      </c>
      <c r="AT221">
        <f t="shared" si="62"/>
        <v>0</v>
      </c>
      <c r="AU221">
        <f t="shared" si="63"/>
        <v>0</v>
      </c>
      <c r="AV221" s="491" t="e">
        <f t="shared" si="64"/>
        <v>#DIV/0!</v>
      </c>
      <c r="AW221" t="e">
        <f t="shared" si="65"/>
        <v>#DIV/0!</v>
      </c>
      <c r="AX221" s="17">
        <f t="shared" si="66"/>
        <v>0</v>
      </c>
      <c r="AY221" s="30" t="e">
        <f t="shared" si="67"/>
        <v>#DIV/0!</v>
      </c>
      <c r="AZ221" s="17" t="str">
        <f t="shared" si="68"/>
        <v>NA</v>
      </c>
      <c r="BA221" s="491" t="str">
        <f t="shared" si="69"/>
        <v>NA</v>
      </c>
      <c r="BB221">
        <f t="shared" si="70"/>
        <v>0</v>
      </c>
    </row>
    <row r="222" spans="45:54">
      <c r="AS222">
        <f>'Trade Log'!BT222</f>
        <v>0</v>
      </c>
      <c r="AT222">
        <f t="shared" si="62"/>
        <v>0</v>
      </c>
      <c r="AU222">
        <f t="shared" si="63"/>
        <v>0</v>
      </c>
      <c r="AV222" s="491" t="e">
        <f t="shared" si="64"/>
        <v>#DIV/0!</v>
      </c>
      <c r="AW222" t="e">
        <f t="shared" si="65"/>
        <v>#DIV/0!</v>
      </c>
      <c r="AX222" s="17">
        <f t="shared" si="66"/>
        <v>0</v>
      </c>
      <c r="AY222" s="30" t="e">
        <f t="shared" si="67"/>
        <v>#DIV/0!</v>
      </c>
      <c r="AZ222" s="17" t="str">
        <f t="shared" si="68"/>
        <v>NA</v>
      </c>
      <c r="BA222" s="491" t="str">
        <f t="shared" si="69"/>
        <v>NA</v>
      </c>
      <c r="BB222">
        <f t="shared" si="70"/>
        <v>0</v>
      </c>
    </row>
    <row r="223" spans="45:54">
      <c r="AS223">
        <f>'Trade Log'!BT223</f>
        <v>0</v>
      </c>
      <c r="AT223">
        <f t="shared" si="62"/>
        <v>0</v>
      </c>
      <c r="AU223">
        <f t="shared" si="63"/>
        <v>0</v>
      </c>
      <c r="AV223" s="491" t="e">
        <f t="shared" si="64"/>
        <v>#DIV/0!</v>
      </c>
      <c r="AW223" t="e">
        <f t="shared" si="65"/>
        <v>#DIV/0!</v>
      </c>
      <c r="AX223" s="17">
        <f t="shared" si="66"/>
        <v>0</v>
      </c>
      <c r="AY223" s="30" t="e">
        <f t="shared" si="67"/>
        <v>#DIV/0!</v>
      </c>
      <c r="AZ223" s="17" t="str">
        <f t="shared" si="68"/>
        <v>NA</v>
      </c>
      <c r="BA223" s="491" t="str">
        <f t="shared" si="69"/>
        <v>NA</v>
      </c>
      <c r="BB223">
        <f t="shared" si="70"/>
        <v>0</v>
      </c>
    </row>
    <row r="224" spans="45:54">
      <c r="AS224">
        <f>'Trade Log'!BT224</f>
        <v>0</v>
      </c>
      <c r="AT224">
        <f t="shared" si="62"/>
        <v>0</v>
      </c>
      <c r="AU224">
        <f t="shared" si="63"/>
        <v>0</v>
      </c>
      <c r="AV224" s="491" t="e">
        <f t="shared" si="64"/>
        <v>#DIV/0!</v>
      </c>
      <c r="AW224" t="e">
        <f t="shared" si="65"/>
        <v>#DIV/0!</v>
      </c>
      <c r="AX224" s="17">
        <f t="shared" si="66"/>
        <v>0</v>
      </c>
      <c r="AY224" s="30" t="e">
        <f t="shared" si="67"/>
        <v>#DIV/0!</v>
      </c>
      <c r="AZ224" s="17" t="str">
        <f t="shared" si="68"/>
        <v>NA</v>
      </c>
      <c r="BA224" s="491" t="str">
        <f t="shared" si="69"/>
        <v>NA</v>
      </c>
      <c r="BB224">
        <f t="shared" si="70"/>
        <v>0</v>
      </c>
    </row>
    <row r="225" spans="45:54">
      <c r="AS225">
        <f>'Trade Log'!BT225</f>
        <v>0</v>
      </c>
      <c r="AT225">
        <f t="shared" si="62"/>
        <v>0</v>
      </c>
      <c r="AU225">
        <f t="shared" si="63"/>
        <v>0</v>
      </c>
      <c r="AV225" s="491" t="e">
        <f t="shared" si="64"/>
        <v>#DIV/0!</v>
      </c>
      <c r="AW225" t="e">
        <f t="shared" si="65"/>
        <v>#DIV/0!</v>
      </c>
      <c r="AX225" s="17">
        <f t="shared" si="66"/>
        <v>0</v>
      </c>
      <c r="AY225" s="30" t="e">
        <f t="shared" si="67"/>
        <v>#DIV/0!</v>
      </c>
      <c r="AZ225" s="17" t="str">
        <f t="shared" si="68"/>
        <v>NA</v>
      </c>
      <c r="BA225" s="491" t="str">
        <f t="shared" si="69"/>
        <v>NA</v>
      </c>
      <c r="BB225">
        <f t="shared" si="70"/>
        <v>0</v>
      </c>
    </row>
    <row r="226" spans="45:54">
      <c r="AS226">
        <f>'Trade Log'!BT226</f>
        <v>0</v>
      </c>
      <c r="AT226">
        <f t="shared" si="62"/>
        <v>0</v>
      </c>
      <c r="AU226">
        <f t="shared" si="63"/>
        <v>0</v>
      </c>
      <c r="AV226" s="491" t="e">
        <f t="shared" si="64"/>
        <v>#DIV/0!</v>
      </c>
      <c r="AW226" t="e">
        <f t="shared" si="65"/>
        <v>#DIV/0!</v>
      </c>
      <c r="AX226" s="17">
        <f t="shared" si="66"/>
        <v>0</v>
      </c>
      <c r="AY226" s="30" t="e">
        <f t="shared" si="67"/>
        <v>#DIV/0!</v>
      </c>
      <c r="AZ226" s="17" t="str">
        <f t="shared" si="68"/>
        <v>NA</v>
      </c>
      <c r="BA226" s="491" t="str">
        <f t="shared" si="69"/>
        <v>NA</v>
      </c>
      <c r="BB226">
        <f t="shared" si="70"/>
        <v>0</v>
      </c>
    </row>
    <row r="227" spans="45:54">
      <c r="AS227">
        <f>'Trade Log'!BT227</f>
        <v>0</v>
      </c>
      <c r="AT227">
        <f t="shared" si="62"/>
        <v>0</v>
      </c>
      <c r="AU227">
        <f t="shared" si="63"/>
        <v>0</v>
      </c>
      <c r="AV227" s="491" t="e">
        <f t="shared" si="64"/>
        <v>#DIV/0!</v>
      </c>
      <c r="AW227" t="e">
        <f t="shared" si="65"/>
        <v>#DIV/0!</v>
      </c>
      <c r="AX227" s="17">
        <f t="shared" si="66"/>
        <v>0</v>
      </c>
      <c r="AY227" s="30" t="e">
        <f t="shared" si="67"/>
        <v>#DIV/0!</v>
      </c>
      <c r="AZ227" s="17" t="str">
        <f t="shared" si="68"/>
        <v>NA</v>
      </c>
      <c r="BA227" s="491" t="str">
        <f t="shared" si="69"/>
        <v>NA</v>
      </c>
      <c r="BB227">
        <f t="shared" si="70"/>
        <v>0</v>
      </c>
    </row>
    <row r="228" spans="45:54">
      <c r="AS228">
        <f>'Trade Log'!BT228</f>
        <v>0</v>
      </c>
      <c r="AT228">
        <f t="shared" si="62"/>
        <v>0</v>
      </c>
      <c r="AU228">
        <f t="shared" si="63"/>
        <v>0</v>
      </c>
      <c r="AV228" s="491" t="e">
        <f t="shared" si="64"/>
        <v>#DIV/0!</v>
      </c>
      <c r="AW228" t="e">
        <f t="shared" si="65"/>
        <v>#DIV/0!</v>
      </c>
      <c r="AX228" s="17">
        <f t="shared" si="66"/>
        <v>0</v>
      </c>
      <c r="AY228" s="30" t="e">
        <f t="shared" si="67"/>
        <v>#DIV/0!</v>
      </c>
      <c r="AZ228" s="17" t="str">
        <f t="shared" si="68"/>
        <v>NA</v>
      </c>
      <c r="BA228" s="491" t="str">
        <f t="shared" si="69"/>
        <v>NA</v>
      </c>
      <c r="BB228">
        <f t="shared" si="70"/>
        <v>0</v>
      </c>
    </row>
    <row r="229" spans="45:54">
      <c r="AS229">
        <f>'Trade Log'!BT229</f>
        <v>0</v>
      </c>
      <c r="AT229">
        <f t="shared" si="62"/>
        <v>0</v>
      </c>
      <c r="AU229">
        <f t="shared" si="63"/>
        <v>0</v>
      </c>
      <c r="AV229" s="491" t="e">
        <f t="shared" si="64"/>
        <v>#DIV/0!</v>
      </c>
      <c r="AW229" t="e">
        <f t="shared" si="65"/>
        <v>#DIV/0!</v>
      </c>
      <c r="AX229" s="17">
        <f t="shared" si="66"/>
        <v>0</v>
      </c>
      <c r="AY229" s="30" t="e">
        <f t="shared" si="67"/>
        <v>#DIV/0!</v>
      </c>
      <c r="AZ229" s="17" t="str">
        <f t="shared" si="68"/>
        <v>NA</v>
      </c>
      <c r="BA229" s="491" t="str">
        <f t="shared" si="69"/>
        <v>NA</v>
      </c>
      <c r="BB229">
        <f t="shared" si="70"/>
        <v>0</v>
      </c>
    </row>
    <row r="230" spans="45:54">
      <c r="AS230">
        <f>'Trade Log'!BT230</f>
        <v>0</v>
      </c>
      <c r="AT230">
        <f t="shared" si="62"/>
        <v>0</v>
      </c>
      <c r="AU230">
        <f t="shared" si="63"/>
        <v>0</v>
      </c>
      <c r="AV230" s="491" t="e">
        <f t="shared" si="64"/>
        <v>#DIV/0!</v>
      </c>
      <c r="AW230" t="e">
        <f t="shared" si="65"/>
        <v>#DIV/0!</v>
      </c>
      <c r="AX230" s="17">
        <f t="shared" si="66"/>
        <v>0</v>
      </c>
      <c r="AY230" s="30" t="e">
        <f t="shared" si="67"/>
        <v>#DIV/0!</v>
      </c>
      <c r="AZ230" s="17" t="str">
        <f t="shared" si="68"/>
        <v>NA</v>
      </c>
      <c r="BA230" s="491" t="str">
        <f t="shared" si="69"/>
        <v>NA</v>
      </c>
      <c r="BB230">
        <f t="shared" si="70"/>
        <v>0</v>
      </c>
    </row>
    <row r="231" spans="45:54">
      <c r="AS231">
        <f>'Trade Log'!BT231</f>
        <v>0</v>
      </c>
      <c r="AT231">
        <f t="shared" si="62"/>
        <v>0</v>
      </c>
      <c r="AU231">
        <f t="shared" si="63"/>
        <v>0</v>
      </c>
      <c r="AV231" s="491" t="e">
        <f t="shared" si="64"/>
        <v>#DIV/0!</v>
      </c>
      <c r="AW231" t="e">
        <f t="shared" si="65"/>
        <v>#DIV/0!</v>
      </c>
      <c r="AX231" s="17">
        <f t="shared" si="66"/>
        <v>0</v>
      </c>
      <c r="AY231" s="30" t="e">
        <f t="shared" si="67"/>
        <v>#DIV/0!</v>
      </c>
      <c r="AZ231" s="17" t="str">
        <f t="shared" si="68"/>
        <v>NA</v>
      </c>
      <c r="BA231" s="491" t="str">
        <f t="shared" si="69"/>
        <v>NA</v>
      </c>
      <c r="BB231">
        <f t="shared" si="70"/>
        <v>0</v>
      </c>
    </row>
    <row r="232" spans="45:54">
      <c r="AS232">
        <f>'Trade Log'!BT232</f>
        <v>0</v>
      </c>
      <c r="AT232">
        <f t="shared" si="62"/>
        <v>0</v>
      </c>
      <c r="AU232">
        <f t="shared" si="63"/>
        <v>0</v>
      </c>
      <c r="AV232" s="491" t="e">
        <f t="shared" si="64"/>
        <v>#DIV/0!</v>
      </c>
      <c r="AW232" t="e">
        <f t="shared" si="65"/>
        <v>#DIV/0!</v>
      </c>
      <c r="AX232" s="17">
        <f t="shared" si="66"/>
        <v>0</v>
      </c>
      <c r="AY232" s="30" t="e">
        <f t="shared" si="67"/>
        <v>#DIV/0!</v>
      </c>
      <c r="AZ232" s="17" t="str">
        <f t="shared" si="68"/>
        <v>NA</v>
      </c>
      <c r="BA232" s="491" t="str">
        <f t="shared" si="69"/>
        <v>NA</v>
      </c>
      <c r="BB232">
        <f t="shared" si="70"/>
        <v>0</v>
      </c>
    </row>
    <row r="233" spans="45:54">
      <c r="AS233">
        <f>'Trade Log'!BT233</f>
        <v>0</v>
      </c>
      <c r="AT233">
        <f t="shared" si="62"/>
        <v>0</v>
      </c>
      <c r="AU233">
        <f t="shared" si="63"/>
        <v>0</v>
      </c>
      <c r="AV233" s="491" t="e">
        <f t="shared" si="64"/>
        <v>#DIV/0!</v>
      </c>
      <c r="AW233" t="e">
        <f t="shared" si="65"/>
        <v>#DIV/0!</v>
      </c>
      <c r="AX233" s="17">
        <f t="shared" si="66"/>
        <v>0</v>
      </c>
      <c r="AY233" s="30" t="e">
        <f t="shared" si="67"/>
        <v>#DIV/0!</v>
      </c>
      <c r="AZ233" s="17" t="str">
        <f t="shared" si="68"/>
        <v>NA</v>
      </c>
      <c r="BA233" s="491" t="str">
        <f t="shared" si="69"/>
        <v>NA</v>
      </c>
      <c r="BB233">
        <f t="shared" si="70"/>
        <v>0</v>
      </c>
    </row>
    <row r="234" spans="45:54">
      <c r="AS234">
        <f>'Trade Log'!BT234</f>
        <v>0</v>
      </c>
      <c r="AT234">
        <f t="shared" si="62"/>
        <v>0</v>
      </c>
      <c r="AU234">
        <f t="shared" si="63"/>
        <v>0</v>
      </c>
      <c r="AV234" s="491" t="e">
        <f t="shared" si="64"/>
        <v>#DIV/0!</v>
      </c>
      <c r="AW234" t="e">
        <f t="shared" si="65"/>
        <v>#DIV/0!</v>
      </c>
      <c r="AX234" s="17">
        <f t="shared" si="66"/>
        <v>0</v>
      </c>
      <c r="AY234" s="30" t="e">
        <f t="shared" si="67"/>
        <v>#DIV/0!</v>
      </c>
      <c r="AZ234" s="17" t="str">
        <f t="shared" si="68"/>
        <v>NA</v>
      </c>
      <c r="BA234" s="491" t="str">
        <f t="shared" si="69"/>
        <v>NA</v>
      </c>
      <c r="BB234">
        <f t="shared" si="70"/>
        <v>0</v>
      </c>
    </row>
    <row r="235" spans="45:54">
      <c r="AS235">
        <f>'Trade Log'!BT235</f>
        <v>0</v>
      </c>
      <c r="AT235">
        <f t="shared" si="62"/>
        <v>0</v>
      </c>
      <c r="AU235">
        <f t="shared" si="63"/>
        <v>0</v>
      </c>
      <c r="AV235" s="491" t="e">
        <f t="shared" si="64"/>
        <v>#DIV/0!</v>
      </c>
      <c r="AW235" t="e">
        <f t="shared" si="65"/>
        <v>#DIV/0!</v>
      </c>
      <c r="AX235" s="17">
        <f t="shared" si="66"/>
        <v>0</v>
      </c>
      <c r="AY235" s="30" t="e">
        <f t="shared" si="67"/>
        <v>#DIV/0!</v>
      </c>
      <c r="AZ235" s="17" t="str">
        <f t="shared" si="68"/>
        <v>NA</v>
      </c>
      <c r="BA235" s="491" t="str">
        <f t="shared" si="69"/>
        <v>NA</v>
      </c>
      <c r="BB235">
        <f t="shared" si="70"/>
        <v>0</v>
      </c>
    </row>
    <row r="236" spans="45:54">
      <c r="AS236">
        <f>'Trade Log'!BT236</f>
        <v>0</v>
      </c>
      <c r="AT236">
        <f t="shared" si="62"/>
        <v>0</v>
      </c>
      <c r="AU236">
        <f t="shared" si="63"/>
        <v>0</v>
      </c>
      <c r="AV236" s="491" t="e">
        <f t="shared" si="64"/>
        <v>#DIV/0!</v>
      </c>
      <c r="AW236" t="e">
        <f t="shared" si="65"/>
        <v>#DIV/0!</v>
      </c>
      <c r="AX236" s="17">
        <f t="shared" si="66"/>
        <v>0</v>
      </c>
      <c r="AY236" s="30" t="e">
        <f t="shared" si="67"/>
        <v>#DIV/0!</v>
      </c>
      <c r="AZ236" s="17" t="str">
        <f t="shared" si="68"/>
        <v>NA</v>
      </c>
      <c r="BA236" s="491" t="str">
        <f t="shared" si="69"/>
        <v>NA</v>
      </c>
      <c r="BB236">
        <f t="shared" si="70"/>
        <v>0</v>
      </c>
    </row>
    <row r="237" spans="45:54">
      <c r="AS237">
        <f>'Trade Log'!BT237</f>
        <v>0</v>
      </c>
      <c r="AT237">
        <f t="shared" si="62"/>
        <v>0</v>
      </c>
      <c r="AU237">
        <f t="shared" si="63"/>
        <v>0</v>
      </c>
      <c r="AV237" s="491" t="e">
        <f t="shared" si="64"/>
        <v>#DIV/0!</v>
      </c>
      <c r="AW237" t="e">
        <f t="shared" si="65"/>
        <v>#DIV/0!</v>
      </c>
      <c r="AX237" s="17">
        <f t="shared" si="66"/>
        <v>0</v>
      </c>
      <c r="AY237" s="30" t="e">
        <f t="shared" si="67"/>
        <v>#DIV/0!</v>
      </c>
      <c r="AZ237" s="17" t="str">
        <f t="shared" si="68"/>
        <v>NA</v>
      </c>
      <c r="BA237" s="491" t="str">
        <f t="shared" si="69"/>
        <v>NA</v>
      </c>
      <c r="BB237">
        <f t="shared" si="70"/>
        <v>0</v>
      </c>
    </row>
    <row r="238" spans="45:54">
      <c r="AS238">
        <f>'Trade Log'!BT238</f>
        <v>0</v>
      </c>
      <c r="AT238">
        <f t="shared" si="62"/>
        <v>0</v>
      </c>
      <c r="AU238">
        <f t="shared" si="63"/>
        <v>0</v>
      </c>
      <c r="AV238" s="491" t="e">
        <f t="shared" si="64"/>
        <v>#DIV/0!</v>
      </c>
      <c r="AW238" t="e">
        <f t="shared" si="65"/>
        <v>#DIV/0!</v>
      </c>
      <c r="AX238" s="17">
        <f t="shared" si="66"/>
        <v>0</v>
      </c>
      <c r="AY238" s="30" t="e">
        <f t="shared" si="67"/>
        <v>#DIV/0!</v>
      </c>
      <c r="AZ238" s="17" t="str">
        <f t="shared" si="68"/>
        <v>NA</v>
      </c>
      <c r="BA238" s="491" t="str">
        <f t="shared" si="69"/>
        <v>NA</v>
      </c>
      <c r="BB238">
        <f t="shared" si="70"/>
        <v>0</v>
      </c>
    </row>
    <row r="239" spans="45:54">
      <c r="AS239">
        <f>'Trade Log'!BT239</f>
        <v>0</v>
      </c>
      <c r="AT239">
        <f t="shared" si="62"/>
        <v>0</v>
      </c>
      <c r="AU239">
        <f t="shared" si="63"/>
        <v>0</v>
      </c>
      <c r="AV239" s="491" t="e">
        <f t="shared" si="64"/>
        <v>#DIV/0!</v>
      </c>
      <c r="AW239" t="e">
        <f t="shared" si="65"/>
        <v>#DIV/0!</v>
      </c>
      <c r="AX239" s="17">
        <f t="shared" si="66"/>
        <v>0</v>
      </c>
      <c r="AY239" s="30" t="e">
        <f t="shared" si="67"/>
        <v>#DIV/0!</v>
      </c>
      <c r="AZ239" s="17" t="str">
        <f t="shared" si="68"/>
        <v>NA</v>
      </c>
      <c r="BA239" s="491" t="str">
        <f t="shared" si="69"/>
        <v>NA</v>
      </c>
      <c r="BB239">
        <f t="shared" si="70"/>
        <v>0</v>
      </c>
    </row>
    <row r="240" spans="45:54">
      <c r="AS240">
        <f>'Trade Log'!BT240</f>
        <v>0</v>
      </c>
      <c r="AT240">
        <f t="shared" si="62"/>
        <v>0</v>
      </c>
      <c r="AU240">
        <f t="shared" si="63"/>
        <v>0</v>
      </c>
      <c r="AV240" s="491" t="e">
        <f t="shared" si="64"/>
        <v>#DIV/0!</v>
      </c>
      <c r="AW240" t="e">
        <f t="shared" si="65"/>
        <v>#DIV/0!</v>
      </c>
      <c r="AX240" s="17">
        <f t="shared" si="66"/>
        <v>0</v>
      </c>
      <c r="AY240" s="30" t="e">
        <f t="shared" si="67"/>
        <v>#DIV/0!</v>
      </c>
      <c r="AZ240" s="17" t="str">
        <f t="shared" si="68"/>
        <v>NA</v>
      </c>
      <c r="BA240" s="491" t="str">
        <f t="shared" si="69"/>
        <v>NA</v>
      </c>
      <c r="BB240">
        <f t="shared" si="70"/>
        <v>0</v>
      </c>
    </row>
    <row r="241" spans="45:54">
      <c r="AS241">
        <f>'Trade Log'!BT241</f>
        <v>0</v>
      </c>
      <c r="AT241">
        <f t="shared" si="62"/>
        <v>0</v>
      </c>
      <c r="AU241">
        <f t="shared" si="63"/>
        <v>0</v>
      </c>
      <c r="AV241" s="491" t="e">
        <f t="shared" si="64"/>
        <v>#DIV/0!</v>
      </c>
      <c r="AW241" t="e">
        <f t="shared" si="65"/>
        <v>#DIV/0!</v>
      </c>
      <c r="AX241" s="17">
        <f t="shared" si="66"/>
        <v>0</v>
      </c>
      <c r="AY241" s="30" t="e">
        <f t="shared" si="67"/>
        <v>#DIV/0!</v>
      </c>
      <c r="AZ241" s="17" t="str">
        <f t="shared" si="68"/>
        <v>NA</v>
      </c>
      <c r="BA241" s="491" t="str">
        <f t="shared" si="69"/>
        <v>NA</v>
      </c>
      <c r="BB241">
        <f t="shared" si="70"/>
        <v>0</v>
      </c>
    </row>
    <row r="242" spans="45:54">
      <c r="AS242">
        <f>'Trade Log'!BT242</f>
        <v>0</v>
      </c>
      <c r="AT242">
        <f t="shared" si="62"/>
        <v>0</v>
      </c>
      <c r="AU242">
        <f t="shared" si="63"/>
        <v>0</v>
      </c>
      <c r="AV242" s="491" t="e">
        <f t="shared" si="64"/>
        <v>#DIV/0!</v>
      </c>
      <c r="AW242" t="e">
        <f t="shared" si="65"/>
        <v>#DIV/0!</v>
      </c>
      <c r="AX242" s="17">
        <f t="shared" si="66"/>
        <v>0</v>
      </c>
      <c r="AY242" s="30" t="e">
        <f t="shared" si="67"/>
        <v>#DIV/0!</v>
      </c>
      <c r="AZ242" s="17" t="str">
        <f t="shared" si="68"/>
        <v>NA</v>
      </c>
      <c r="BA242" s="491" t="str">
        <f t="shared" si="69"/>
        <v>NA</v>
      </c>
      <c r="BB242">
        <f t="shared" si="70"/>
        <v>0</v>
      </c>
    </row>
    <row r="243" spans="45:54">
      <c r="AS243">
        <f>'Trade Log'!BT243</f>
        <v>0</v>
      </c>
      <c r="AT243">
        <f t="shared" si="62"/>
        <v>0</v>
      </c>
      <c r="AU243">
        <f t="shared" si="63"/>
        <v>0</v>
      </c>
      <c r="AV243" s="491" t="e">
        <f t="shared" si="64"/>
        <v>#DIV/0!</v>
      </c>
      <c r="AW243" t="e">
        <f t="shared" si="65"/>
        <v>#DIV/0!</v>
      </c>
      <c r="AX243" s="17">
        <f t="shared" si="66"/>
        <v>0</v>
      </c>
      <c r="AY243" s="30" t="e">
        <f t="shared" si="67"/>
        <v>#DIV/0!</v>
      </c>
      <c r="AZ243" s="17" t="str">
        <f t="shared" si="68"/>
        <v>NA</v>
      </c>
      <c r="BA243" s="491" t="str">
        <f t="shared" si="69"/>
        <v>NA</v>
      </c>
      <c r="BB243">
        <f t="shared" si="70"/>
        <v>0</v>
      </c>
    </row>
    <row r="244" spans="45:54">
      <c r="AS244">
        <f>'Trade Log'!BT244</f>
        <v>0</v>
      </c>
      <c r="AT244">
        <f t="shared" si="62"/>
        <v>0</v>
      </c>
      <c r="AU244">
        <f t="shared" si="63"/>
        <v>0</v>
      </c>
      <c r="AV244" s="491" t="e">
        <f t="shared" si="64"/>
        <v>#DIV/0!</v>
      </c>
      <c r="AW244" t="e">
        <f t="shared" si="65"/>
        <v>#DIV/0!</v>
      </c>
      <c r="AX244" s="17">
        <f t="shared" si="66"/>
        <v>0</v>
      </c>
      <c r="AY244" s="30" t="e">
        <f t="shared" si="67"/>
        <v>#DIV/0!</v>
      </c>
      <c r="AZ244" s="17" t="str">
        <f t="shared" si="68"/>
        <v>NA</v>
      </c>
      <c r="BA244" s="491" t="str">
        <f t="shared" si="69"/>
        <v>NA</v>
      </c>
      <c r="BB244">
        <f t="shared" si="70"/>
        <v>0</v>
      </c>
    </row>
    <row r="245" spans="45:54">
      <c r="AS245">
        <f>'Trade Log'!BT245</f>
        <v>0</v>
      </c>
      <c r="AT245">
        <f t="shared" si="62"/>
        <v>0</v>
      </c>
      <c r="AU245">
        <f t="shared" si="63"/>
        <v>0</v>
      </c>
      <c r="AV245" s="491" t="e">
        <f t="shared" si="64"/>
        <v>#DIV/0!</v>
      </c>
      <c r="AW245" t="e">
        <f t="shared" si="65"/>
        <v>#DIV/0!</v>
      </c>
      <c r="AX245" s="17">
        <f t="shared" si="66"/>
        <v>0</v>
      </c>
      <c r="AY245" s="30" t="e">
        <f t="shared" si="67"/>
        <v>#DIV/0!</v>
      </c>
      <c r="AZ245" s="17" t="str">
        <f t="shared" si="68"/>
        <v>NA</v>
      </c>
      <c r="BA245" s="491" t="str">
        <f t="shared" si="69"/>
        <v>NA</v>
      </c>
      <c r="BB245">
        <f t="shared" si="70"/>
        <v>0</v>
      </c>
    </row>
    <row r="246" spans="45:54">
      <c r="AS246">
        <f>'Trade Log'!BT246</f>
        <v>0</v>
      </c>
      <c r="AT246">
        <f t="shared" si="62"/>
        <v>0</v>
      </c>
      <c r="AU246">
        <f t="shared" si="63"/>
        <v>0</v>
      </c>
      <c r="AV246" s="491" t="e">
        <f t="shared" si="64"/>
        <v>#DIV/0!</v>
      </c>
      <c r="AW246" t="e">
        <f t="shared" si="65"/>
        <v>#DIV/0!</v>
      </c>
      <c r="AX246" s="17">
        <f t="shared" si="66"/>
        <v>0</v>
      </c>
      <c r="AY246" s="30" t="e">
        <f t="shared" si="67"/>
        <v>#DIV/0!</v>
      </c>
      <c r="AZ246" s="17" t="str">
        <f t="shared" si="68"/>
        <v>NA</v>
      </c>
      <c r="BA246" s="491" t="str">
        <f t="shared" si="69"/>
        <v>NA</v>
      </c>
      <c r="BB246">
        <f t="shared" si="70"/>
        <v>0</v>
      </c>
    </row>
    <row r="247" spans="45:54">
      <c r="AS247">
        <f>'Trade Log'!BT247</f>
        <v>0</v>
      </c>
      <c r="AT247">
        <f t="shared" si="62"/>
        <v>0</v>
      </c>
      <c r="AU247">
        <f t="shared" si="63"/>
        <v>0</v>
      </c>
      <c r="AV247" s="491" t="e">
        <f t="shared" si="64"/>
        <v>#DIV/0!</v>
      </c>
      <c r="AW247" t="e">
        <f t="shared" si="65"/>
        <v>#DIV/0!</v>
      </c>
      <c r="AX247" s="17">
        <f t="shared" si="66"/>
        <v>0</v>
      </c>
      <c r="AY247" s="30" t="e">
        <f t="shared" si="67"/>
        <v>#DIV/0!</v>
      </c>
      <c r="AZ247" s="17" t="str">
        <f t="shared" si="68"/>
        <v>NA</v>
      </c>
      <c r="BA247" s="491" t="str">
        <f t="shared" si="69"/>
        <v>NA</v>
      </c>
      <c r="BB247">
        <f t="shared" si="70"/>
        <v>0</v>
      </c>
    </row>
    <row r="248" spans="45:54">
      <c r="AS248">
        <f>'Trade Log'!BT248</f>
        <v>0</v>
      </c>
      <c r="AT248">
        <f t="shared" si="62"/>
        <v>0</v>
      </c>
      <c r="AU248">
        <f t="shared" si="63"/>
        <v>0</v>
      </c>
      <c r="AV248" s="491" t="e">
        <f t="shared" si="64"/>
        <v>#DIV/0!</v>
      </c>
      <c r="AW248" t="e">
        <f t="shared" si="65"/>
        <v>#DIV/0!</v>
      </c>
      <c r="AX248" s="17">
        <f t="shared" si="66"/>
        <v>0</v>
      </c>
      <c r="AY248" s="30" t="e">
        <f t="shared" si="67"/>
        <v>#DIV/0!</v>
      </c>
      <c r="AZ248" s="17" t="str">
        <f t="shared" si="68"/>
        <v>NA</v>
      </c>
      <c r="BA248" s="491" t="str">
        <f t="shared" si="69"/>
        <v>NA</v>
      </c>
      <c r="BB248">
        <f t="shared" si="70"/>
        <v>0</v>
      </c>
    </row>
    <row r="249" spans="45:54">
      <c r="AS249">
        <f>'Trade Log'!BT249</f>
        <v>0</v>
      </c>
      <c r="AT249">
        <f t="shared" si="62"/>
        <v>0</v>
      </c>
      <c r="AU249">
        <f t="shared" si="63"/>
        <v>0</v>
      </c>
      <c r="AV249" s="491" t="e">
        <f t="shared" si="64"/>
        <v>#DIV/0!</v>
      </c>
      <c r="AW249" t="e">
        <f t="shared" si="65"/>
        <v>#DIV/0!</v>
      </c>
      <c r="AX249" s="17">
        <f t="shared" si="66"/>
        <v>0</v>
      </c>
      <c r="AY249" s="30" t="e">
        <f t="shared" si="67"/>
        <v>#DIV/0!</v>
      </c>
      <c r="AZ249" s="17" t="str">
        <f t="shared" si="68"/>
        <v>NA</v>
      </c>
      <c r="BA249" s="491" t="str">
        <f t="shared" si="69"/>
        <v>NA</v>
      </c>
      <c r="BB249">
        <f t="shared" si="70"/>
        <v>0</v>
      </c>
    </row>
    <row r="250" spans="45:54">
      <c r="AS250">
        <f>'Trade Log'!BT250</f>
        <v>0</v>
      </c>
      <c r="AT250">
        <f t="shared" si="62"/>
        <v>0</v>
      </c>
      <c r="AU250">
        <f t="shared" si="63"/>
        <v>0</v>
      </c>
      <c r="AV250" s="491" t="e">
        <f t="shared" si="64"/>
        <v>#DIV/0!</v>
      </c>
      <c r="AW250" t="e">
        <f t="shared" si="65"/>
        <v>#DIV/0!</v>
      </c>
      <c r="AX250" s="17">
        <f t="shared" si="66"/>
        <v>0</v>
      </c>
      <c r="AY250" s="30" t="e">
        <f t="shared" si="67"/>
        <v>#DIV/0!</v>
      </c>
      <c r="AZ250" s="17" t="str">
        <f t="shared" si="68"/>
        <v>NA</v>
      </c>
      <c r="BA250" s="491" t="str">
        <f t="shared" si="69"/>
        <v>NA</v>
      </c>
      <c r="BB250">
        <f t="shared" si="70"/>
        <v>0</v>
      </c>
    </row>
    <row r="251" spans="45:54">
      <c r="AS251">
        <f>'Trade Log'!BT251</f>
        <v>0</v>
      </c>
      <c r="AT251">
        <f t="shared" si="62"/>
        <v>0</v>
      </c>
      <c r="AU251">
        <f t="shared" si="63"/>
        <v>0</v>
      </c>
      <c r="AV251" s="491" t="e">
        <f t="shared" si="64"/>
        <v>#DIV/0!</v>
      </c>
      <c r="AW251" t="e">
        <f t="shared" si="65"/>
        <v>#DIV/0!</v>
      </c>
      <c r="AX251" s="17">
        <f t="shared" si="66"/>
        <v>0</v>
      </c>
      <c r="AY251" s="30" t="e">
        <f t="shared" si="67"/>
        <v>#DIV/0!</v>
      </c>
      <c r="AZ251" s="17" t="str">
        <f t="shared" si="68"/>
        <v>NA</v>
      </c>
      <c r="BA251" s="491" t="str">
        <f t="shared" si="69"/>
        <v>NA</v>
      </c>
      <c r="BB251">
        <f t="shared" si="70"/>
        <v>0</v>
      </c>
    </row>
  </sheetData>
  <protectedRanges>
    <protectedRange sqref="BT18 BS18:BS51" name="Range1"/>
  </protectedRange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Dashboard">
    <tabColor theme="6"/>
    <pageSetUpPr fitToPage="1"/>
  </sheetPr>
  <dimension ref="A1:BD92"/>
  <sheetViews>
    <sheetView showGridLines="0" showRowColHeaders="0" tabSelected="1" zoomScaleNormal="100" workbookViewId="0">
      <pane ySplit="3" topLeftCell="A4" activePane="bottomLeft" state="frozen"/>
      <selection pane="bottomLeft" activeCell="O3" sqref="O3"/>
    </sheetView>
  </sheetViews>
  <sheetFormatPr defaultColWidth="0" defaultRowHeight="15"/>
  <cols>
    <col min="1" max="1" width="2.85546875" customWidth="1"/>
    <col min="2" max="2" width="18.28515625" customWidth="1"/>
    <col min="3" max="4" width="8.7109375" customWidth="1"/>
    <col min="5" max="5" width="12.5703125" customWidth="1"/>
    <col min="6" max="6" width="2.42578125" customWidth="1"/>
    <col min="7" max="7" width="12.85546875" customWidth="1"/>
    <col min="8" max="8" width="9.42578125" customWidth="1"/>
    <col min="9" max="9" width="18.28515625" customWidth="1"/>
    <col min="10" max="10" width="2.42578125" customWidth="1"/>
    <col min="11" max="11" width="18.28515625" customWidth="1"/>
    <col min="12" max="12" width="13.28515625" customWidth="1"/>
    <col min="13" max="13" width="10.28515625" customWidth="1"/>
    <col min="14" max="14" width="2.7109375" customWidth="1"/>
    <col min="15" max="17" width="12.28515625" customWidth="1"/>
    <col min="18" max="18" width="11.42578125" customWidth="1"/>
    <col min="19" max="19" width="1.28515625" customWidth="1"/>
    <col min="20" max="20" width="90.7109375" customWidth="1"/>
    <col min="21" max="21" width="15.5703125" hidden="1" customWidth="1"/>
    <col min="22" max="22" width="16.85546875" hidden="1" customWidth="1"/>
    <col min="23" max="23" width="11.140625" hidden="1" customWidth="1"/>
    <col min="24" max="24" width="9.85546875" hidden="1" customWidth="1"/>
    <col min="25" max="25" width="12.5703125" hidden="1" customWidth="1"/>
    <col min="26" max="26" width="9.85546875" hidden="1" customWidth="1"/>
    <col min="27" max="27" width="13.7109375" hidden="1" customWidth="1"/>
    <col min="28" max="28" width="6.28515625" hidden="1" customWidth="1"/>
    <col min="29" max="29" width="18.7109375" hidden="1" customWidth="1"/>
    <col min="30" max="30" width="3" hidden="1" customWidth="1"/>
    <col min="31" max="31" width="6.28515625" hidden="1" customWidth="1"/>
    <col min="32" max="32" width="18.7109375" hidden="1" customWidth="1"/>
    <col min="33" max="33" width="12.5703125" hidden="1" customWidth="1"/>
    <col min="34" max="34" width="18.140625" hidden="1" customWidth="1"/>
    <col min="35" max="35" width="9" hidden="1" customWidth="1"/>
    <col min="36" max="36" width="18.7109375" hidden="1" customWidth="1"/>
    <col min="37" max="37" width="4" hidden="1" customWidth="1"/>
    <col min="38" max="38" width="18.7109375" hidden="1" customWidth="1"/>
    <col min="39" max="56" width="6.28515625" hidden="1" customWidth="1"/>
    <col min="57" max="16384" width="11.140625" hidden="1"/>
  </cols>
  <sheetData>
    <row r="1" spans="1:40" ht="24.95" customHeight="1">
      <c r="A1" s="268"/>
      <c r="B1" s="269"/>
      <c r="C1" s="270"/>
      <c r="D1" s="271"/>
      <c r="E1" s="272"/>
      <c r="F1" s="273" t="s">
        <v>66</v>
      </c>
      <c r="G1" s="274"/>
      <c r="H1" s="274"/>
      <c r="I1" s="274"/>
      <c r="J1" s="275"/>
      <c r="K1" s="276"/>
      <c r="L1" s="276"/>
      <c r="M1" s="277"/>
      <c r="N1" s="277" t="s">
        <v>66</v>
      </c>
      <c r="O1" s="278" t="s">
        <v>66</v>
      </c>
      <c r="P1" s="278" t="s">
        <v>66</v>
      </c>
      <c r="Q1" s="279" t="str">
        <f>HOME!S3</f>
        <v>STJ-Ver.10</v>
      </c>
      <c r="R1" s="274" t="s">
        <v>66</v>
      </c>
      <c r="S1" s="157" t="s">
        <v>66</v>
      </c>
      <c r="T1" s="157"/>
      <c r="Y1" s="755" t="s">
        <v>653</v>
      </c>
      <c r="Z1" s="763"/>
      <c r="AA1" s="764">
        <f>1-I33</f>
        <v>0.5714285714285714</v>
      </c>
      <c r="AC1" s="886">
        <f ca="1">'Bank Transfers'!J6</f>
        <v>120000</v>
      </c>
      <c r="AD1" s="886"/>
      <c r="AE1" s="886"/>
      <c r="AF1" s="886">
        <f>'Bank Transfers'!J8+'Bank Transfers'!J9</f>
        <v>44486.534849999967</v>
      </c>
      <c r="AG1" s="886"/>
      <c r="AH1" s="887">
        <f ca="1">'Bank Transfers'!J7</f>
        <v>0</v>
      </c>
      <c r="AI1" s="887"/>
      <c r="AJ1" s="888">
        <f ca="1">'Bank Transfers'!J10</f>
        <v>164486.53484999997</v>
      </c>
      <c r="AK1" s="888"/>
      <c r="AL1" s="888">
        <f>'Trade Log'!F10</f>
        <v>118120.15635</v>
      </c>
      <c r="AM1" s="883"/>
      <c r="AN1" s="883"/>
    </row>
    <row r="2" spans="1:40" ht="27" customHeight="1">
      <c r="A2" s="277"/>
      <c r="B2" s="872" t="str">
        <f>"              "&amp;'Trade Log'!F3</f>
        <v xml:space="preserve">              Rocketsheets</v>
      </c>
      <c r="C2" s="280"/>
      <c r="D2" s="280"/>
      <c r="E2" s="882"/>
      <c r="F2" s="882"/>
      <c r="G2" s="882"/>
      <c r="H2" s="882"/>
      <c r="I2" s="882"/>
      <c r="J2" s="882"/>
      <c r="K2" s="882"/>
      <c r="L2" s="882"/>
      <c r="M2" s="882"/>
      <c r="N2" s="882"/>
      <c r="O2" s="157"/>
      <c r="P2" s="157"/>
      <c r="Q2" s="278"/>
      <c r="R2" s="274"/>
      <c r="S2" s="157"/>
      <c r="T2" s="157"/>
      <c r="W2" t="str">
        <f>Settings!T3</f>
        <v>Php</v>
      </c>
    </row>
    <row r="3" spans="1:40" ht="18.75" customHeight="1">
      <c r="A3" s="281"/>
      <c r="B3" s="1028" t="s">
        <v>437</v>
      </c>
      <c r="C3" s="1028"/>
      <c r="D3" s="1028"/>
      <c r="E3" s="992" t="s">
        <v>674</v>
      </c>
      <c r="F3" s="992"/>
      <c r="G3" s="992" t="s">
        <v>675</v>
      </c>
      <c r="H3" s="993"/>
      <c r="I3" s="992"/>
      <c r="J3" s="994" t="s">
        <v>676</v>
      </c>
      <c r="K3" s="995"/>
      <c r="L3" s="992" t="s">
        <v>677</v>
      </c>
      <c r="M3" s="992"/>
      <c r="N3" s="992" t="s">
        <v>678</v>
      </c>
      <c r="O3" s="992"/>
      <c r="P3" s="837"/>
      <c r="Q3" s="281"/>
      <c r="R3" s="281"/>
      <c r="S3" s="157"/>
      <c r="T3" s="157"/>
    </row>
    <row r="4" spans="1:40" ht="24" customHeight="1">
      <c r="A4" s="58"/>
      <c r="B4" s="206"/>
      <c r="C4" s="288"/>
      <c r="D4" s="288"/>
      <c r="E4" s="211"/>
      <c r="F4" s="206"/>
      <c r="G4" s="206"/>
      <c r="H4" s="206"/>
      <c r="I4" s="230"/>
      <c r="J4" s="218"/>
      <c r="K4" s="230"/>
      <c r="L4" s="206"/>
      <c r="M4" s="206"/>
      <c r="N4" s="206"/>
      <c r="O4" s="206"/>
      <c r="P4" s="206"/>
      <c r="Q4" s="206"/>
      <c r="R4" s="206"/>
      <c r="S4" s="289"/>
      <c r="T4" s="894"/>
      <c r="W4">
        <f>COUNT(S2O)</f>
        <v>0</v>
      </c>
    </row>
    <row r="5" spans="1:40">
      <c r="A5" s="206"/>
      <c r="B5" s="341" t="s">
        <v>139</v>
      </c>
      <c r="C5" s="203"/>
      <c r="D5" s="203"/>
      <c r="E5" s="203"/>
      <c r="F5" s="206"/>
      <c r="G5" s="341" t="s">
        <v>138</v>
      </c>
      <c r="H5" s="204"/>
      <c r="I5" s="204"/>
      <c r="J5" s="1038"/>
      <c r="K5" s="1038"/>
      <c r="L5" s="205"/>
      <c r="M5" s="206"/>
      <c r="N5" s="206"/>
      <c r="O5" s="341" t="s">
        <v>140</v>
      </c>
      <c r="P5" s="204"/>
      <c r="Q5" s="204"/>
      <c r="R5" s="213"/>
      <c r="S5" s="289"/>
      <c r="T5" s="57"/>
    </row>
    <row r="6" spans="1:40">
      <c r="A6" s="206"/>
      <c r="B6" s="751" t="s">
        <v>73</v>
      </c>
      <c r="C6" s="1030">
        <f>'Monthly Report'!G21+'Monthly Report'!I21</f>
        <v>56981.900049999982</v>
      </c>
      <c r="D6" s="1030"/>
      <c r="E6" s="263">
        <f ca="1">'Bank Transfers'!F6</f>
        <v>0.42855750041666651</v>
      </c>
      <c r="F6" s="206"/>
      <c r="G6" s="206"/>
      <c r="H6" s="206"/>
      <c r="I6" s="206"/>
      <c r="J6" s="206"/>
      <c r="K6" s="206"/>
      <c r="L6" s="206"/>
      <c r="M6" s="206"/>
      <c r="N6" s="206"/>
      <c r="O6" s="1033"/>
      <c r="P6" s="1033"/>
      <c r="Q6" s="1033"/>
      <c r="R6" s="1033"/>
      <c r="S6" s="289"/>
      <c r="T6" s="57"/>
    </row>
    <row r="7" spans="1:40">
      <c r="A7" s="206"/>
      <c r="B7" s="751" t="s">
        <v>74</v>
      </c>
      <c r="C7" s="1031">
        <f>'Monthly Report'!H21</f>
        <v>-12495.365200000015</v>
      </c>
      <c r="D7" s="1031"/>
      <c r="E7" s="265">
        <f ca="1">'Bank Transfers'!F7</f>
        <v>-0.10412804333333346</v>
      </c>
      <c r="F7" s="206"/>
      <c r="G7" s="206"/>
      <c r="H7" s="206"/>
      <c r="I7" s="206"/>
      <c r="J7" s="206"/>
      <c r="K7" s="206"/>
      <c r="L7" s="206"/>
      <c r="M7" s="206"/>
      <c r="N7" s="206"/>
      <c r="O7" s="1032"/>
      <c r="P7" s="1032"/>
      <c r="Q7" s="1032"/>
      <c r="R7" s="1032"/>
      <c r="S7" s="289"/>
      <c r="T7" s="57"/>
      <c r="V7" t="s">
        <v>228</v>
      </c>
      <c r="W7" s="32">
        <f>'Monthly Report'!W3</f>
        <v>43038</v>
      </c>
    </row>
    <row r="8" spans="1:40">
      <c r="A8" s="206"/>
      <c r="B8" s="751" t="s">
        <v>389</v>
      </c>
      <c r="C8" s="1035">
        <f>C6+C7</f>
        <v>44486.534849999967</v>
      </c>
      <c r="D8" s="1035"/>
      <c r="E8" s="264">
        <f ca="1">IFERROR('Bank Transfers'!F9,"")</f>
        <v>0.37072112374999971</v>
      </c>
      <c r="F8" s="206"/>
      <c r="G8" s="206"/>
      <c r="H8" s="206"/>
      <c r="I8" s="206"/>
      <c r="J8" s="206"/>
      <c r="K8" s="206"/>
      <c r="L8" s="206"/>
      <c r="M8" s="206"/>
      <c r="N8" s="206"/>
      <c r="O8" s="1032"/>
      <c r="P8" s="1032"/>
      <c r="Q8" s="1032"/>
      <c r="R8" s="1032"/>
      <c r="S8" s="289"/>
      <c r="T8" s="57"/>
      <c r="U8">
        <f>AB13</f>
        <v>0</v>
      </c>
      <c r="V8">
        <f>Z13</f>
        <v>144486.53484999997</v>
      </c>
      <c r="W8" s="32">
        <f>IF(WEEKDAY(W7)=7,W7+7,W7+(7-WEEKDAY(W7)))</f>
        <v>43043</v>
      </c>
    </row>
    <row r="9" spans="1:40">
      <c r="A9" s="206"/>
      <c r="B9" s="206"/>
      <c r="C9" s="206"/>
      <c r="D9" s="206"/>
      <c r="E9" s="206"/>
      <c r="F9" s="206"/>
      <c r="G9" s="206"/>
      <c r="H9" s="206"/>
      <c r="I9" s="206"/>
      <c r="J9" s="206"/>
      <c r="K9" s="206"/>
      <c r="L9" s="206"/>
      <c r="M9" s="206"/>
      <c r="N9" s="206"/>
      <c r="O9" s="1032"/>
      <c r="P9" s="1032"/>
      <c r="Q9" s="1032"/>
      <c r="R9" s="1032"/>
      <c r="S9" s="289"/>
      <c r="T9" s="57"/>
      <c r="U9">
        <f>AB14</f>
        <v>0</v>
      </c>
      <c r="V9">
        <f>Z14</f>
        <v>144486.53484999997</v>
      </c>
      <c r="W9" s="32">
        <f>'Monthly Report'!W3-W6</f>
        <v>43038</v>
      </c>
    </row>
    <row r="10" spans="1:40">
      <c r="A10" s="206"/>
      <c r="B10" s="206"/>
      <c r="C10" s="206"/>
      <c r="D10" s="206"/>
      <c r="E10" s="206"/>
      <c r="F10" s="206"/>
      <c r="G10" s="206"/>
      <c r="H10" s="206"/>
      <c r="I10" s="206"/>
      <c r="J10" s="206"/>
      <c r="K10" s="206"/>
      <c r="L10" s="206"/>
      <c r="M10" s="206"/>
      <c r="N10" s="206"/>
      <c r="O10" s="1032"/>
      <c r="P10" s="1032"/>
      <c r="Q10" s="1032"/>
      <c r="R10" s="1032"/>
      <c r="S10" s="289"/>
      <c r="T10" s="57"/>
    </row>
    <row r="11" spans="1:40">
      <c r="A11" s="206"/>
      <c r="B11" s="341" t="s">
        <v>642</v>
      </c>
      <c r="C11" s="207"/>
      <c r="D11" s="207"/>
      <c r="E11" s="987" t="s">
        <v>218</v>
      </c>
      <c r="F11" s="206"/>
      <c r="G11" s="206"/>
      <c r="H11" s="206"/>
      <c r="I11" s="206"/>
      <c r="J11" s="206"/>
      <c r="K11" s="206"/>
      <c r="L11" s="206"/>
      <c r="M11" s="206"/>
      <c r="N11" s="206"/>
      <c r="O11" s="1032"/>
      <c r="P11" s="1032"/>
      <c r="Q11" s="1032"/>
      <c r="R11" s="1032"/>
      <c r="S11" s="289"/>
      <c r="T11" s="57"/>
      <c r="W11" t="s">
        <v>104</v>
      </c>
      <c r="X11" t="s">
        <v>105</v>
      </c>
      <c r="Z11" t="s">
        <v>70</v>
      </c>
      <c r="AA11" t="s">
        <v>36</v>
      </c>
      <c r="AB11" t="s">
        <v>630</v>
      </c>
    </row>
    <row r="12" spans="1:40" ht="15" customHeight="1">
      <c r="A12" s="206"/>
      <c r="B12" s="751" t="str">
        <f>'Stock Position'!D15</f>
        <v>PXP</v>
      </c>
      <c r="C12" s="1034">
        <f>'Stock Position'!E15</f>
        <v>22728.11774999999</v>
      </c>
      <c r="D12" s="1034"/>
      <c r="E12" s="266">
        <f>C12</f>
        <v>22728.11774999999</v>
      </c>
      <c r="F12" s="206"/>
      <c r="G12" s="206"/>
      <c r="H12" s="206"/>
      <c r="I12" s="206"/>
      <c r="J12" s="206"/>
      <c r="K12" s="206"/>
      <c r="L12" s="206"/>
      <c r="M12" s="206"/>
      <c r="N12" s="206"/>
      <c r="O12" s="1032"/>
      <c r="P12" s="1032"/>
      <c r="Q12" s="1032"/>
      <c r="R12" s="1032"/>
      <c r="S12" s="289"/>
      <c r="T12" s="57"/>
      <c r="W12" s="32">
        <f>W13+7</f>
        <v>43043</v>
      </c>
      <c r="X12" s="32"/>
    </row>
    <row r="13" spans="1:40" ht="15" customHeight="1">
      <c r="A13" s="206"/>
      <c r="B13" s="751" t="str">
        <f>'Stock Position'!D16</f>
        <v>APX</v>
      </c>
      <c r="C13" s="1034">
        <f>'Stock Position'!E16</f>
        <v>7448.7155000000021</v>
      </c>
      <c r="D13" s="1034"/>
      <c r="E13" s="266">
        <f t="shared" ref="E13:E14" si="0">C13</f>
        <v>7448.7155000000021</v>
      </c>
      <c r="F13" s="206"/>
      <c r="G13" s="206"/>
      <c r="H13" s="206"/>
      <c r="I13" s="206"/>
      <c r="J13" s="206"/>
      <c r="K13" s="206"/>
      <c r="L13" s="206"/>
      <c r="M13" s="206"/>
      <c r="N13" s="206"/>
      <c r="O13" s="286">
        <f>'Stock Position'!BF5</f>
        <v>9</v>
      </c>
      <c r="P13" s="214">
        <f>'Stock Position'!BF6</f>
        <v>12</v>
      </c>
      <c r="Q13" s="285">
        <f>'Stock Position'!BI5</f>
        <v>5714.1000055555533</v>
      </c>
      <c r="R13" s="215">
        <f>'Stock Position'!BI6</f>
        <v>1041.2804333333345</v>
      </c>
      <c r="S13" s="289"/>
      <c r="T13" s="57"/>
      <c r="U13" t="s">
        <v>227</v>
      </c>
      <c r="V13">
        <f>IFERROR((U8)/V8,0)</f>
        <v>0</v>
      </c>
      <c r="W13" s="32">
        <f>W8-7</f>
        <v>43036</v>
      </c>
      <c r="X13" s="32">
        <f>(W13+7)-1</f>
        <v>43042</v>
      </c>
      <c r="Z13">
        <f>AA13-(AB13)</f>
        <v>144486.53484999997</v>
      </c>
      <c r="AA13">
        <f>'Monthly Report'!E21+'Monthly Report'!M21</f>
        <v>144486.53484999997</v>
      </c>
      <c r="AB13">
        <f t="shared" ref="AB13:AB25" si="1">SUMIFS(profitLoss,dateLog,"&gt;="&amp;W13,dateLog,"&lt;"&amp;W12)</f>
        <v>0</v>
      </c>
    </row>
    <row r="14" spans="1:40" ht="15" customHeight="1">
      <c r="A14" s="206"/>
      <c r="B14" s="751" t="str">
        <f>'Stock Position'!D17</f>
        <v>MAC</v>
      </c>
      <c r="C14" s="1034">
        <f>'Stock Position'!E17</f>
        <v>5899.5693000000028</v>
      </c>
      <c r="D14" s="1034"/>
      <c r="E14" s="266">
        <f t="shared" si="0"/>
        <v>5899.5693000000028</v>
      </c>
      <c r="F14" s="206"/>
      <c r="G14" s="206"/>
      <c r="H14" s="206"/>
      <c r="I14" s="206"/>
      <c r="J14" s="206"/>
      <c r="K14" s="206"/>
      <c r="L14" s="206"/>
      <c r="M14" s="206"/>
      <c r="N14" s="206"/>
      <c r="O14" s="988" t="s">
        <v>127</v>
      </c>
      <c r="P14" s="988" t="s">
        <v>128</v>
      </c>
      <c r="Q14" s="989" t="s">
        <v>154</v>
      </c>
      <c r="R14" s="989" t="s">
        <v>129</v>
      </c>
      <c r="S14" s="289"/>
      <c r="T14" s="57"/>
      <c r="U14" t="s">
        <v>226</v>
      </c>
      <c r="V14">
        <f>IFERROR((U9)/V9,"")</f>
        <v>0</v>
      </c>
      <c r="W14" s="32">
        <f>W13-7</f>
        <v>43029</v>
      </c>
      <c r="X14" s="32">
        <f>(W14+7)-1</f>
        <v>43035</v>
      </c>
      <c r="Z14">
        <f t="shared" ref="Z14:Z25" si="2">AA14-(AB14)</f>
        <v>144486.53484999997</v>
      </c>
      <c r="AA14">
        <f t="shared" ref="AA14:AA25" si="3">Z13</f>
        <v>144486.53484999997</v>
      </c>
      <c r="AB14">
        <f t="shared" si="1"/>
        <v>0</v>
      </c>
    </row>
    <row r="15" spans="1:40" ht="15" customHeight="1">
      <c r="A15" s="206"/>
      <c r="B15" s="751" t="str">
        <f>'Stock Position'!M15</f>
        <v>CHP</v>
      </c>
      <c r="C15" s="1034">
        <f>'Stock Position'!N15</f>
        <v>-1874.8869499999964</v>
      </c>
      <c r="D15" s="1034"/>
      <c r="E15" s="267">
        <f t="shared" ref="E15:E17" si="4">C15</f>
        <v>-1874.8869499999964</v>
      </c>
      <c r="F15" s="206"/>
      <c r="G15" s="206"/>
      <c r="H15" s="206"/>
      <c r="I15" s="206"/>
      <c r="J15" s="206"/>
      <c r="K15" s="206"/>
      <c r="L15" s="206"/>
      <c r="M15" s="206"/>
      <c r="N15" s="206"/>
      <c r="O15" s="287">
        <f>I38</f>
        <v>0.15476162265178506</v>
      </c>
      <c r="P15" s="216">
        <f>I39</f>
        <v>-2.5614718385150431E-2</v>
      </c>
      <c r="Q15" s="749">
        <f>'Stock Position'!BF7</f>
        <v>0.75</v>
      </c>
      <c r="R15" s="749">
        <f>'Stock Position'!BI7</f>
        <v>5.4875707087509982</v>
      </c>
      <c r="S15" s="289"/>
      <c r="T15" s="57"/>
      <c r="U15">
        <v>1</v>
      </c>
      <c r="W15" s="32">
        <f t="shared" ref="W15:W25" si="5">W14-7</f>
        <v>43022</v>
      </c>
      <c r="X15" s="32">
        <f t="shared" ref="X15" si="6">(W15+7)-1</f>
        <v>43028</v>
      </c>
      <c r="Z15">
        <f t="shared" si="2"/>
        <v>144486.53484999997</v>
      </c>
      <c r="AA15">
        <f t="shared" si="3"/>
        <v>144486.53484999997</v>
      </c>
      <c r="AB15">
        <f t="shared" si="1"/>
        <v>0</v>
      </c>
    </row>
    <row r="16" spans="1:40" ht="15" customHeight="1">
      <c r="A16" s="206"/>
      <c r="B16" s="751" t="str">
        <f>'Stock Position'!M16</f>
        <v>MRP</v>
      </c>
      <c r="C16" s="1034">
        <f>'Stock Position'!N16</f>
        <v>-1012.9002000000037</v>
      </c>
      <c r="D16" s="1034"/>
      <c r="E16" s="267">
        <f t="shared" si="4"/>
        <v>-1012.9002000000037</v>
      </c>
      <c r="F16" s="206"/>
      <c r="G16" s="206"/>
      <c r="H16" s="206"/>
      <c r="I16" s="206"/>
      <c r="J16" s="206"/>
      <c r="K16" s="206"/>
      <c r="L16" s="206"/>
      <c r="M16" s="206"/>
      <c r="N16" s="206"/>
      <c r="O16" s="990" t="s">
        <v>643</v>
      </c>
      <c r="P16" s="990" t="s">
        <v>644</v>
      </c>
      <c r="Q16" s="989" t="s">
        <v>163</v>
      </c>
      <c r="R16" s="989" t="s">
        <v>645</v>
      </c>
      <c r="S16" s="289"/>
      <c r="T16" s="57"/>
      <c r="U16" t="s">
        <v>78</v>
      </c>
      <c r="W16" s="32">
        <f t="shared" si="5"/>
        <v>43015</v>
      </c>
      <c r="X16" s="32">
        <f t="shared" ref="X16:X25" si="7">(W16+7)-1</f>
        <v>43021</v>
      </c>
      <c r="Z16">
        <f t="shared" si="2"/>
        <v>144486.53484999997</v>
      </c>
      <c r="AA16">
        <f t="shared" si="3"/>
        <v>144486.53484999997</v>
      </c>
      <c r="AB16">
        <f t="shared" si="1"/>
        <v>0</v>
      </c>
    </row>
    <row r="17" spans="1:29" ht="15" customHeight="1">
      <c r="A17" s="206"/>
      <c r="B17" s="751" t="str">
        <f>'Stock Position'!M17</f>
        <v>EW</v>
      </c>
      <c r="C17" s="1034">
        <f>'Stock Position'!N17</f>
        <v>-903.31150000000343</v>
      </c>
      <c r="D17" s="1034"/>
      <c r="E17" s="267">
        <f t="shared" si="4"/>
        <v>-903.31150000000343</v>
      </c>
      <c r="F17" s="206"/>
      <c r="G17" s="206"/>
      <c r="H17" s="208"/>
      <c r="I17" s="206"/>
      <c r="J17" s="206"/>
      <c r="K17" s="206"/>
      <c r="L17" s="206"/>
      <c r="M17" s="209"/>
      <c r="N17" s="206"/>
      <c r="O17" s="991" t="s">
        <v>76</v>
      </c>
      <c r="P17" s="338">
        <f>IFERROR(V18/V19,0)</f>
        <v>4.1156780315632489</v>
      </c>
      <c r="Q17" s="991" t="s">
        <v>146</v>
      </c>
      <c r="R17" s="893">
        <f>V18-V19</f>
        <v>1853.8826119047603</v>
      </c>
      <c r="S17" s="289"/>
      <c r="T17" s="57"/>
      <c r="U17" t="s">
        <v>77</v>
      </c>
      <c r="W17" s="32">
        <f t="shared" si="5"/>
        <v>43008</v>
      </c>
      <c r="X17" s="32">
        <f t="shared" si="7"/>
        <v>43014</v>
      </c>
      <c r="Z17">
        <f t="shared" si="2"/>
        <v>148029.50914999997</v>
      </c>
      <c r="AA17">
        <f t="shared" si="3"/>
        <v>144486.53484999997</v>
      </c>
      <c r="AB17">
        <f t="shared" si="1"/>
        <v>-3542.9743000000017</v>
      </c>
    </row>
    <row r="18" spans="1:29" ht="6" customHeight="1">
      <c r="A18" s="206"/>
      <c r="B18" s="210"/>
      <c r="C18" s="206"/>
      <c r="D18" s="206"/>
      <c r="E18" s="211"/>
      <c r="F18" s="206"/>
      <c r="G18" s="212"/>
      <c r="H18" s="212"/>
      <c r="I18" s="212"/>
      <c r="J18" s="212"/>
      <c r="K18" s="212"/>
      <c r="L18" s="212"/>
      <c r="M18" s="212"/>
      <c r="N18" s="206"/>
      <c r="O18" s="206"/>
      <c r="P18" s="206"/>
      <c r="Q18" s="206"/>
      <c r="R18" s="206"/>
      <c r="S18" s="289"/>
      <c r="T18" s="57"/>
      <c r="V18">
        <f>I33*Q13</f>
        <v>2448.9000023809513</v>
      </c>
      <c r="W18" s="32">
        <f t="shared" si="5"/>
        <v>43001</v>
      </c>
      <c r="X18" s="32">
        <f t="shared" si="7"/>
        <v>43007</v>
      </c>
      <c r="Z18">
        <f t="shared" si="2"/>
        <v>105658.81694999998</v>
      </c>
      <c r="AA18">
        <f t="shared" si="3"/>
        <v>148029.50914999997</v>
      </c>
      <c r="AB18">
        <f t="shared" si="1"/>
        <v>42370.69219999999</v>
      </c>
    </row>
    <row r="19" spans="1:29" ht="24" customHeight="1">
      <c r="A19" s="206"/>
      <c r="B19" s="206"/>
      <c r="C19" s="206"/>
      <c r="D19" s="206"/>
      <c r="E19" s="206"/>
      <c r="F19" s="206"/>
      <c r="G19" s="212"/>
      <c r="H19" s="212"/>
      <c r="I19" s="217"/>
      <c r="J19" s="218" t="s">
        <v>253</v>
      </c>
      <c r="K19" s="217"/>
      <c r="L19" s="219"/>
      <c r="M19" s="212"/>
      <c r="N19" s="206"/>
      <c r="O19" s="206"/>
      <c r="P19" s="206"/>
      <c r="Q19" s="206"/>
      <c r="R19" s="206"/>
      <c r="S19" s="289"/>
      <c r="T19" s="57"/>
      <c r="V19">
        <f>AA1*R13</f>
        <v>595.01739047619105</v>
      </c>
      <c r="W19" s="32">
        <f t="shared" si="5"/>
        <v>42994</v>
      </c>
      <c r="X19" s="32">
        <f t="shared" si="7"/>
        <v>43000</v>
      </c>
      <c r="Z19">
        <f t="shared" si="2"/>
        <v>106671.71714999998</v>
      </c>
      <c r="AA19">
        <f t="shared" si="3"/>
        <v>105658.81694999998</v>
      </c>
      <c r="AB19">
        <f t="shared" si="1"/>
        <v>-1012.9002000000037</v>
      </c>
    </row>
    <row r="20" spans="1:29" ht="25.5" customHeight="1">
      <c r="A20" s="206"/>
      <c r="B20" s="341" t="s">
        <v>137</v>
      </c>
      <c r="C20" s="203"/>
      <c r="D20" s="203"/>
      <c r="E20" s="786" t="s">
        <v>211</v>
      </c>
      <c r="F20" s="206"/>
      <c r="G20" s="341" t="s">
        <v>194</v>
      </c>
      <c r="H20" s="212"/>
      <c r="I20" s="221"/>
      <c r="J20" s="212"/>
      <c r="K20" s="222"/>
      <c r="L20" s="223" t="s">
        <v>394</v>
      </c>
      <c r="M20" s="785">
        <f>IFERROR('Trade Log'!AT8,0)</f>
        <v>0.38777954437982298</v>
      </c>
      <c r="N20" s="206"/>
      <c r="O20" s="341" t="s">
        <v>142</v>
      </c>
      <c r="P20" s="206"/>
      <c r="Q20" s="206"/>
      <c r="R20" s="206"/>
      <c r="S20" s="289"/>
      <c r="T20" s="57"/>
      <c r="W20" s="32">
        <f t="shared" si="5"/>
        <v>42987</v>
      </c>
      <c r="X20" s="32">
        <f t="shared" si="7"/>
        <v>42993</v>
      </c>
      <c r="Z20">
        <f t="shared" si="2"/>
        <v>105563.94264999998</v>
      </c>
      <c r="AA20">
        <f t="shared" si="3"/>
        <v>106671.71714999998</v>
      </c>
      <c r="AB20">
        <f t="shared" si="1"/>
        <v>1107.7744999999923</v>
      </c>
    </row>
    <row r="21" spans="1:29" ht="15.95" customHeight="1">
      <c r="A21" s="206"/>
      <c r="B21" s="779" t="s">
        <v>134</v>
      </c>
      <c r="C21" s="1036">
        <f>'Stock Position'!AJ4</f>
        <v>2012.0256999999983</v>
      </c>
      <c r="D21" s="1036"/>
      <c r="E21" s="789">
        <f>'Stock Position'!AL4</f>
        <v>1.4122004785303016E-2</v>
      </c>
      <c r="F21" s="206"/>
      <c r="G21" s="212"/>
      <c r="H21" s="212"/>
      <c r="I21" s="212"/>
      <c r="J21" s="212"/>
      <c r="K21" s="212"/>
      <c r="L21" s="212"/>
      <c r="M21" s="212"/>
      <c r="N21" s="206"/>
      <c r="O21" s="871" t="s">
        <v>80</v>
      </c>
      <c r="P21" s="1041">
        <f>U8</f>
        <v>0</v>
      </c>
      <c r="Q21" s="1041"/>
      <c r="R21" s="224">
        <f>V13</f>
        <v>0</v>
      </c>
      <c r="S21" s="289"/>
      <c r="T21" s="57"/>
      <c r="W21" s="32">
        <f t="shared" si="5"/>
        <v>42980</v>
      </c>
      <c r="X21" s="32">
        <f t="shared" si="7"/>
        <v>42986</v>
      </c>
      <c r="Z21">
        <f t="shared" si="2"/>
        <v>105554.99999999999</v>
      </c>
      <c r="AA21">
        <f t="shared" si="3"/>
        <v>105563.94264999998</v>
      </c>
      <c r="AB21">
        <f t="shared" si="1"/>
        <v>8.9426499999935913</v>
      </c>
    </row>
    <row r="22" spans="1:29" ht="17.100000000000001" customHeight="1">
      <c r="A22" s="206"/>
      <c r="B22" s="752" t="s">
        <v>130</v>
      </c>
      <c r="C22" s="1030">
        <f>'Stock Position'!AJ5</f>
        <v>0</v>
      </c>
      <c r="D22" s="1030"/>
      <c r="E22" s="263">
        <f>'Stock Position'!AL5</f>
        <v>0</v>
      </c>
      <c r="F22" s="206"/>
      <c r="G22" s="212"/>
      <c r="H22" s="212"/>
      <c r="I22" s="212"/>
      <c r="J22" s="212"/>
      <c r="K22" s="212"/>
      <c r="L22" s="212"/>
      <c r="M22" s="212"/>
      <c r="N22" s="206"/>
      <c r="O22" s="871" t="s">
        <v>162</v>
      </c>
      <c r="P22" s="1041">
        <f>U9</f>
        <v>0</v>
      </c>
      <c r="Q22" s="1041"/>
      <c r="R22" s="224">
        <f>V14</f>
        <v>0</v>
      </c>
      <c r="S22" s="289"/>
      <c r="T22" s="57"/>
      <c r="W22" s="32">
        <f t="shared" si="5"/>
        <v>42973</v>
      </c>
      <c r="X22" s="32">
        <f t="shared" si="7"/>
        <v>42979</v>
      </c>
      <c r="Z22">
        <f t="shared" si="2"/>
        <v>105554.99999999999</v>
      </c>
      <c r="AA22">
        <f t="shared" si="3"/>
        <v>105554.99999999999</v>
      </c>
      <c r="AB22">
        <f t="shared" si="1"/>
        <v>0</v>
      </c>
    </row>
    <row r="23" spans="1:29" ht="17.100000000000001" customHeight="1">
      <c r="A23" s="206"/>
      <c r="B23" s="755" t="s">
        <v>131</v>
      </c>
      <c r="C23" s="1036">
        <f>'Stock Position'!AJ6</f>
        <v>0</v>
      </c>
      <c r="D23" s="1036"/>
      <c r="E23" s="789">
        <f>'Stock Position'!AL6</f>
        <v>0</v>
      </c>
      <c r="F23" s="206"/>
      <c r="G23" s="212"/>
      <c r="H23" s="212"/>
      <c r="I23" s="212"/>
      <c r="J23" s="212"/>
      <c r="K23" s="212"/>
      <c r="L23" s="212"/>
      <c r="M23" s="212"/>
      <c r="N23" s="206"/>
      <c r="O23" s="206"/>
      <c r="P23" s="206"/>
      <c r="Q23" s="206"/>
      <c r="R23" s="206"/>
      <c r="S23" s="289"/>
      <c r="T23" s="57"/>
      <c r="W23" s="32">
        <f t="shared" si="5"/>
        <v>42966</v>
      </c>
      <c r="X23" s="32">
        <f t="shared" si="7"/>
        <v>42972</v>
      </c>
      <c r="Z23">
        <f t="shared" si="2"/>
        <v>105554.99999999999</v>
      </c>
      <c r="AA23">
        <f t="shared" si="3"/>
        <v>105554.99999999999</v>
      </c>
      <c r="AB23">
        <f t="shared" si="1"/>
        <v>0</v>
      </c>
    </row>
    <row r="24" spans="1:29" ht="17.100000000000001" customHeight="1">
      <c r="A24" s="206"/>
      <c r="B24" s="752" t="s">
        <v>132</v>
      </c>
      <c r="C24" s="1030">
        <f>'Stock Position'!AJ7</f>
        <v>42474.509149999969</v>
      </c>
      <c r="D24" s="1030"/>
      <c r="E24" s="263">
        <f>'Stock Position'!AL7</f>
        <v>0.42474509149999967</v>
      </c>
      <c r="F24" s="206"/>
      <c r="G24" s="212"/>
      <c r="H24" s="212"/>
      <c r="I24" s="212"/>
      <c r="J24" s="212"/>
      <c r="K24" s="212"/>
      <c r="L24" s="212"/>
      <c r="M24" s="212"/>
      <c r="N24" s="206"/>
      <c r="O24" s="206"/>
      <c r="P24" s="206"/>
      <c r="Q24" s="206"/>
      <c r="R24" s="206"/>
      <c r="S24" s="289"/>
      <c r="T24" s="57"/>
      <c r="W24" s="32">
        <f t="shared" si="5"/>
        <v>42959</v>
      </c>
      <c r="X24" s="32">
        <f t="shared" si="7"/>
        <v>42965</v>
      </c>
      <c r="Z24">
        <f t="shared" si="2"/>
        <v>105554.99999999999</v>
      </c>
      <c r="AA24">
        <f t="shared" si="3"/>
        <v>105554.99999999999</v>
      </c>
      <c r="AB24">
        <f t="shared" si="1"/>
        <v>0</v>
      </c>
    </row>
    <row r="25" spans="1:29" ht="17.100000000000001" customHeight="1">
      <c r="A25" s="206"/>
      <c r="B25" s="755" t="s">
        <v>133</v>
      </c>
      <c r="C25" s="1036">
        <f>'Stock Position'!AJ8</f>
        <v>-3542.9743000000017</v>
      </c>
      <c r="D25" s="1036"/>
      <c r="E25" s="789">
        <f>'Stock Position'!AL8</f>
        <v>-2.4867425907534716E-2</v>
      </c>
      <c r="F25" s="206"/>
      <c r="G25" s="212"/>
      <c r="H25" s="212"/>
      <c r="I25" s="212"/>
      <c r="J25" s="212"/>
      <c r="K25" s="212"/>
      <c r="L25" s="212"/>
      <c r="M25" s="212"/>
      <c r="N25" s="206"/>
      <c r="O25" s="206"/>
      <c r="P25" s="206"/>
      <c r="Q25" s="206"/>
      <c r="R25" s="206"/>
      <c r="S25" s="289"/>
      <c r="T25" s="57"/>
      <c r="U25" t="s">
        <v>529</v>
      </c>
      <c r="V25">
        <f>'Trade Log'!BK4</f>
        <v>21</v>
      </c>
      <c r="W25" s="32">
        <f t="shared" si="5"/>
        <v>42952</v>
      </c>
      <c r="X25" s="32">
        <f t="shared" si="7"/>
        <v>42958</v>
      </c>
      <c r="Z25">
        <f t="shared" si="2"/>
        <v>105554.99999999999</v>
      </c>
      <c r="AA25">
        <f t="shared" si="3"/>
        <v>105554.99999999999</v>
      </c>
      <c r="AB25">
        <f t="shared" si="1"/>
        <v>0</v>
      </c>
    </row>
    <row r="26" spans="1:29" ht="17.100000000000001" customHeight="1">
      <c r="A26" s="206"/>
      <c r="B26" s="751" t="s">
        <v>135</v>
      </c>
      <c r="C26" s="1030">
        <f>'Stock Position'!AJ9</f>
        <v>38931.534849999967</v>
      </c>
      <c r="D26" s="1030"/>
      <c r="E26" s="263">
        <f>'Stock Position'!AL9</f>
        <v>0.38931534849999966</v>
      </c>
      <c r="F26" s="206"/>
      <c r="G26" s="206"/>
      <c r="H26" s="206"/>
      <c r="I26" s="206"/>
      <c r="J26" s="206"/>
      <c r="K26" s="206"/>
      <c r="L26" s="206"/>
      <c r="M26" s="206"/>
      <c r="N26" s="206"/>
      <c r="O26" s="206"/>
      <c r="P26" s="206"/>
      <c r="Q26" s="206"/>
      <c r="R26" s="206"/>
      <c r="S26" s="289"/>
      <c r="T26" s="57"/>
      <c r="U26" t="s">
        <v>530</v>
      </c>
      <c r="V26">
        <f>'Trade Log'!BK5</f>
        <v>0</v>
      </c>
      <c r="AB26" s="39" t="s">
        <v>476</v>
      </c>
      <c r="AC26" s="40"/>
    </row>
    <row r="27" spans="1:29" ht="17.100000000000001" customHeight="1">
      <c r="A27" s="206"/>
      <c r="B27" s="779" t="s">
        <v>136</v>
      </c>
      <c r="C27" s="1036">
        <f>'Stock Position'!AJ10</f>
        <v>0</v>
      </c>
      <c r="D27" s="1036"/>
      <c r="E27" s="789">
        <f>'Stock Position'!AL10</f>
        <v>0</v>
      </c>
      <c r="F27" s="206"/>
      <c r="G27" s="206"/>
      <c r="H27" s="206"/>
      <c r="I27" s="206"/>
      <c r="J27" s="206"/>
      <c r="K27" s="206"/>
      <c r="L27" s="206"/>
      <c r="M27" s="206"/>
      <c r="N27" s="206"/>
      <c r="O27" s="225"/>
      <c r="P27" s="226"/>
      <c r="Q27" s="226"/>
      <c r="R27" s="227"/>
      <c r="S27" s="289"/>
      <c r="T27" s="57"/>
      <c r="U27" t="s">
        <v>201</v>
      </c>
      <c r="V27">
        <f>'Trade Log'!BJ4</f>
        <v>144490</v>
      </c>
      <c r="AB27" s="41" t="s">
        <v>195</v>
      </c>
      <c r="AC27" s="42">
        <f>IFERROR(MAX(AA13:AA25)*1.03,1)</f>
        <v>152470.39442449997</v>
      </c>
    </row>
    <row r="28" spans="1:29" ht="17.100000000000001" customHeight="1">
      <c r="A28" s="206"/>
      <c r="B28" s="947" t="str">
        <f>"   Report as of : "&amp;TEXT(Settings!AH1,"mm-dd-yyyy")</f>
        <v xml:space="preserve">   Report as of : 10-30-2017</v>
      </c>
      <c r="C28" s="897"/>
      <c r="D28" s="897"/>
      <c r="E28" s="289"/>
      <c r="F28" s="206"/>
      <c r="G28" s="206"/>
      <c r="H28" s="206"/>
      <c r="I28" s="206"/>
      <c r="J28" s="206"/>
      <c r="K28" s="206"/>
      <c r="L28" s="206"/>
      <c r="M28" s="229" t="str">
        <f>Settings!Q7&amp;" trades"</f>
        <v>100 trades</v>
      </c>
      <c r="N28" s="206"/>
      <c r="O28" s="225"/>
      <c r="P28" s="226"/>
      <c r="Q28" s="226"/>
      <c r="R28" s="227"/>
      <c r="S28" s="289"/>
      <c r="T28" s="57"/>
      <c r="U28" t="s">
        <v>202</v>
      </c>
      <c r="V28">
        <f>'Trade Log'!BJ5</f>
        <v>99250</v>
      </c>
      <c r="AB28" s="43" t="s">
        <v>196</v>
      </c>
      <c r="AC28" s="44">
        <f>IFERROR(MIN(AA13:AA25)*0.97,0)</f>
        <v>102388.34999999998</v>
      </c>
    </row>
    <row r="29" spans="1:29" ht="15.95" customHeight="1">
      <c r="A29" s="206"/>
      <c r="B29" s="225"/>
      <c r="C29" s="226"/>
      <c r="D29" s="226"/>
      <c r="E29" s="227"/>
      <c r="F29" s="206"/>
      <c r="G29" s="206"/>
      <c r="H29" s="206"/>
      <c r="I29" s="206"/>
      <c r="J29" s="228"/>
      <c r="K29" s="206"/>
      <c r="L29" s="206"/>
      <c r="M29" s="158"/>
      <c r="N29" s="206"/>
      <c r="O29" s="225"/>
      <c r="P29" s="226"/>
      <c r="Q29" s="226"/>
      <c r="R29" s="227"/>
      <c r="S29" s="289"/>
      <c r="T29" s="57"/>
      <c r="X29" s="753" t="s">
        <v>155</v>
      </c>
      <c r="Y29" s="765">
        <f>IFERROR((SUMIF(INDEX('Trade Log'!$AN:$AN, W32):INDEX('Trade Log'!$AN:$AN, W33), "2", INDEX('Trade Log'!$AL:$AL, W32):INDEX('Trade Log'!$AL:$AL, W33)) / V35),0)</f>
        <v>5714.1000055555533</v>
      </c>
    </row>
    <row r="30" spans="1:29" ht="15.75" customHeight="1">
      <c r="A30" s="206"/>
      <c r="B30" s="206"/>
      <c r="C30" s="206"/>
      <c r="D30" s="206"/>
      <c r="E30" s="211"/>
      <c r="F30" s="206"/>
      <c r="G30" s="206"/>
      <c r="H30" s="206"/>
      <c r="I30" s="230"/>
      <c r="J30" s="218"/>
      <c r="K30" s="230"/>
      <c r="L30" s="230"/>
      <c r="M30" s="206"/>
      <c r="N30" s="206"/>
      <c r="O30" s="206"/>
      <c r="P30" s="206"/>
      <c r="Q30" s="206"/>
      <c r="R30" s="206"/>
      <c r="S30" s="289"/>
      <c r="T30" s="57"/>
      <c r="U30">
        <f>I38</f>
        <v>0.15476162265178506</v>
      </c>
      <c r="V30" s="10" t="str">
        <f>Settings!T9</f>
        <v>Per Tranche</v>
      </c>
      <c r="X30" s="753" t="s">
        <v>153</v>
      </c>
      <c r="Y30" s="766">
        <f>IFERROR((SUMIF(INDEX('Trade Log'!$AN:$AN, W32):INDEX('Trade Log'!$AN:$AN, W33), "1", INDEX('Trade Log'!$AL:$AL, W32):INDEX('Trade Log'!$AL:$AL, W33)) / V36),0)</f>
        <v>-1041.2804333333345</v>
      </c>
    </row>
    <row r="31" spans="1:29">
      <c r="A31" s="206"/>
      <c r="B31" s="1037" t="s">
        <v>191</v>
      </c>
      <c r="C31" s="1037"/>
      <c r="D31" s="1037"/>
      <c r="E31" s="1037"/>
      <c r="F31" s="206"/>
      <c r="G31" s="341" t="s">
        <v>665</v>
      </c>
      <c r="H31" s="206"/>
      <c r="I31" s="774"/>
      <c r="J31" s="231"/>
      <c r="K31" s="774"/>
      <c r="L31" s="232"/>
      <c r="M31" s="233"/>
      <c r="N31" s="206"/>
      <c r="O31" s="341" t="s">
        <v>710</v>
      </c>
      <c r="P31" s="289"/>
      <c r="Q31" s="1042" t="s">
        <v>706</v>
      </c>
      <c r="R31" s="1042"/>
      <c r="S31" s="289"/>
      <c r="T31" s="57"/>
      <c r="U31">
        <f>I39</f>
        <v>-2.5614718385150431E-2</v>
      </c>
      <c r="V31">
        <f>Settings!T10</f>
        <v>50</v>
      </c>
    </row>
    <row r="32" spans="1:29" ht="15" customHeight="1">
      <c r="A32" s="206"/>
      <c r="B32" s="753" t="s">
        <v>410</v>
      </c>
      <c r="C32" s="1025">
        <f>'Trade Log'!BD6</f>
        <v>-3898.1946000000171</v>
      </c>
      <c r="D32" s="1025"/>
      <c r="E32" s="282">
        <f>'Trade Log'!BD7</f>
        <v>-2.8170380171546636E-2</v>
      </c>
      <c r="F32" s="206"/>
      <c r="G32" s="751" t="s">
        <v>668</v>
      </c>
      <c r="H32" s="319"/>
      <c r="I32" s="776" t="s">
        <v>667</v>
      </c>
      <c r="J32" s="777"/>
      <c r="K32" s="777" t="str">
        <f>"     Last "&amp;V31&amp;" Trades"</f>
        <v xml:space="preserve">     Last 50 Trades</v>
      </c>
      <c r="L32" s="777" t="s">
        <v>666</v>
      </c>
      <c r="M32" s="777" t="s">
        <v>669</v>
      </c>
      <c r="N32" s="773"/>
      <c r="O32" s="1043" t="str">
        <f>"With "&amp;Q31&amp;" stats of "&amp;TEXT(V49,"0.00")&amp;", trade a setup with atleast "&amp;TEXT(V50,"0.0%")&amp;" Winrate% to breakeven and "&amp;TEXT(V51,"0.0%")&amp;" Winrate% to gain twice the risk."</f>
        <v>With Reward to Risk Ratio stats of 6.04, trade a setup with atleast 14.2% Winrate% to breakeven and 24.9% Winrate% to gain twice the risk.</v>
      </c>
      <c r="P32" s="1043"/>
      <c r="Q32" s="1043"/>
      <c r="R32" s="1043"/>
      <c r="S32" s="289"/>
      <c r="T32" s="57"/>
      <c r="U32">
        <f>V35/(V35+V36)</f>
        <v>0.42857142857142855</v>
      </c>
      <c r="V32">
        <f>'Trade Log'!AV3</f>
        <v>1</v>
      </c>
      <c r="W32">
        <f>V32+14</f>
        <v>15</v>
      </c>
      <c r="X32">
        <f>SUMIFS('Trade Log'!AC15:AC20100,stats,2)</f>
        <v>44.859674263309302</v>
      </c>
    </row>
    <row r="33" spans="1:56" ht="15" customHeight="1">
      <c r="A33" s="206"/>
      <c r="B33" s="755" t="s">
        <v>252</v>
      </c>
      <c r="C33" s="1026">
        <f>'Trade Log'!BD9</f>
        <v>38275.380499999999</v>
      </c>
      <c r="D33" s="1026"/>
      <c r="E33" s="787">
        <f>'Trade Log'!BC9</f>
        <v>5</v>
      </c>
      <c r="F33" s="206"/>
      <c r="G33" s="755" t="s">
        <v>652</v>
      </c>
      <c r="H33" s="760"/>
      <c r="I33" s="761">
        <f>'Stock Position'!BF8</f>
        <v>0.42857142857142855</v>
      </c>
      <c r="J33" s="762"/>
      <c r="K33" s="780">
        <f>IFERROR(U32,"")</f>
        <v>0.42857142857142855</v>
      </c>
      <c r="L33" s="781">
        <f t="shared" ref="L33:L43" si="8">IFERROR(((K33-I33)/ABS(I33)),"")</f>
        <v>0</v>
      </c>
      <c r="M33" s="782">
        <f>IFERROR((K33-I33)/I33,"")</f>
        <v>0</v>
      </c>
      <c r="N33" s="206"/>
      <c r="O33" s="1043"/>
      <c r="P33" s="1043"/>
      <c r="Q33" s="1043"/>
      <c r="R33" s="1043"/>
      <c r="S33" s="289"/>
      <c r="T33" s="57"/>
      <c r="U33">
        <f>1-U32</f>
        <v>0.5714285714285714</v>
      </c>
      <c r="V33">
        <f>calc!BV12</f>
        <v>47</v>
      </c>
      <c r="W33">
        <f>V33+14</f>
        <v>61</v>
      </c>
      <c r="X33">
        <f>-SUMIFS('Trade Log'!AC15:AC20100,stats,1)</f>
        <v>9.678997908640973</v>
      </c>
      <c r="Y33">
        <f>X33/P13</f>
        <v>0.80658315905341438</v>
      </c>
    </row>
    <row r="34" spans="1:56" ht="15" customHeight="1">
      <c r="A34" s="206"/>
      <c r="B34" s="753" t="s">
        <v>251</v>
      </c>
      <c r="C34" s="1025">
        <f>'Trade Log'!BD8</f>
        <v>-3761.5124999999971</v>
      </c>
      <c r="D34" s="1025"/>
      <c r="E34" s="235">
        <f>-'Trade Log'!BC8</f>
        <v>3</v>
      </c>
      <c r="F34" s="206"/>
      <c r="G34" s="752" t="s">
        <v>96</v>
      </c>
      <c r="H34" s="398"/>
      <c r="I34" s="898">
        <f>MAX(profitLoss)</f>
        <v>15067.68</v>
      </c>
      <c r="J34" s="899"/>
      <c r="K34" s="900">
        <f>IFERROR(MAX(INDEX('Trade Log'!$AI:$AI, W32):INDEX('Trade Log'!$AI:$AI, W33)),0)</f>
        <v>15067.68</v>
      </c>
      <c r="L34" s="775">
        <f t="shared" si="8"/>
        <v>0</v>
      </c>
      <c r="M34" s="778">
        <f>IFERROR((K34-I34)/I34,"")</f>
        <v>0</v>
      </c>
      <c r="N34" s="206"/>
      <c r="O34" s="1043"/>
      <c r="P34" s="1044"/>
      <c r="Q34" s="1044"/>
      <c r="R34" s="1043"/>
      <c r="S34" s="289"/>
      <c r="T34" s="57"/>
    </row>
    <row r="35" spans="1:56" ht="15" customHeight="1">
      <c r="A35" s="206"/>
      <c r="B35" s="788" t="s">
        <v>411</v>
      </c>
      <c r="C35" s="1026">
        <f>IFERROR('Trade Log'!BC11,0)</f>
        <v>38275.380499999999</v>
      </c>
      <c r="D35" s="1026"/>
      <c r="E35" s="787">
        <f>IFERROR('Trade Log'!BD11,0)</f>
        <v>5</v>
      </c>
      <c r="F35" s="206"/>
      <c r="G35" s="755" t="s">
        <v>97</v>
      </c>
      <c r="H35" s="877"/>
      <c r="I35" s="901">
        <f>MIN(profitLoss)</f>
        <v>-3189.9150000000009</v>
      </c>
      <c r="J35" s="902"/>
      <c r="K35" s="903">
        <f>IFERROR(MIN(INDEX('Trade Log'!$AI:$AI, W32):INDEX('Trade Log'!$AI:$AI, W33)),0)</f>
        <v>-3189.9150000000009</v>
      </c>
      <c r="L35" s="781">
        <f t="shared" si="8"/>
        <v>0</v>
      </c>
      <c r="M35" s="782">
        <f>IFERROR(-(K35-I35)/I35,"")</f>
        <v>0</v>
      </c>
      <c r="N35" s="206"/>
      <c r="O35" s="289"/>
      <c r="P35" s="398"/>
      <c r="Q35" s="880"/>
      <c r="R35" s="289"/>
      <c r="S35" s="289"/>
      <c r="T35" s="57"/>
      <c r="V35">
        <f>COUNTIF(INDEX('Trade Log'!$AN:$AN, W32):INDEX('Trade Log'!$AN:$AN, W33), 2)</f>
        <v>9</v>
      </c>
    </row>
    <row r="36" spans="1:56" ht="15" customHeight="1">
      <c r="A36" s="206"/>
      <c r="B36" s="753" t="s">
        <v>412</v>
      </c>
      <c r="C36" s="1027">
        <f>IFERROR('Trade Log'!BC10,0)</f>
        <v>-3898.1946000000025</v>
      </c>
      <c r="D36" s="1027"/>
      <c r="E36" s="948">
        <f>IFERROR(-'Trade Log'!BD10,0)</f>
        <v>2</v>
      </c>
      <c r="F36" s="206"/>
      <c r="G36" s="752" t="s">
        <v>94</v>
      </c>
      <c r="H36" s="878"/>
      <c r="I36" s="884">
        <f>MAX('Trade Log'!$AT$15:$AT$26022)</f>
        <v>0.45525336620605578</v>
      </c>
      <c r="J36" s="289"/>
      <c r="K36" s="283">
        <f>IFERROR(MAX(INDEX('Trade Log'!$AT:$AT, W32):INDEX('Trade Log'!$AT:$AT, W33)), 0)</f>
        <v>0.45525336620605578</v>
      </c>
      <c r="L36" s="775">
        <f t="shared" si="8"/>
        <v>0</v>
      </c>
      <c r="M36" s="778">
        <f>IFERROR((K36-I36)/I36,"")</f>
        <v>0</v>
      </c>
      <c r="N36" s="206"/>
      <c r="O36" s="341" t="s">
        <v>141</v>
      </c>
      <c r="P36" s="398"/>
      <c r="Q36" s="398"/>
      <c r="R36" s="494"/>
      <c r="S36" s="289"/>
      <c r="T36" s="57"/>
      <c r="V36">
        <f>COUNTIF(INDEX('Trade Log'!$AN:$AN, W32):INDEX('Trade Log'!$AN:$AN, W33), "1")</f>
        <v>12</v>
      </c>
      <c r="Z36" s="873"/>
      <c r="AB36">
        <f>SUM(AB37:AB44)</f>
        <v>18</v>
      </c>
      <c r="AC36">
        <f>SUM(AC37:AC44)</f>
        <v>18</v>
      </c>
    </row>
    <row r="37" spans="1:56" ht="15" customHeight="1">
      <c r="A37" s="206"/>
      <c r="B37" s="792"/>
      <c r="C37" s="792"/>
      <c r="D37" s="793"/>
      <c r="E37" s="794"/>
      <c r="F37" s="206"/>
      <c r="G37" s="755" t="s">
        <v>95</v>
      </c>
      <c r="H37" s="879"/>
      <c r="I37" s="764">
        <f>MIN('Trade Log'!$AT$15:$AT$26022)</f>
        <v>-7.3623435864200629E-2</v>
      </c>
      <c r="J37" s="158"/>
      <c r="K37" s="783">
        <f>IFERROR(MIN(INDEX('Trade Log'!$AT:$AT, W32):INDEX('Trade Log'!$AT:$AT, W33)), 0)</f>
        <v>-7.3623435864200629E-2</v>
      </c>
      <c r="L37" s="781">
        <f t="shared" si="8"/>
        <v>0</v>
      </c>
      <c r="M37" s="782">
        <f>IFERROR(-(K37-I37)/I37,"")</f>
        <v>0</v>
      </c>
      <c r="N37" s="206"/>
      <c r="O37" s="788" t="s">
        <v>121</v>
      </c>
      <c r="P37" s="881"/>
      <c r="Q37" s="881"/>
      <c r="R37" s="842">
        <f>IF(U43&lt;0,0,U43)</f>
        <v>0.32</v>
      </c>
      <c r="S37" s="289"/>
      <c r="T37" s="57"/>
      <c r="V37">
        <f>SUMIFS('Trade Log'!$AB$15:$AB$20100,stats,2,dateLog,"&gt;0",'Trade Log'!$Q15:$Q20100,0)</f>
        <v>54</v>
      </c>
      <c r="Z37" s="873"/>
      <c r="AB37">
        <f>IFERROR(ABS(P48/calc!BT19),0)</f>
        <v>3</v>
      </c>
      <c r="AC37">
        <f>IFERROR(ABS(R48/calc!BT34),0)</f>
        <v>3</v>
      </c>
    </row>
    <row r="38" spans="1:56" ht="15" customHeight="1">
      <c r="A38" s="206"/>
      <c r="B38" s="721" t="s">
        <v>655</v>
      </c>
      <c r="C38" s="238"/>
      <c r="D38" s="238"/>
      <c r="E38" s="220" t="s">
        <v>221</v>
      </c>
      <c r="F38" s="206"/>
      <c r="G38" s="752" t="s">
        <v>203</v>
      </c>
      <c r="H38" s="234"/>
      <c r="I38" s="754">
        <f>IFERROR('Stock Position'!BF10,0)</f>
        <v>0.15476162265178506</v>
      </c>
      <c r="J38" s="289"/>
      <c r="K38" s="283">
        <f>IFERROR(SUMIF(INDEX('Trade Log'!$AN:$AN, W32):INDEX('Trade Log'!$AN:$AN, W33), "2", INDEX('Trade Log'!$AT:$AT, W32):INDEX('Trade Log'!$AT:$AT, W33)) / V35, 0)</f>
        <v>0.15476162265178506</v>
      </c>
      <c r="L38" s="775">
        <f t="shared" si="8"/>
        <v>0</v>
      </c>
      <c r="M38" s="778">
        <f>IFERROR((K38-I38)/I38,"")</f>
        <v>0</v>
      </c>
      <c r="N38" s="206"/>
      <c r="O38" s="753" t="s">
        <v>122</v>
      </c>
      <c r="P38" s="237"/>
      <c r="Q38" s="1039">
        <f>IFERROR('Trade Log'!F4*R37,0)</f>
        <v>45591.842927999998</v>
      </c>
      <c r="R38" s="1040"/>
      <c r="S38" s="289"/>
      <c r="T38" s="57"/>
      <c r="V38">
        <f>SUMIFS('Trade Log'!$AB$15:$AB$20100,stats,1,dateLog,"&gt;0",'Trade Log'!$Q15:$Q20100,0)</f>
        <v>14</v>
      </c>
      <c r="AB38">
        <f>IFERROR(ABS(P49/calc!BT20),0)</f>
        <v>2</v>
      </c>
      <c r="AC38">
        <f>IFERROR(ABS(R49/calc!BT35),0)</f>
        <v>3</v>
      </c>
      <c r="BC38" t="s">
        <v>195</v>
      </c>
      <c r="BD38">
        <f>ROUND(MAX(calc!BV17:CO17)*1.2,0)</f>
        <v>12</v>
      </c>
    </row>
    <row r="39" spans="1:56" ht="15" customHeight="1">
      <c r="A39" s="206"/>
      <c r="B39" s="755" t="s">
        <v>219</v>
      </c>
      <c r="C39" s="158"/>
      <c r="D39" s="158"/>
      <c r="E39" s="795">
        <f>IFERROR((X32/O13),0)</f>
        <v>4.9844082514788113</v>
      </c>
      <c r="F39" s="206"/>
      <c r="G39" s="755" t="s">
        <v>204</v>
      </c>
      <c r="H39" s="758"/>
      <c r="I39" s="759">
        <f>IFERROR('Stock Position'!BF11,0)</f>
        <v>-2.5614718385150431E-2</v>
      </c>
      <c r="J39" s="158"/>
      <c r="K39" s="783">
        <f>IFERROR(SUMIF(INDEX('Trade Log'!$AN:$AN, W32):INDEX('Trade Log'!$AN:$AN, W33), "1", INDEX('Trade Log'!$AT:$AT, W32):INDEX('Trade Log'!$AT:$AT, W33)) / V36, 0)</f>
        <v>-2.5614718385150431E-2</v>
      </c>
      <c r="L39" s="781">
        <f t="shared" si="8"/>
        <v>0</v>
      </c>
      <c r="M39" s="782">
        <f>IFERROR(-(K39-I39)/I39,"")</f>
        <v>0</v>
      </c>
      <c r="N39" s="206"/>
      <c r="O39" s="841"/>
      <c r="P39" s="158"/>
      <c r="Q39" s="158"/>
      <c r="R39" s="158"/>
      <c r="S39" s="289"/>
      <c r="T39" s="57"/>
      <c r="U39">
        <f>SUMIFS('Trade Log'!$AR$15:$AR$20100,stats,2,dateLog,"&gt;0")</f>
        <v>2.8867691511724551</v>
      </c>
      <c r="V39">
        <f>SUMIFS('Trade Log'!$AB$15:$AB$20100,stats,"&gt;0",dateLog,"&gt;0",'Trade Log'!$Q15:$Q20100,0)</f>
        <v>68</v>
      </c>
      <c r="X39" s="52"/>
      <c r="AB39">
        <f>IFERROR(ABS(P50/calc!BT21),0)</f>
        <v>13</v>
      </c>
      <c r="AC39">
        <f>IFERROR(ABS(R50/calc!BT36),0)</f>
        <v>1</v>
      </c>
      <c r="BC39" t="s">
        <v>196</v>
      </c>
      <c r="BD39">
        <f>ROUND(MIN(calc!BV17:CO17)*0.8,0)</f>
        <v>3</v>
      </c>
    </row>
    <row r="40" spans="1:56" ht="15" customHeight="1">
      <c r="A40" s="206"/>
      <c r="B40" s="752" t="s">
        <v>220</v>
      </c>
      <c r="C40" s="289"/>
      <c r="D40" s="289"/>
      <c r="E40" s="790">
        <f>IFERROR((X33/P13),0)</f>
        <v>0.80658315905341438</v>
      </c>
      <c r="F40" s="206"/>
      <c r="G40" s="752" t="s">
        <v>706</v>
      </c>
      <c r="H40" s="239"/>
      <c r="I40" s="493">
        <f>IFERROR((I38)/-(I39),0)</f>
        <v>6.0419021722098929</v>
      </c>
      <c r="J40" s="236"/>
      <c r="K40" s="493">
        <f>IFERROR((K38)/-(K39),0)</f>
        <v>6.0419021722098929</v>
      </c>
      <c r="L40" s="775">
        <f t="shared" si="8"/>
        <v>0</v>
      </c>
      <c r="M40" s="778">
        <f>IFERROR((K40-I40)/I40,"")</f>
        <v>0</v>
      </c>
      <c r="N40" s="206"/>
      <c r="O40" s="341" t="s">
        <v>661</v>
      </c>
      <c r="P40" s="772"/>
      <c r="Q40" s="772"/>
      <c r="R40" s="772"/>
      <c r="S40" s="289"/>
      <c r="T40" s="57"/>
      <c r="U40">
        <f>SUMIFS('Trade Log'!$AR$15:$AR$20100,stats,1,dateLog,"&gt;0")</f>
        <v>3.8229431319425871</v>
      </c>
      <c r="W40" s="52"/>
      <c r="AB40">
        <f>IFERROR(ABS(P51/calc!BT22),0)</f>
        <v>0</v>
      </c>
      <c r="AC40">
        <f>IFERROR(ABS(R51/calc!BT37),0)</f>
        <v>1</v>
      </c>
    </row>
    <row r="41" spans="1:56" ht="15" customHeight="1">
      <c r="A41" s="206"/>
      <c r="B41" s="755" t="s">
        <v>658</v>
      </c>
      <c r="C41" s="158"/>
      <c r="D41" s="158"/>
      <c r="E41" s="784">
        <f>IFERROR((E39)/(E40),0)</f>
        <v>6.1796582231252968</v>
      </c>
      <c r="F41" s="206"/>
      <c r="G41" s="755" t="s">
        <v>707</v>
      </c>
      <c r="H41" s="756"/>
      <c r="I41" s="784">
        <f>IFERROR(Q13/R13,0)</f>
        <v>5.4875707087509982</v>
      </c>
      <c r="J41" s="757"/>
      <c r="K41" s="784">
        <f>IFERROR(Y29/-Y30,0)</f>
        <v>5.4875707087509982</v>
      </c>
      <c r="L41" s="781">
        <f t="shared" si="8"/>
        <v>0</v>
      </c>
      <c r="M41" s="782">
        <f>IFERROR((K41-I41)/I41,"")</f>
        <v>0</v>
      </c>
      <c r="N41" s="206"/>
      <c r="O41" s="158"/>
      <c r="P41" s="840" t="s">
        <v>659</v>
      </c>
      <c r="Q41" s="840" t="s">
        <v>662</v>
      </c>
      <c r="R41" s="840" t="s">
        <v>660</v>
      </c>
      <c r="S41" s="289"/>
      <c r="T41" s="57"/>
      <c r="U41">
        <f>SUMIFS('Trade Log'!$AR$15:$AR$20100,stats,"&gt;0",dateLog,"&gt;0")</f>
        <v>6.7097122831150413</v>
      </c>
      <c r="AB41">
        <f>IFERROR(ABS(P52/calc!BT23),0)</f>
        <v>0</v>
      </c>
      <c r="AC41">
        <f>IFERROR(ABS(R52/calc!BT38),0)</f>
        <v>10</v>
      </c>
    </row>
    <row r="42" spans="1:56" ht="15" customHeight="1">
      <c r="A42" s="206"/>
      <c r="B42" s="753" t="s">
        <v>657</v>
      </c>
      <c r="C42" s="289"/>
      <c r="D42" s="289"/>
      <c r="E42" s="791">
        <f>IFERROR((E39*I33)/(AA1*E40),0)</f>
        <v>4.6347436673439724</v>
      </c>
      <c r="F42" s="206"/>
      <c r="G42" s="752" t="s">
        <v>708</v>
      </c>
      <c r="H42" s="239"/>
      <c r="I42" s="770">
        <f>IFERROR(V18/V19,0)</f>
        <v>4.1156780315632489</v>
      </c>
      <c r="J42" s="771"/>
      <c r="K42" s="770">
        <f>IFERROR((Y29*U32)/-(Y30*U33),0)</f>
        <v>4.1156780315632489</v>
      </c>
      <c r="L42" s="775">
        <f t="shared" si="8"/>
        <v>0</v>
      </c>
      <c r="M42" s="778">
        <f>IFERROR((K42-I42)/I42,"")</f>
        <v>0</v>
      </c>
      <c r="N42" s="206"/>
      <c r="O42" s="752" t="s">
        <v>664</v>
      </c>
      <c r="P42" s="838">
        <f>IFERROR(V37/'Trade Log'!AT4,0)</f>
        <v>6</v>
      </c>
      <c r="Q42" s="838">
        <f>IFERROR(V38/'Trade Log'!AT3,0)</f>
        <v>1.1666666666666667</v>
      </c>
      <c r="R42" s="838">
        <f>IFERROR(V39/'Trade Log'!AT1,0)</f>
        <v>3.2380952380952381</v>
      </c>
      <c r="S42" s="289"/>
      <c r="T42" s="57"/>
      <c r="U42">
        <f>'Trade Log'!BK12</f>
        <v>0</v>
      </c>
      <c r="AB42">
        <f>IFERROR(ABS(P53/calc!BT24),0)</f>
        <v>0</v>
      </c>
      <c r="AC42">
        <f>IFERROR(ABS(R53/calc!BT39),0)</f>
        <v>0</v>
      </c>
    </row>
    <row r="43" spans="1:56" ht="15" customHeight="1">
      <c r="A43" s="206"/>
      <c r="B43" s="788" t="s">
        <v>656</v>
      </c>
      <c r="C43" s="796"/>
      <c r="D43" s="797"/>
      <c r="E43" s="795">
        <f>(E39*I33)-(AA1*E40)</f>
        <v>1.6752703026032538</v>
      </c>
      <c r="F43" s="206"/>
      <c r="G43" s="755" t="s">
        <v>654</v>
      </c>
      <c r="H43" s="756"/>
      <c r="I43" s="895">
        <f>IFERROR(V18-V19,0)</f>
        <v>1853.8826119047603</v>
      </c>
      <c r="J43" s="896"/>
      <c r="K43" s="895">
        <f>IFERROR((Y29*U32)-(-Y30*U33),0)</f>
        <v>1853.8826119047603</v>
      </c>
      <c r="L43" s="781">
        <f t="shared" si="8"/>
        <v>0</v>
      </c>
      <c r="M43" s="782">
        <f>IFERROR((K43-I43)/I43,"")</f>
        <v>0</v>
      </c>
      <c r="N43" s="206"/>
      <c r="O43" s="755" t="s">
        <v>663</v>
      </c>
      <c r="P43" s="839">
        <f>IFERROR(U39/O13,0)</f>
        <v>0.32075212790805058</v>
      </c>
      <c r="Q43" s="839">
        <f>IFERROR(U40/P13,0)</f>
        <v>0.3185785943285489</v>
      </c>
      <c r="R43" s="839">
        <f>IFERROR(U41/(O13+P13),0)</f>
        <v>0.31951010871976387</v>
      </c>
      <c r="S43" s="289"/>
      <c r="T43" s="57"/>
      <c r="U43">
        <f>IFERROR(ROUND(I33-((AA1)/(Q13/R13)),2),0)</f>
        <v>0.32</v>
      </c>
      <c r="V43">
        <f>2/(1+(E41/1))</f>
        <v>0.27856479206184309</v>
      </c>
      <c r="AB43">
        <f>IFERROR(ABS(P54/calc!BT25),0)</f>
        <v>0</v>
      </c>
      <c r="AC43">
        <f>IFERROR(ABS(R54/calc!BT40),0)</f>
        <v>0</v>
      </c>
    </row>
    <row r="44" spans="1:56" ht="15" customHeight="1">
      <c r="A44" s="206"/>
      <c r="B44" s="237"/>
      <c r="C44" s="240"/>
      <c r="D44" s="242"/>
      <c r="E44" s="243"/>
      <c r="F44" s="206"/>
      <c r="G44" s="244"/>
      <c r="H44" s="236"/>
      <c r="I44" s="245"/>
      <c r="J44" s="241"/>
      <c r="K44" s="237"/>
      <c r="L44" s="236"/>
      <c r="M44" s="246"/>
      <c r="N44" s="206"/>
      <c r="O44" s="289"/>
      <c r="P44" s="247"/>
      <c r="Q44" s="897"/>
      <c r="R44" s="289"/>
      <c r="S44" s="289"/>
      <c r="T44" s="57"/>
      <c r="X44" s="944">
        <f>Settings!Q3</f>
        <v>0.02</v>
      </c>
      <c r="AB44">
        <f>IFERROR(ABS(P55/calc!BT26),0)</f>
        <v>0</v>
      </c>
      <c r="AC44">
        <f>IFERROR(ABS(R55/calc!BT41),0)</f>
        <v>0</v>
      </c>
    </row>
    <row r="45" spans="1:56" ht="24" customHeight="1">
      <c r="A45" s="206"/>
      <c r="B45" s="206"/>
      <c r="C45" s="206"/>
      <c r="D45" s="206"/>
      <c r="E45" s="211"/>
      <c r="F45" s="206"/>
      <c r="G45" s="206"/>
      <c r="H45" s="206"/>
      <c r="I45" s="230"/>
      <c r="J45" s="218"/>
      <c r="K45" s="230"/>
      <c r="L45" s="206"/>
      <c r="M45" s="206"/>
      <c r="N45" s="206"/>
      <c r="O45" s="206"/>
      <c r="P45" s="206"/>
      <c r="Q45" s="206"/>
      <c r="R45" s="206"/>
      <c r="S45" s="289"/>
      <c r="T45" s="57"/>
      <c r="X45">
        <f>Y46</f>
        <v>0.19999999999999998</v>
      </c>
      <c r="Z45">
        <f>COUNTIFS(profitPercent,"&gt;="&amp;X45,stats,"&gt;0")</f>
        <v>4</v>
      </c>
      <c r="AA45" t="str">
        <f>TEXT(X45,"0%")&amp;" above"</f>
        <v>20% above</v>
      </c>
    </row>
    <row r="46" spans="1:56">
      <c r="A46" s="206"/>
      <c r="B46" s="341" t="s">
        <v>164</v>
      </c>
      <c r="C46" s="248"/>
      <c r="D46" s="220" t="s">
        <v>210</v>
      </c>
      <c r="E46" s="220" t="s">
        <v>217</v>
      </c>
      <c r="F46" s="206"/>
      <c r="G46" s="341" t="s">
        <v>207</v>
      </c>
      <c r="H46" s="206"/>
      <c r="I46" s="206"/>
      <c r="J46" s="206"/>
      <c r="K46" s="249"/>
      <c r="L46" s="230"/>
      <c r="M46" s="220" t="s">
        <v>216</v>
      </c>
      <c r="N46" s="206"/>
      <c r="O46" s="341" t="s">
        <v>152</v>
      </c>
      <c r="P46" s="250"/>
      <c r="Q46" s="251" t="s">
        <v>161</v>
      </c>
      <c r="R46" s="284">
        <f>calc!X12</f>
        <v>10</v>
      </c>
      <c r="S46" s="289"/>
      <c r="T46" s="57"/>
      <c r="X46">
        <f t="shared" ref="X46:X63" si="9">Y47</f>
        <v>0.18</v>
      </c>
      <c r="Y46">
        <f t="shared" ref="Y46:Y54" si="10">$X$44+Y47</f>
        <v>0.19999999999999998</v>
      </c>
      <c r="Z46">
        <f t="shared" ref="Z46:Z55" si="11">COUNTIFS(profitPercent,"&gt;="&amp;X46,profitPercent,"&lt;"&amp;Y46,stats,"&gt;0")</f>
        <v>0</v>
      </c>
      <c r="AA46" t="str">
        <f t="shared" ref="AA46:AA51" si="12">TEXT(X46,"0%")&amp;" to "&amp;TEXT(Y46,"0%")</f>
        <v>18% to 20%</v>
      </c>
    </row>
    <row r="47" spans="1:56">
      <c r="A47" s="206"/>
      <c r="B47" s="252" t="s">
        <v>430</v>
      </c>
      <c r="C47" s="253" t="s">
        <v>355</v>
      </c>
      <c r="D47" s="253" t="s">
        <v>429</v>
      </c>
      <c r="E47" s="253" t="s">
        <v>442</v>
      </c>
      <c r="F47" s="206"/>
      <c r="G47" s="206"/>
      <c r="H47" s="206"/>
      <c r="I47" s="206"/>
      <c r="J47" s="254"/>
      <c r="K47" s="206"/>
      <c r="L47" s="206"/>
      <c r="M47" s="206"/>
      <c r="N47" s="206"/>
      <c r="O47" s="253" t="str">
        <f>Settings!X13</f>
        <v xml:space="preserve">   ENTRY/EXIT</v>
      </c>
      <c r="P47" s="255" t="s">
        <v>168</v>
      </c>
      <c r="Q47" s="253" t="str">
        <f>Settings!Z13</f>
        <v xml:space="preserve">   EMOTION</v>
      </c>
      <c r="R47" s="255" t="s">
        <v>168</v>
      </c>
      <c r="S47" s="289"/>
      <c r="T47" s="57"/>
      <c r="U47" t="s">
        <v>209</v>
      </c>
      <c r="V47" t="s">
        <v>209</v>
      </c>
      <c r="X47">
        <f t="shared" si="9"/>
        <v>0.16</v>
      </c>
      <c r="Y47">
        <f t="shared" si="10"/>
        <v>0.18</v>
      </c>
      <c r="Z47">
        <f t="shared" si="11"/>
        <v>0</v>
      </c>
      <c r="AA47" t="str">
        <f t="shared" si="12"/>
        <v>16% to 18%</v>
      </c>
      <c r="AD47">
        <f>R46</f>
        <v>10</v>
      </c>
    </row>
    <row r="48" spans="1:56">
      <c r="A48" s="206"/>
      <c r="B48" s="767" t="s">
        <v>494</v>
      </c>
      <c r="C48" s="768">
        <f>calc!B35</f>
        <v>21</v>
      </c>
      <c r="D48" s="769">
        <f>IFERROR(calc!E35,"")</f>
        <v>0.42857142857142855</v>
      </c>
      <c r="E48" s="889">
        <f>calc!K35</f>
        <v>1853.8826119047603</v>
      </c>
      <c r="F48" s="206"/>
      <c r="G48" s="206"/>
      <c r="H48" s="206"/>
      <c r="I48" s="206"/>
      <c r="J48" s="206"/>
      <c r="K48" s="206"/>
      <c r="L48" s="206"/>
      <c r="M48" s="206"/>
      <c r="N48" s="206"/>
      <c r="O48" s="867" t="str">
        <f>calc!AD14</f>
        <v>BROKE RULES</v>
      </c>
      <c r="P48" s="798">
        <f>calc!AE14</f>
        <v>-3</v>
      </c>
      <c r="Q48" s="869" t="str">
        <f>calc!AJ14</f>
        <v>FEAR</v>
      </c>
      <c r="R48" s="798">
        <f>calc!AK14</f>
        <v>-3</v>
      </c>
      <c r="S48" s="289"/>
      <c r="T48" s="57"/>
      <c r="X48">
        <f t="shared" si="9"/>
        <v>0.14000000000000001</v>
      </c>
      <c r="Y48">
        <f t="shared" si="10"/>
        <v>0.16</v>
      </c>
      <c r="Z48">
        <f t="shared" si="11"/>
        <v>0</v>
      </c>
      <c r="AA48" t="str">
        <f t="shared" si="12"/>
        <v>14% to 16%</v>
      </c>
    </row>
    <row r="49" spans="1:28">
      <c r="A49" s="206"/>
      <c r="B49" s="753" t="str">
        <f>Settings!M34</f>
        <v>No setup</v>
      </c>
      <c r="C49" s="256">
        <f>calc!B34</f>
        <v>10</v>
      </c>
      <c r="D49" s="257">
        <f>IFERROR(calc!E34,"")</f>
        <v>0.2</v>
      </c>
      <c r="E49" s="890">
        <f>calc!K34</f>
        <v>1037.8541349999982</v>
      </c>
      <c r="F49" s="206"/>
      <c r="G49" s="206"/>
      <c r="H49" s="206"/>
      <c r="I49" s="206"/>
      <c r="J49" s="258"/>
      <c r="K49" s="206"/>
      <c r="L49" s="206"/>
      <c r="M49" s="206"/>
      <c r="N49" s="206"/>
      <c r="O49" s="868" t="str">
        <f>calc!AD15</f>
        <v>TOO EARLY</v>
      </c>
      <c r="P49" s="502">
        <f>calc!AE15</f>
        <v>-2</v>
      </c>
      <c r="Q49" s="870" t="str">
        <f>calc!AJ15</f>
        <v>FOMO</v>
      </c>
      <c r="R49" s="502">
        <f>calc!AK15</f>
        <v>-3</v>
      </c>
      <c r="S49" s="289"/>
      <c r="T49" s="57"/>
      <c r="U49" t="s">
        <v>709</v>
      </c>
      <c r="V49">
        <f>VLOOKUP(Q31,G40:I42,3,0)</f>
        <v>6.0419021722098929</v>
      </c>
      <c r="X49">
        <f t="shared" si="9"/>
        <v>0.12000000000000001</v>
      </c>
      <c r="Y49">
        <f t="shared" si="10"/>
        <v>0.14000000000000001</v>
      </c>
      <c r="Z49">
        <f t="shared" si="11"/>
        <v>1</v>
      </c>
      <c r="AA49" t="str">
        <f t="shared" si="12"/>
        <v>12% to 14%</v>
      </c>
    </row>
    <row r="50" spans="1:28">
      <c r="A50" s="206"/>
      <c r="B50" s="788" t="str">
        <f>calc!Q14</f>
        <v>Momentum</v>
      </c>
      <c r="C50" s="768">
        <f>calc!R14</f>
        <v>4</v>
      </c>
      <c r="D50" s="769">
        <f>calc!S14</f>
        <v>0.75</v>
      </c>
      <c r="E50" s="889">
        <f>calc!U14</f>
        <v>3924.6496374999988</v>
      </c>
      <c r="F50" s="206"/>
      <c r="G50" s="206"/>
      <c r="H50" s="206"/>
      <c r="I50" s="206"/>
      <c r="J50" s="258"/>
      <c r="K50" s="206"/>
      <c r="L50" s="206"/>
      <c r="M50" s="206"/>
      <c r="N50" s="206"/>
      <c r="O50" s="867" t="str">
        <f>calc!AD16</f>
        <v>AS PLANNED</v>
      </c>
      <c r="P50" s="798">
        <f>calc!AE16</f>
        <v>13</v>
      </c>
      <c r="Q50" s="869" t="str">
        <f>calc!AJ16</f>
        <v>GREED</v>
      </c>
      <c r="R50" s="798">
        <f>calc!AK16</f>
        <v>-1</v>
      </c>
      <c r="S50" s="289"/>
      <c r="T50" s="57"/>
      <c r="U50" t="s">
        <v>704</v>
      </c>
      <c r="V50" s="873">
        <f>1/(1+(V49/1))</f>
        <v>0.14200708495303899</v>
      </c>
      <c r="X50">
        <f t="shared" si="9"/>
        <v>0.1</v>
      </c>
      <c r="Y50">
        <f t="shared" si="10"/>
        <v>0.12000000000000001</v>
      </c>
      <c r="Z50">
        <f t="shared" si="11"/>
        <v>0</v>
      </c>
      <c r="AA50" t="str">
        <f t="shared" si="12"/>
        <v>10% to 12%</v>
      </c>
    </row>
    <row r="51" spans="1:28">
      <c r="A51" s="206"/>
      <c r="B51" s="753" t="str">
        <f>calc!Q15</f>
        <v>Bounce</v>
      </c>
      <c r="C51" s="256">
        <f>calc!R15</f>
        <v>2</v>
      </c>
      <c r="D51" s="257">
        <f>calc!S15</f>
        <v>0.5</v>
      </c>
      <c r="E51" s="890">
        <f>calc!U15</f>
        <v>3514.7595999999976</v>
      </c>
      <c r="F51" s="206"/>
      <c r="G51" s="206"/>
      <c r="H51" s="206"/>
      <c r="I51" s="206"/>
      <c r="J51" s="258"/>
      <c r="K51" s="206"/>
      <c r="L51" s="206"/>
      <c r="M51" s="206"/>
      <c r="N51" s="206"/>
      <c r="O51" s="868" t="str">
        <f>calc!AD17</f>
        <v/>
      </c>
      <c r="P51" s="502" t="str">
        <f>calc!AE17</f>
        <v/>
      </c>
      <c r="Q51" s="870" t="str">
        <f>calc!AJ17</f>
        <v>BORED</v>
      </c>
      <c r="R51" s="502">
        <f>calc!AK17</f>
        <v>-1</v>
      </c>
      <c r="S51" s="289"/>
      <c r="T51" s="57"/>
      <c r="U51" t="s">
        <v>705</v>
      </c>
      <c r="V51" s="873">
        <f>1/(1+(V49/2))</f>
        <v>0.24869737994467614</v>
      </c>
      <c r="X51">
        <f t="shared" si="9"/>
        <v>0.08</v>
      </c>
      <c r="Y51">
        <f t="shared" si="10"/>
        <v>0.1</v>
      </c>
      <c r="Z51">
        <f t="shared" si="11"/>
        <v>1</v>
      </c>
      <c r="AA51" t="str">
        <f t="shared" si="12"/>
        <v>8% to 10%</v>
      </c>
    </row>
    <row r="52" spans="1:28">
      <c r="A52" s="206"/>
      <c r="B52" s="788" t="str">
        <f>calc!Q16</f>
        <v>Swing Trade</v>
      </c>
      <c r="C52" s="768">
        <f>calc!R16</f>
        <v>1</v>
      </c>
      <c r="D52" s="769">
        <f>calc!S16</f>
        <v>1</v>
      </c>
      <c r="E52" s="889">
        <f>calc!U16</f>
        <v>2714.6079999999965</v>
      </c>
      <c r="F52" s="206"/>
      <c r="G52" s="259"/>
      <c r="H52" s="206"/>
      <c r="I52" s="206"/>
      <c r="J52" s="259"/>
      <c r="K52" s="206"/>
      <c r="L52" s="259"/>
      <c r="M52" s="206"/>
      <c r="N52" s="206"/>
      <c r="O52" s="867" t="str">
        <f>calc!AD18</f>
        <v/>
      </c>
      <c r="P52" s="798" t="str">
        <f>calc!AE18</f>
        <v/>
      </c>
      <c r="Q52" s="869" t="str">
        <f>calc!AJ18</f>
        <v>CONFIDENT</v>
      </c>
      <c r="R52" s="798">
        <f>calc!AK18</f>
        <v>10</v>
      </c>
      <c r="S52" s="289"/>
      <c r="T52" s="57"/>
      <c r="X52">
        <f t="shared" si="9"/>
        <v>0.06</v>
      </c>
      <c r="Y52">
        <f t="shared" si="10"/>
        <v>0.08</v>
      </c>
      <c r="Z52">
        <f t="shared" si="11"/>
        <v>0</v>
      </c>
      <c r="AA52" t="str">
        <f t="shared" ref="AA52:AA54" si="13">TEXT(X52,"0%")&amp;" to "&amp;TEXT(Y52,"0%")</f>
        <v>6% to 8%</v>
      </c>
    </row>
    <row r="53" spans="1:28">
      <c r="A53" s="206"/>
      <c r="B53" s="753" t="str">
        <f>calc!Q17</f>
        <v>Trend Follow</v>
      </c>
      <c r="C53" s="256">
        <f>calc!R17</f>
        <v>2</v>
      </c>
      <c r="D53" s="257">
        <f>calc!S17</f>
        <v>1</v>
      </c>
      <c r="E53" s="890">
        <f>calc!U17</f>
        <v>2492.5773499999959</v>
      </c>
      <c r="F53" s="206"/>
      <c r="G53" s="206"/>
      <c r="H53" s="206"/>
      <c r="I53" s="206"/>
      <c r="J53" s="206"/>
      <c r="K53" s="206"/>
      <c r="L53" s="206"/>
      <c r="M53" s="206"/>
      <c r="N53" s="206"/>
      <c r="O53" s="868" t="str">
        <f>calc!AD19</f>
        <v/>
      </c>
      <c r="P53" s="502" t="str">
        <f>calc!AE19</f>
        <v/>
      </c>
      <c r="Q53" s="870" t="str">
        <f>calc!AJ19</f>
        <v/>
      </c>
      <c r="R53" s="502" t="str">
        <f>calc!AK19</f>
        <v/>
      </c>
      <c r="S53" s="289"/>
      <c r="T53" s="57"/>
      <c r="X53">
        <f t="shared" si="9"/>
        <v>0.04</v>
      </c>
      <c r="Y53">
        <f t="shared" si="10"/>
        <v>0.06</v>
      </c>
      <c r="Z53">
        <f t="shared" si="11"/>
        <v>0</v>
      </c>
      <c r="AA53" t="str">
        <f t="shared" si="13"/>
        <v>4% to 6%</v>
      </c>
    </row>
    <row r="54" spans="1:28">
      <c r="A54" s="206"/>
      <c r="B54" s="788" t="str">
        <f>calc!Q18</f>
        <v>Bottom fishing</v>
      </c>
      <c r="C54" s="768">
        <f>calc!R18</f>
        <v>2</v>
      </c>
      <c r="D54" s="769">
        <f>calc!S18</f>
        <v>0</v>
      </c>
      <c r="E54" s="889">
        <f>calc!U18</f>
        <v>-937.44347499999822</v>
      </c>
      <c r="F54" s="206"/>
      <c r="G54" s="206"/>
      <c r="H54" s="206"/>
      <c r="I54" s="206"/>
      <c r="J54" s="206"/>
      <c r="K54" s="206"/>
      <c r="L54" s="206"/>
      <c r="M54" s="206"/>
      <c r="N54" s="206"/>
      <c r="O54" s="867" t="str">
        <f>calc!AD20</f>
        <v/>
      </c>
      <c r="P54" s="798" t="str">
        <f>calc!AE20</f>
        <v/>
      </c>
      <c r="Q54" s="869" t="str">
        <f>calc!AJ20</f>
        <v/>
      </c>
      <c r="R54" s="798" t="str">
        <f>calc!AK20</f>
        <v/>
      </c>
      <c r="S54" s="289"/>
      <c r="T54" s="57"/>
      <c r="X54">
        <f t="shared" si="9"/>
        <v>0.02</v>
      </c>
      <c r="Y54">
        <f t="shared" si="10"/>
        <v>0.04</v>
      </c>
      <c r="Z54">
        <f t="shared" si="11"/>
        <v>1</v>
      </c>
      <c r="AA54" t="str">
        <f t="shared" si="13"/>
        <v>2% to 4%</v>
      </c>
    </row>
    <row r="55" spans="1:28">
      <c r="A55" s="206"/>
      <c r="B55" s="753" t="str">
        <f>calc!Q19</f>
        <v/>
      </c>
      <c r="C55" s="256" t="str">
        <f>calc!R19</f>
        <v/>
      </c>
      <c r="D55" s="257" t="str">
        <f>calc!S19</f>
        <v/>
      </c>
      <c r="E55" s="891" t="str">
        <f>calc!U19</f>
        <v/>
      </c>
      <c r="F55" s="206"/>
      <c r="G55" s="206"/>
      <c r="H55" s="206"/>
      <c r="I55" s="206"/>
      <c r="J55" s="206"/>
      <c r="K55" s="206"/>
      <c r="L55" s="206"/>
      <c r="M55" s="206"/>
      <c r="N55" s="206"/>
      <c r="O55" s="868" t="str">
        <f>calc!AD21</f>
        <v/>
      </c>
      <c r="P55" s="502" t="str">
        <f>calc!AE21</f>
        <v/>
      </c>
      <c r="Q55" s="870" t="str">
        <f>calc!AJ21</f>
        <v/>
      </c>
      <c r="R55" s="502" t="str">
        <f>calc!AK21</f>
        <v/>
      </c>
      <c r="S55" s="289"/>
      <c r="T55" s="57"/>
      <c r="X55">
        <f t="shared" si="9"/>
        <v>0</v>
      </c>
      <c r="Y55">
        <f>$X$44+Y56</f>
        <v>0.02</v>
      </c>
      <c r="Z55">
        <f t="shared" si="11"/>
        <v>2</v>
      </c>
      <c r="AA55" t="str">
        <f>TEXT(X55,"0%")&amp;" to "&amp;TEXT(Y55,"0%")</f>
        <v>0% to 2%</v>
      </c>
    </row>
    <row r="56" spans="1:28">
      <c r="A56" s="206"/>
      <c r="B56" s="788" t="str">
        <f>calc!Q20</f>
        <v/>
      </c>
      <c r="C56" s="768" t="str">
        <f>calc!R20</f>
        <v/>
      </c>
      <c r="D56" s="769" t="str">
        <f>calc!S20</f>
        <v/>
      </c>
      <c r="E56" s="892" t="str">
        <f>calc!U20</f>
        <v/>
      </c>
      <c r="F56" s="206"/>
      <c r="G56" s="206"/>
      <c r="H56" s="206"/>
      <c r="I56" s="206"/>
      <c r="J56" s="206"/>
      <c r="K56" s="206"/>
      <c r="L56" s="206"/>
      <c r="M56" s="206"/>
      <c r="N56" s="206"/>
      <c r="O56" s="867" t="str">
        <f>calc!AD22</f>
        <v/>
      </c>
      <c r="P56" s="798" t="str">
        <f>calc!AE22</f>
        <v/>
      </c>
      <c r="Q56" s="869" t="str">
        <f>calc!AJ22</f>
        <v/>
      </c>
      <c r="R56" s="798" t="str">
        <f>calc!AK22</f>
        <v/>
      </c>
      <c r="S56" s="289"/>
      <c r="T56" s="57"/>
      <c r="X56">
        <f t="shared" si="9"/>
        <v>-0.02</v>
      </c>
      <c r="Y56">
        <v>0</v>
      </c>
      <c r="AA56" t="str">
        <f>TEXT(Y56,"0%")&amp;" to "&amp;TEXT(X56,"0%")</f>
        <v>0% to -2%</v>
      </c>
      <c r="AB56">
        <f t="shared" ref="AB56:AB65" si="14">COUNTIFS(profitPercent,"&gt;="&amp;X56,profitPercent,"&lt;"&amp;Y56,stats,"&gt;0")</f>
        <v>5</v>
      </c>
    </row>
    <row r="57" spans="1:28" ht="21.95" customHeight="1">
      <c r="A57" s="206"/>
      <c r="B57" s="753" t="str">
        <f>calc!Q21</f>
        <v/>
      </c>
      <c r="C57" s="256" t="str">
        <f>calc!R21</f>
        <v/>
      </c>
      <c r="D57" s="257" t="str">
        <f>calc!S21</f>
        <v/>
      </c>
      <c r="E57" s="891" t="str">
        <f>calc!U21</f>
        <v/>
      </c>
      <c r="F57" s="206"/>
      <c r="G57" s="206"/>
      <c r="H57" s="206"/>
      <c r="I57" s="206"/>
      <c r="J57" s="206"/>
      <c r="K57" s="206"/>
      <c r="L57" s="206"/>
      <c r="M57" s="206"/>
      <c r="N57" s="206"/>
      <c r="O57" s="260" t="str">
        <f>IFERROR("Evaluated "&amp;TEXT((AB36/calc!BV12),"0%")&amp;"  of total trades","")</f>
        <v>Evaluated 38%  of total trades</v>
      </c>
      <c r="P57" s="261"/>
      <c r="Q57" s="260" t="str">
        <f>IFERROR("Evaluated "&amp;TEXT((AC36/calc!BV12),"0%")&amp;"  of total trades","")</f>
        <v>Evaluated 38%  of total trades</v>
      </c>
      <c r="R57" s="262"/>
      <c r="S57" s="289"/>
      <c r="T57" s="57"/>
      <c r="X57">
        <f t="shared" si="9"/>
        <v>-0.04</v>
      </c>
      <c r="Y57">
        <f>Y56-$X$44</f>
        <v>-0.02</v>
      </c>
      <c r="AA57" t="str">
        <f>TEXT(Y57,"0%")&amp;" to "&amp;TEXT(X57,"0%")</f>
        <v>-2% to -4%</v>
      </c>
      <c r="AB57">
        <f t="shared" si="14"/>
        <v>5</v>
      </c>
    </row>
    <row r="58" spans="1:28" ht="66.75" customHeight="1">
      <c r="A58" s="874"/>
      <c r="B58" s="876" t="s">
        <v>525</v>
      </c>
      <c r="C58" s="874"/>
      <c r="D58" s="874"/>
      <c r="E58" s="874"/>
      <c r="F58" s="874"/>
      <c r="G58" s="874"/>
      <c r="H58" s="874"/>
      <c r="I58" s="1029"/>
      <c r="J58" s="1029"/>
      <c r="K58" s="1029"/>
      <c r="L58" s="874"/>
      <c r="M58" s="875"/>
      <c r="N58" s="874"/>
      <c r="O58" s="874"/>
      <c r="P58" s="874"/>
      <c r="Q58" s="874"/>
      <c r="R58" s="874"/>
      <c r="S58" s="57"/>
      <c r="T58" s="57"/>
      <c r="X58">
        <f t="shared" si="9"/>
        <v>-0.06</v>
      </c>
      <c r="Y58">
        <f t="shared" ref="Y58:Y66" si="15">Y57-$X$44</f>
        <v>-0.04</v>
      </c>
      <c r="AA58" t="str">
        <f t="shared" ref="AA58:AA65" si="16">TEXT(Y58,"0%")&amp;" to "&amp;TEXT(X58,"0%")</f>
        <v>-4% to -6%</v>
      </c>
      <c r="AB58">
        <f t="shared" si="14"/>
        <v>1</v>
      </c>
    </row>
    <row r="59" spans="1:28">
      <c r="A59" s="157"/>
      <c r="B59" s="157"/>
      <c r="C59" s="157"/>
      <c r="D59" s="157"/>
      <c r="E59" s="157"/>
      <c r="F59" s="157"/>
      <c r="G59" s="157"/>
      <c r="H59" s="157"/>
      <c r="I59" s="157"/>
      <c r="J59" s="157"/>
      <c r="K59" s="157"/>
      <c r="L59" s="157"/>
      <c r="M59" s="157"/>
      <c r="N59" s="157"/>
      <c r="O59" s="157"/>
      <c r="P59" s="157"/>
      <c r="Q59" s="157"/>
      <c r="R59" s="157"/>
      <c r="S59" s="57"/>
      <c r="T59" s="57"/>
      <c r="X59">
        <f t="shared" si="9"/>
        <v>-0.08</v>
      </c>
      <c r="Y59">
        <f t="shared" si="15"/>
        <v>-0.06</v>
      </c>
      <c r="AA59" t="str">
        <f t="shared" si="16"/>
        <v>-6% to -8%</v>
      </c>
      <c r="AB59">
        <f t="shared" si="14"/>
        <v>1</v>
      </c>
    </row>
    <row r="60" spans="1:28">
      <c r="A60" s="157"/>
      <c r="B60" s="157"/>
      <c r="C60" s="157"/>
      <c r="D60" s="157"/>
      <c r="E60" s="157"/>
      <c r="F60" s="157"/>
      <c r="G60" s="157"/>
      <c r="H60" s="157"/>
      <c r="I60" s="157"/>
      <c r="J60" s="157"/>
      <c r="K60" s="157"/>
      <c r="L60" s="157"/>
      <c r="M60" s="157"/>
      <c r="N60" s="157"/>
      <c r="O60" s="157"/>
      <c r="P60" s="157"/>
      <c r="Q60" s="157"/>
      <c r="R60" s="157"/>
      <c r="S60" s="57"/>
      <c r="T60" s="57"/>
      <c r="X60">
        <f t="shared" si="9"/>
        <v>-0.1</v>
      </c>
      <c r="Y60">
        <f t="shared" si="15"/>
        <v>-0.08</v>
      </c>
      <c r="AA60" t="str">
        <f t="shared" si="16"/>
        <v>-8% to -10%</v>
      </c>
      <c r="AB60">
        <f t="shared" si="14"/>
        <v>0</v>
      </c>
    </row>
    <row r="61" spans="1:28">
      <c r="A61" s="57"/>
      <c r="B61" s="57"/>
      <c r="C61" s="57"/>
      <c r="D61" s="57"/>
      <c r="E61" s="57"/>
      <c r="F61" s="57"/>
      <c r="G61" s="57"/>
      <c r="H61" s="57"/>
      <c r="I61" s="57"/>
      <c r="J61" s="57"/>
      <c r="K61" s="57"/>
      <c r="L61" s="57"/>
      <c r="M61" s="57"/>
      <c r="N61" s="57"/>
      <c r="O61" s="57"/>
      <c r="P61" s="57"/>
      <c r="Q61" s="57"/>
      <c r="R61" s="57"/>
      <c r="S61" s="57"/>
      <c r="T61" s="57"/>
      <c r="X61">
        <f t="shared" si="9"/>
        <v>-0.12000000000000001</v>
      </c>
      <c r="Y61">
        <f t="shared" si="15"/>
        <v>-0.1</v>
      </c>
      <c r="AA61" t="str">
        <f t="shared" si="16"/>
        <v>-10% to -12%</v>
      </c>
      <c r="AB61">
        <f t="shared" si="14"/>
        <v>0</v>
      </c>
    </row>
    <row r="62" spans="1:28">
      <c r="A62" s="57"/>
      <c r="B62" s="57"/>
      <c r="C62" s="57"/>
      <c r="D62" s="57"/>
      <c r="E62" s="57"/>
      <c r="F62" s="57"/>
      <c r="G62" s="57"/>
      <c r="H62" s="57"/>
      <c r="I62" s="57"/>
      <c r="J62" s="57"/>
      <c r="K62" s="57"/>
      <c r="L62" s="57"/>
      <c r="M62" s="57"/>
      <c r="N62" s="57"/>
      <c r="O62" s="57"/>
      <c r="P62" s="57"/>
      <c r="Q62" s="57"/>
      <c r="R62" s="57"/>
      <c r="S62" s="57"/>
      <c r="T62" s="57"/>
      <c r="X62">
        <f t="shared" si="9"/>
        <v>-0.14000000000000001</v>
      </c>
      <c r="Y62">
        <f t="shared" si="15"/>
        <v>-0.12000000000000001</v>
      </c>
      <c r="AA62" t="str">
        <f t="shared" si="16"/>
        <v>-12% to -14%</v>
      </c>
      <c r="AB62">
        <f t="shared" si="14"/>
        <v>0</v>
      </c>
    </row>
    <row r="63" spans="1:28">
      <c r="A63" s="57"/>
      <c r="B63" s="57"/>
      <c r="C63" s="57"/>
      <c r="D63" s="57"/>
      <c r="E63" s="57"/>
      <c r="F63" s="57"/>
      <c r="G63" s="57"/>
      <c r="H63" s="57"/>
      <c r="I63" s="57"/>
      <c r="J63" s="57"/>
      <c r="K63" s="57"/>
      <c r="L63" s="57"/>
      <c r="M63" s="57"/>
      <c r="N63" s="57"/>
      <c r="O63" s="57"/>
      <c r="P63" s="57"/>
      <c r="Q63" s="57"/>
      <c r="R63" s="57"/>
      <c r="S63" s="57"/>
      <c r="T63" s="57"/>
      <c r="X63">
        <f t="shared" si="9"/>
        <v>-0.16</v>
      </c>
      <c r="Y63">
        <f t="shared" si="15"/>
        <v>-0.14000000000000001</v>
      </c>
      <c r="AA63" t="str">
        <f t="shared" si="16"/>
        <v>-14% to -16%</v>
      </c>
      <c r="AB63">
        <f t="shared" si="14"/>
        <v>0</v>
      </c>
    </row>
    <row r="64" spans="1:28">
      <c r="A64" s="57"/>
      <c r="B64" s="57"/>
      <c r="C64" s="57"/>
      <c r="D64" s="57"/>
      <c r="E64" s="57"/>
      <c r="F64" s="57"/>
      <c r="G64" s="57"/>
      <c r="H64" s="57"/>
      <c r="I64" s="57"/>
      <c r="J64" s="57"/>
      <c r="K64" s="57"/>
      <c r="L64" s="57"/>
      <c r="M64" s="57"/>
      <c r="N64" s="57"/>
      <c r="O64" s="57"/>
      <c r="P64" s="57"/>
      <c r="Q64" s="57"/>
      <c r="R64" s="57"/>
      <c r="S64" s="57"/>
      <c r="T64" s="57"/>
      <c r="X64">
        <f>Y65</f>
        <v>-0.18</v>
      </c>
      <c r="Y64">
        <f t="shared" si="15"/>
        <v>-0.16</v>
      </c>
      <c r="AA64" t="str">
        <f t="shared" si="16"/>
        <v>-16% to -18%</v>
      </c>
      <c r="AB64">
        <f t="shared" si="14"/>
        <v>0</v>
      </c>
    </row>
    <row r="65" spans="1:28">
      <c r="A65" s="57"/>
      <c r="B65" s="57"/>
      <c r="C65" s="57"/>
      <c r="D65" s="57"/>
      <c r="E65" s="57"/>
      <c r="F65" s="57"/>
      <c r="G65" s="57"/>
      <c r="H65" s="57"/>
      <c r="I65" s="57"/>
      <c r="J65" s="57"/>
      <c r="K65" s="57"/>
      <c r="L65" s="57"/>
      <c r="M65" s="57"/>
      <c r="N65" s="57"/>
      <c r="O65" s="57"/>
      <c r="P65" s="57"/>
      <c r="Q65" s="57"/>
      <c r="R65" s="57"/>
      <c r="S65" s="57"/>
      <c r="T65" s="57"/>
      <c r="X65">
        <f>Y65-$X$44</f>
        <v>-0.19999999999999998</v>
      </c>
      <c r="Y65">
        <f t="shared" si="15"/>
        <v>-0.18</v>
      </c>
      <c r="AA65" t="str">
        <f t="shared" si="16"/>
        <v>-18% to -20%</v>
      </c>
      <c r="AB65">
        <f t="shared" si="14"/>
        <v>0</v>
      </c>
    </row>
    <row r="66" spans="1:28">
      <c r="A66" s="57"/>
      <c r="B66" s="57"/>
      <c r="C66" s="57"/>
      <c r="D66" s="57"/>
      <c r="E66" s="57"/>
      <c r="F66" s="57"/>
      <c r="G66" s="57"/>
      <c r="H66" s="57"/>
      <c r="I66" s="57"/>
      <c r="J66" s="57"/>
      <c r="K66" s="57"/>
      <c r="L66" s="57"/>
      <c r="M66" s="57"/>
      <c r="N66" s="57"/>
      <c r="O66" s="57"/>
      <c r="P66" s="57"/>
      <c r="Q66" s="57"/>
      <c r="R66" s="57"/>
      <c r="S66" s="57"/>
      <c r="T66" s="57"/>
      <c r="X66">
        <f>Y66</f>
        <v>-0.19999999999999998</v>
      </c>
      <c r="Y66">
        <f t="shared" si="15"/>
        <v>-0.19999999999999998</v>
      </c>
      <c r="AA66" t="str">
        <f>TEXT(Y66,"0%")&amp;" below"</f>
        <v>-20% below</v>
      </c>
      <c r="AB66">
        <f>COUNTIFS(profitPercent,"&lt;"&amp;X66,stats,"&gt;0")</f>
        <v>0</v>
      </c>
    </row>
    <row r="67" spans="1:28">
      <c r="A67" s="57"/>
      <c r="B67" s="57"/>
      <c r="C67" s="57"/>
      <c r="D67" s="57"/>
      <c r="E67" s="57"/>
      <c r="F67" s="57"/>
      <c r="G67" s="57"/>
      <c r="H67" s="57"/>
      <c r="I67" s="57"/>
      <c r="J67" s="57"/>
      <c r="K67" s="57"/>
      <c r="L67" s="57"/>
      <c r="M67" s="57"/>
      <c r="N67" s="57"/>
      <c r="O67" s="57"/>
      <c r="P67" s="57"/>
      <c r="Q67" s="57"/>
      <c r="R67" s="57"/>
      <c r="S67" s="57"/>
      <c r="T67" s="57"/>
    </row>
    <row r="68" spans="1:28">
      <c r="A68" s="57"/>
      <c r="B68" s="57"/>
      <c r="C68" s="57"/>
      <c r="D68" s="57"/>
      <c r="E68" s="57"/>
      <c r="F68" s="57"/>
      <c r="G68" s="57"/>
      <c r="H68" s="57"/>
      <c r="I68" s="57"/>
      <c r="J68" s="57"/>
      <c r="K68" s="57"/>
      <c r="L68" s="57"/>
      <c r="M68" s="57"/>
      <c r="N68" s="57"/>
      <c r="O68" s="57"/>
      <c r="P68" s="57"/>
      <c r="Q68" s="57"/>
      <c r="R68" s="57"/>
      <c r="S68" s="57"/>
      <c r="T68" s="57"/>
    </row>
    <row r="69" spans="1:28">
      <c r="A69" s="57"/>
      <c r="B69" s="57"/>
      <c r="C69" s="57"/>
      <c r="D69" s="57"/>
      <c r="E69" s="57"/>
      <c r="F69" s="57"/>
      <c r="G69" s="57"/>
      <c r="H69" s="57"/>
      <c r="I69" s="57"/>
      <c r="J69" s="57"/>
      <c r="K69" s="57"/>
      <c r="L69" s="57"/>
      <c r="M69" s="57"/>
      <c r="N69" s="57"/>
      <c r="O69" s="57"/>
      <c r="P69" s="57"/>
      <c r="Q69" s="57"/>
      <c r="R69" s="57"/>
      <c r="S69" s="57"/>
      <c r="T69" s="57"/>
    </row>
    <row r="70" spans="1:28">
      <c r="A70" s="57"/>
      <c r="B70" s="57"/>
      <c r="C70" s="57"/>
      <c r="D70" s="57"/>
      <c r="E70" s="57"/>
      <c r="F70" s="57"/>
      <c r="G70" s="57"/>
      <c r="H70" s="57"/>
      <c r="I70" s="57"/>
      <c r="J70" s="57"/>
      <c r="K70" s="57"/>
      <c r="L70" s="57"/>
      <c r="M70" s="57"/>
      <c r="N70" s="57"/>
      <c r="O70" s="57"/>
      <c r="P70" s="57"/>
      <c r="Q70" s="57"/>
      <c r="R70" s="57"/>
      <c r="S70" s="57"/>
      <c r="T70" s="57"/>
    </row>
    <row r="71" spans="1:28">
      <c r="A71" s="57"/>
      <c r="B71" s="57"/>
      <c r="C71" s="57"/>
      <c r="D71" s="57"/>
      <c r="E71" s="57"/>
      <c r="F71" s="57"/>
      <c r="G71" s="57"/>
      <c r="H71" s="57"/>
      <c r="I71" s="57"/>
      <c r="J71" s="57"/>
      <c r="K71" s="57"/>
      <c r="L71" s="57"/>
      <c r="M71" s="57"/>
      <c r="N71" s="57"/>
      <c r="O71" s="57"/>
      <c r="P71" s="57"/>
      <c r="Q71" s="57"/>
      <c r="R71" s="57"/>
      <c r="S71" s="57"/>
      <c r="T71" s="57"/>
    </row>
    <row r="72" spans="1:28">
      <c r="A72" s="57"/>
      <c r="B72" s="57"/>
      <c r="C72" s="57"/>
      <c r="D72" s="57"/>
      <c r="E72" s="57"/>
      <c r="F72" s="57"/>
      <c r="G72" s="57"/>
      <c r="H72" s="57"/>
      <c r="I72" s="57"/>
      <c r="J72" s="57"/>
      <c r="K72" s="57"/>
      <c r="L72" s="57"/>
      <c r="M72" s="57"/>
      <c r="N72" s="57"/>
      <c r="O72" s="57"/>
      <c r="P72" s="57"/>
      <c r="Q72" s="57"/>
      <c r="R72" s="57"/>
      <c r="S72" s="57"/>
      <c r="T72" s="57"/>
    </row>
    <row r="73" spans="1:28">
      <c r="A73" s="57"/>
      <c r="B73" s="57"/>
      <c r="C73" s="57"/>
      <c r="D73" s="57"/>
      <c r="E73" s="57"/>
      <c r="F73" s="57"/>
      <c r="G73" s="57"/>
      <c r="H73" s="57"/>
      <c r="I73" s="57"/>
      <c r="J73" s="57"/>
      <c r="K73" s="57"/>
      <c r="L73" s="57"/>
      <c r="M73" s="57"/>
      <c r="N73" s="57"/>
      <c r="O73" s="57"/>
      <c r="P73" s="57"/>
      <c r="Q73" s="57"/>
      <c r="R73" s="57"/>
      <c r="S73" s="57"/>
      <c r="T73" s="57"/>
    </row>
    <row r="74" spans="1:28">
      <c r="A74" s="57"/>
      <c r="B74" s="57"/>
      <c r="C74" s="57"/>
      <c r="D74" s="57"/>
      <c r="E74" s="57"/>
      <c r="F74" s="57"/>
      <c r="G74" s="57"/>
      <c r="H74" s="57"/>
      <c r="I74" s="57"/>
      <c r="J74" s="57"/>
      <c r="K74" s="57"/>
      <c r="L74" s="57"/>
      <c r="M74" s="57"/>
      <c r="N74" s="57"/>
      <c r="O74" s="57"/>
      <c r="P74" s="57"/>
      <c r="Q74" s="57"/>
      <c r="R74" s="57"/>
      <c r="S74" s="57"/>
      <c r="T74" s="57"/>
    </row>
    <row r="75" spans="1:28">
      <c r="A75" s="57"/>
      <c r="B75" s="57"/>
      <c r="C75" s="57"/>
      <c r="D75" s="57"/>
      <c r="E75" s="57"/>
      <c r="F75" s="57"/>
      <c r="G75" s="57"/>
      <c r="H75" s="57"/>
      <c r="I75" s="57"/>
      <c r="J75" s="57"/>
      <c r="K75" s="57"/>
      <c r="L75" s="57"/>
      <c r="M75" s="57"/>
      <c r="N75" s="57"/>
      <c r="O75" s="57"/>
      <c r="P75" s="57"/>
      <c r="Q75" s="57"/>
      <c r="R75" s="57"/>
      <c r="S75" s="57"/>
      <c r="T75" s="57"/>
    </row>
    <row r="76" spans="1:28">
      <c r="A76" s="57"/>
      <c r="B76" s="57"/>
      <c r="C76" s="57"/>
      <c r="D76" s="57"/>
      <c r="E76" s="57"/>
      <c r="F76" s="57"/>
      <c r="G76" s="57"/>
      <c r="H76" s="57"/>
      <c r="I76" s="57"/>
      <c r="J76" s="57"/>
      <c r="K76" s="57"/>
      <c r="L76" s="57"/>
      <c r="M76" s="57"/>
      <c r="N76" s="57"/>
      <c r="O76" s="57"/>
      <c r="P76" s="57"/>
      <c r="Q76" s="57"/>
      <c r="R76" s="57"/>
      <c r="S76" s="57"/>
      <c r="T76" s="57"/>
    </row>
    <row r="77" spans="1:28">
      <c r="A77" s="57"/>
      <c r="B77" s="57"/>
      <c r="C77" s="57"/>
      <c r="D77" s="57"/>
      <c r="E77" s="57"/>
      <c r="F77" s="57"/>
      <c r="G77" s="57"/>
      <c r="H77" s="57"/>
      <c r="I77" s="57"/>
      <c r="J77" s="57"/>
      <c r="K77" s="57"/>
      <c r="L77" s="57"/>
      <c r="M77" s="57"/>
      <c r="N77" s="57"/>
      <c r="O77" s="57"/>
      <c r="P77" s="57"/>
      <c r="Q77" s="57"/>
      <c r="R77" s="57"/>
      <c r="S77" s="57"/>
      <c r="T77" s="57"/>
    </row>
    <row r="78" spans="1:28">
      <c r="A78" s="57"/>
      <c r="B78" s="57"/>
      <c r="C78" s="57"/>
      <c r="D78" s="57"/>
      <c r="E78" s="57"/>
      <c r="F78" s="57"/>
      <c r="G78" s="57"/>
      <c r="H78" s="57"/>
      <c r="I78" s="57"/>
      <c r="J78" s="57"/>
      <c r="K78" s="57"/>
      <c r="L78" s="57"/>
      <c r="M78" s="57"/>
      <c r="N78" s="57"/>
      <c r="O78" s="57"/>
      <c r="P78" s="57"/>
      <c r="Q78" s="57"/>
      <c r="R78" s="57"/>
      <c r="S78" s="57"/>
      <c r="T78" s="57"/>
    </row>
    <row r="79" spans="1:28">
      <c r="A79" s="57"/>
      <c r="B79" s="57"/>
      <c r="C79" s="57"/>
      <c r="D79" s="57"/>
      <c r="E79" s="57"/>
      <c r="F79" s="57"/>
      <c r="G79" s="57"/>
      <c r="H79" s="57"/>
      <c r="I79" s="57"/>
      <c r="J79" s="57"/>
      <c r="K79" s="57"/>
      <c r="L79" s="57"/>
      <c r="M79" s="57"/>
      <c r="N79" s="57"/>
      <c r="O79" s="57"/>
      <c r="P79" s="57"/>
      <c r="Q79" s="57"/>
      <c r="R79" s="57"/>
      <c r="S79" s="57"/>
      <c r="T79" s="57"/>
    </row>
    <row r="80" spans="1:28">
      <c r="A80" s="57"/>
      <c r="B80" s="57"/>
      <c r="C80" s="57"/>
      <c r="D80" s="57"/>
      <c r="E80" s="57"/>
      <c r="F80" s="57"/>
      <c r="G80" s="57"/>
      <c r="H80" s="57"/>
      <c r="I80" s="57"/>
      <c r="J80" s="57"/>
      <c r="K80" s="57"/>
      <c r="L80" s="57"/>
      <c r="M80" s="57"/>
      <c r="N80" s="57"/>
      <c r="O80" s="57"/>
      <c r="P80" s="57"/>
      <c r="Q80" s="57"/>
      <c r="R80" s="57"/>
      <c r="S80" s="57"/>
      <c r="T80" s="57"/>
    </row>
    <row r="81" spans="1:20">
      <c r="A81" s="57"/>
      <c r="B81" s="57"/>
      <c r="C81" s="57"/>
      <c r="D81" s="57"/>
      <c r="E81" s="57"/>
      <c r="F81" s="57"/>
      <c r="G81" s="57"/>
      <c r="H81" s="57"/>
      <c r="I81" s="57"/>
      <c r="J81" s="57"/>
      <c r="K81" s="57"/>
      <c r="L81" s="57"/>
      <c r="M81" s="57"/>
      <c r="N81" s="57"/>
      <c r="O81" s="57"/>
      <c r="P81" s="57"/>
      <c r="Q81" s="57"/>
      <c r="R81" s="57"/>
      <c r="S81" s="57"/>
      <c r="T81" s="57"/>
    </row>
    <row r="82" spans="1:20">
      <c r="A82" s="57"/>
      <c r="B82" s="57"/>
      <c r="C82" s="57"/>
      <c r="D82" s="57"/>
      <c r="E82" s="57"/>
      <c r="F82" s="57"/>
      <c r="G82" s="57"/>
      <c r="H82" s="57"/>
      <c r="I82" s="57"/>
      <c r="J82" s="57"/>
      <c r="K82" s="57"/>
      <c r="L82" s="57"/>
      <c r="M82" s="57"/>
      <c r="N82" s="57"/>
      <c r="O82" s="57"/>
      <c r="P82" s="57"/>
      <c r="Q82" s="57"/>
      <c r="R82" s="57"/>
      <c r="S82" s="57"/>
      <c r="T82" s="57"/>
    </row>
    <row r="83" spans="1:20">
      <c r="A83" s="57"/>
      <c r="B83" s="57"/>
      <c r="C83" s="57"/>
      <c r="D83" s="57"/>
      <c r="E83" s="57"/>
      <c r="F83" s="57"/>
      <c r="G83" s="57"/>
      <c r="H83" s="57"/>
      <c r="I83" s="57"/>
      <c r="J83" s="57"/>
      <c r="K83" s="57"/>
      <c r="L83" s="57"/>
      <c r="M83" s="57"/>
      <c r="N83" s="57"/>
      <c r="O83" s="57"/>
      <c r="P83" s="57"/>
      <c r="Q83" s="57"/>
      <c r="R83" s="57"/>
      <c r="S83" s="57"/>
      <c r="T83" s="57"/>
    </row>
    <row r="84" spans="1:20">
      <c r="A84" s="57"/>
      <c r="B84" s="57"/>
      <c r="C84" s="57"/>
      <c r="D84" s="57"/>
      <c r="E84" s="57"/>
      <c r="F84" s="57"/>
      <c r="G84" s="57"/>
      <c r="H84" s="57"/>
      <c r="I84" s="57"/>
      <c r="J84" s="57"/>
      <c r="K84" s="57"/>
      <c r="L84" s="57"/>
      <c r="M84" s="57"/>
      <c r="N84" s="57"/>
      <c r="O84" s="57"/>
      <c r="P84" s="57"/>
      <c r="Q84" s="57"/>
      <c r="R84" s="57"/>
      <c r="S84" s="57"/>
      <c r="T84" s="57"/>
    </row>
    <row r="85" spans="1:20">
      <c r="A85" s="57"/>
      <c r="B85" s="57"/>
      <c r="C85" s="57"/>
      <c r="D85" s="57"/>
      <c r="E85" s="57"/>
      <c r="F85" s="57"/>
      <c r="G85" s="57"/>
      <c r="H85" s="57"/>
      <c r="I85" s="57"/>
      <c r="J85" s="57"/>
      <c r="K85" s="57"/>
      <c r="L85" s="57"/>
      <c r="M85" s="57"/>
      <c r="N85" s="57"/>
      <c r="O85" s="57"/>
      <c r="P85" s="57"/>
      <c r="Q85" s="57"/>
      <c r="R85" s="57"/>
      <c r="S85" s="57"/>
      <c r="T85" s="57"/>
    </row>
    <row r="86" spans="1:20">
      <c r="A86" s="57"/>
      <c r="B86" s="57"/>
      <c r="C86" s="57"/>
      <c r="D86" s="57"/>
      <c r="E86" s="57"/>
      <c r="F86" s="57"/>
      <c r="G86" s="57"/>
      <c r="H86" s="57"/>
      <c r="I86" s="57"/>
      <c r="J86" s="57"/>
      <c r="K86" s="57"/>
      <c r="L86" s="57"/>
      <c r="M86" s="57"/>
      <c r="N86" s="57"/>
      <c r="O86" s="57"/>
      <c r="P86" s="57"/>
      <c r="Q86" s="57"/>
      <c r="R86" s="57"/>
      <c r="S86" s="57"/>
      <c r="T86" s="57"/>
    </row>
    <row r="87" spans="1:20">
      <c r="A87" s="57"/>
      <c r="B87" s="57"/>
      <c r="C87" s="57"/>
      <c r="D87" s="57"/>
      <c r="E87" s="57"/>
      <c r="F87" s="57"/>
      <c r="G87" s="57"/>
      <c r="H87" s="57"/>
      <c r="I87" s="57"/>
      <c r="J87" s="57"/>
      <c r="K87" s="57"/>
      <c r="L87" s="57"/>
      <c r="M87" s="57"/>
      <c r="N87" s="57"/>
      <c r="O87" s="57"/>
      <c r="P87" s="57"/>
      <c r="Q87" s="57"/>
      <c r="R87" s="57"/>
      <c r="S87" s="57"/>
      <c r="T87" s="57"/>
    </row>
    <row r="88" spans="1:20">
      <c r="A88" s="57"/>
      <c r="B88" s="57"/>
      <c r="C88" s="57"/>
      <c r="D88" s="57"/>
      <c r="E88" s="57"/>
      <c r="F88" s="57"/>
      <c r="G88" s="57"/>
      <c r="H88" s="57"/>
      <c r="I88" s="57"/>
      <c r="J88" s="57"/>
      <c r="K88" s="57"/>
      <c r="L88" s="57"/>
      <c r="M88" s="57"/>
      <c r="N88" s="57"/>
      <c r="O88" s="57"/>
      <c r="P88" s="57"/>
      <c r="Q88" s="57"/>
      <c r="R88" s="57"/>
      <c r="S88" s="57"/>
      <c r="T88" s="57"/>
    </row>
    <row r="89" spans="1:20">
      <c r="A89" s="57"/>
      <c r="B89" s="57"/>
      <c r="C89" s="57"/>
      <c r="D89" s="57"/>
      <c r="E89" s="57"/>
      <c r="F89" s="57"/>
      <c r="G89" s="57"/>
      <c r="H89" s="57"/>
      <c r="I89" s="57"/>
      <c r="J89" s="57"/>
      <c r="K89" s="57"/>
      <c r="L89" s="57"/>
      <c r="M89" s="57"/>
      <c r="N89" s="57"/>
      <c r="O89" s="57"/>
      <c r="P89" s="57"/>
      <c r="Q89" s="57"/>
      <c r="R89" s="57"/>
      <c r="S89" s="57"/>
      <c r="T89" s="57"/>
    </row>
    <row r="90" spans="1:20">
      <c r="A90" s="57"/>
      <c r="B90" s="57"/>
      <c r="C90" s="57"/>
      <c r="D90" s="57"/>
      <c r="E90" s="57"/>
      <c r="F90" s="57"/>
      <c r="G90" s="57"/>
      <c r="H90" s="57"/>
      <c r="I90" s="57"/>
      <c r="J90" s="57"/>
      <c r="K90" s="57"/>
      <c r="L90" s="57"/>
      <c r="M90" s="57"/>
      <c r="N90" s="57"/>
      <c r="O90" s="57"/>
      <c r="P90" s="57"/>
      <c r="Q90" s="57"/>
      <c r="R90" s="57"/>
      <c r="S90" s="57"/>
      <c r="T90" s="57"/>
    </row>
    <row r="91" spans="1:20">
      <c r="A91" s="57"/>
      <c r="B91" s="57"/>
      <c r="C91" s="57"/>
      <c r="D91" s="57"/>
      <c r="E91" s="57"/>
      <c r="F91" s="57"/>
      <c r="G91" s="57"/>
      <c r="H91" s="57"/>
      <c r="I91" s="57"/>
      <c r="J91" s="57"/>
      <c r="K91" s="57"/>
      <c r="L91" s="57"/>
      <c r="M91" s="57"/>
      <c r="N91" s="57"/>
      <c r="O91" s="57"/>
      <c r="P91" s="57"/>
      <c r="Q91" s="57"/>
      <c r="R91" s="57"/>
      <c r="S91" s="57"/>
      <c r="T91" s="57"/>
    </row>
    <row r="92" spans="1:20">
      <c r="A92" s="57"/>
      <c r="B92" s="57"/>
      <c r="C92" s="57"/>
      <c r="D92" s="57"/>
      <c r="E92" s="57"/>
      <c r="F92" s="57"/>
      <c r="G92" s="57"/>
      <c r="H92" s="57"/>
      <c r="I92" s="57"/>
      <c r="J92" s="57"/>
      <c r="K92" s="57"/>
      <c r="L92" s="57"/>
      <c r="M92" s="57"/>
      <c r="N92" s="57"/>
      <c r="O92" s="57"/>
      <c r="P92" s="57"/>
      <c r="Q92" s="57"/>
      <c r="R92" s="57"/>
      <c r="S92" s="57"/>
      <c r="T92" s="57"/>
    </row>
  </sheetData>
  <sheetProtection algorithmName="SHA-512" hashValue="HmDYfXRlcBQ4vK0ERuLgAutVN3cQqusskF/mPcLD7PsbZyfhjob0+ZfF+28allXHUjneh80FpO9KkAG7TCTlAg==" saltValue="wIPb5aBf92nKx8F9Z1ifVw==" spinCount="100000" sheet="1" objects="1" scenarios="1" formatCells="0" autoFilter="0" pivotTables="0"/>
  <protectedRanges>
    <protectedRange sqref="B6:B8 B11 B5 G5 O5 O14:R14 O16:R16 O17 Q17 B21:B27 B20 G20 O20 O21:O22 O42:O43 P41:R41 O31 G31 G32:M32 G33:G43 B31 B32:B36 B38 B39:B43 E38 O46:Q46 O47:R47 G46 L46 M46" name="text"/>
    <protectedRange sqref="M28 AG81:AG83 AC27:AC28 V25:V28" name="Range1"/>
    <protectedRange sqref="Q31:R31 E3:O3" name="Range2"/>
  </protectedRanges>
  <mergeCells count="34">
    <mergeCell ref="J5:K5"/>
    <mergeCell ref="Q38:R38"/>
    <mergeCell ref="Q6:R6"/>
    <mergeCell ref="Q7:R12"/>
    <mergeCell ref="P22:Q22"/>
    <mergeCell ref="Q31:R31"/>
    <mergeCell ref="O32:R34"/>
    <mergeCell ref="P21:Q21"/>
    <mergeCell ref="C21:D21"/>
    <mergeCell ref="C14:D14"/>
    <mergeCell ref="C15:D15"/>
    <mergeCell ref="C16:D16"/>
    <mergeCell ref="C17:D17"/>
    <mergeCell ref="B3:D3"/>
    <mergeCell ref="I58:K58"/>
    <mergeCell ref="C6:D6"/>
    <mergeCell ref="C7:D7"/>
    <mergeCell ref="O7:P12"/>
    <mergeCell ref="O6:P6"/>
    <mergeCell ref="C12:D12"/>
    <mergeCell ref="C8:D8"/>
    <mergeCell ref="C22:D22"/>
    <mergeCell ref="C26:D26"/>
    <mergeCell ref="C27:D27"/>
    <mergeCell ref="B31:E31"/>
    <mergeCell ref="C23:D23"/>
    <mergeCell ref="C24:D24"/>
    <mergeCell ref="C25:D25"/>
    <mergeCell ref="C13:D13"/>
    <mergeCell ref="C32:D32"/>
    <mergeCell ref="C33:D33"/>
    <mergeCell ref="C34:D34"/>
    <mergeCell ref="C35:D35"/>
    <mergeCell ref="C36:D36"/>
  </mergeCells>
  <conditionalFormatting sqref="C12:C17">
    <cfRule type="dataBar" priority="47">
      <dataBar showValue="0">
        <cfvo type="min"/>
        <cfvo type="max"/>
        <color theme="4"/>
      </dataBar>
      <extLst>
        <ext xmlns:x14="http://schemas.microsoft.com/office/spreadsheetml/2009/9/main" uri="{B025F937-C7B1-47D3-B67F-A62EFF666E3E}">
          <x14:id>{85B6A9B4-1238-48EC-96A4-2904F54AD155}</x14:id>
        </ext>
      </extLst>
    </cfRule>
  </conditionalFormatting>
  <conditionalFormatting sqref="P48:P56">
    <cfRule type="dataBar" priority="31">
      <dataBar>
        <cfvo type="min"/>
        <cfvo type="max"/>
        <color rgb="FF173630"/>
      </dataBar>
      <extLst>
        <ext xmlns:x14="http://schemas.microsoft.com/office/spreadsheetml/2009/9/main" uri="{B025F937-C7B1-47D3-B67F-A62EFF666E3E}">
          <x14:id>{AC241CD0-F511-49DA-A392-33682DC16D8A}</x14:id>
        </ext>
      </extLst>
    </cfRule>
  </conditionalFormatting>
  <conditionalFormatting sqref="R48:R56">
    <cfRule type="dataBar" priority="30">
      <dataBar>
        <cfvo type="min"/>
        <cfvo type="max"/>
        <color rgb="FF173630"/>
      </dataBar>
      <extLst>
        <ext xmlns:x14="http://schemas.microsoft.com/office/spreadsheetml/2009/9/main" uri="{B025F937-C7B1-47D3-B67F-A62EFF666E3E}">
          <x14:id>{651C4FEF-30C5-42DD-84B7-68879D71902A}</x14:id>
        </ext>
      </extLst>
    </cfRule>
  </conditionalFormatting>
  <conditionalFormatting sqref="AF1 C8:E8 R17 P21:R22 R46 M20 P48:P56 R48:R56 E48:E57 I43:K43 L33:M43 C21:E27">
    <cfRule type="cellIs" dxfId="230" priority="25" operator="lessThan">
      <formula>0</formula>
    </cfRule>
  </conditionalFormatting>
  <conditionalFormatting sqref="P21:R22 C21:E27">
    <cfRule type="cellIs" dxfId="229" priority="1" operator="equal">
      <formula>0</formula>
    </cfRule>
  </conditionalFormatting>
  <dataValidations disablePrompts="1" count="14">
    <dataValidation allowBlank="1" showInputMessage="1" showErrorMessage="1" prompt="(Gain/Loss) Divided by 2nd Qtr Beginning Capital" sqref="E23" xr:uid="{00000000-0002-0000-0100-000000000000}"/>
    <dataValidation allowBlank="1" showInputMessage="1" showErrorMessage="1" prompt="(Gain/Loss) Divided by 1st Qtr Beginning Capital" sqref="E22" xr:uid="{00000000-0002-0000-0100-000001000000}"/>
    <dataValidation allowBlank="1" showInputMessage="1" showErrorMessage="1" prompt="(Gain/Loss) Divided by 3rd Qtr Beginning Capital" sqref="E24" xr:uid="{00000000-0002-0000-0100-000002000000}"/>
    <dataValidation allowBlank="1" showInputMessage="1" showErrorMessage="1" prompt="(Gain/Loss) Divided by 4th Qtr Beginning Capital" sqref="E25" xr:uid="{00000000-0002-0000-0100-000003000000}"/>
    <dataValidation allowBlank="1" showInputMessage="1" showErrorMessage="1" prompt="(Gain/Loss) Divided by YTD Beginning Capital" sqref="E26" xr:uid="{00000000-0002-0000-0100-000004000000}"/>
    <dataValidation allowBlank="1" showInputMessage="1" showErrorMessage="1" prompt="(Gain/Loss) Divided by This Month Beginning Capital" sqref="E21" xr:uid="{00000000-0002-0000-0100-000006000000}"/>
    <dataValidation allowBlank="1" showInputMessage="1" showErrorMessage="1" prompt="(Gain/Loss) Divided by This Week Beginning Capital" sqref="R21" xr:uid="{00000000-0002-0000-0100-000007000000}"/>
    <dataValidation allowBlank="1" showInputMessage="1" showErrorMessage="1" prompt="Gain Divided by Total Deposits" sqref="E6" xr:uid="{00000000-0002-0000-0100-000008000000}"/>
    <dataValidation allowBlank="1" showInputMessage="1" showErrorMessage="1" prompt="Loss Divided by Total Deposits" sqref="E7" xr:uid="{00000000-0002-0000-0100-000009000000}"/>
    <dataValidation allowBlank="1" showInputMessage="1" showErrorMessage="1" prompt="(Gain/Loss) Divided by Total Deposits" sqref="E8" xr:uid="{00000000-0002-0000-0100-00000A000000}"/>
    <dataValidation allowBlank="1" showInputMessage="1" showErrorMessage="1" prompt="(Gain/Loss) Divided by Prev.Week Beginning Capital" sqref="R22 R27:R29" xr:uid="{00000000-0002-0000-0100-00000D000000}"/>
    <dataValidation allowBlank="1" showInputMessage="1" showErrorMessage="1" prompt="RRR = Average Win% / Average Loss%" sqref="G41" xr:uid="{00000000-0002-0000-0100-000010000000}"/>
    <dataValidation allowBlank="1" showInputMessage="1" showErrorMessage="1" prompt="(Gain/Loss) Divided by PYTD Beginning Capital" sqref="E29 E27" xr:uid="{00000000-0002-0000-0100-000005000000}"/>
    <dataValidation type="list" allowBlank="1" showInputMessage="1" showErrorMessage="1" sqref="Q31:R31" xr:uid="{06AD421A-DD05-42B7-9A92-9C0EF2856C9C}">
      <formula1>$G$40:$G$42</formula1>
    </dataValidation>
  </dataValidations>
  <hyperlinks>
    <hyperlink ref="E46" location="'Trade Log'!AE14" tooltip="Assign Setup" display="Assign Setup ►" xr:uid="{00000000-0004-0000-0100-000000000000}"/>
    <hyperlink ref="D46" location="Settings!M14" tooltip="Edit Trade Setup" display="Edit Setup ►" xr:uid="{00000000-0004-0000-0100-000001000000}"/>
    <hyperlink ref="M46" location="'Trade Review'!Q17" tooltip="Evaluate Trades" display="Evaluate Trades ►" xr:uid="{00000000-0004-0000-0100-000002000000}"/>
    <hyperlink ref="E11" location="'Stock Position'!D14" tooltip="View Details" display="More Details ►" xr:uid="{00000000-0004-0000-0100-000003000000}"/>
    <hyperlink ref="E20" location="'Monthly Report'!D19" tooltip="Review Monthly Report" display="Review Monthly Report ►" xr:uid="{00000000-0004-0000-0100-000004000000}"/>
    <hyperlink ref="E38" location="Portfolio!G6" tooltip="Edit 1R" display="Edit R-Multiple ►" xr:uid="{00000000-0004-0000-0100-000006000000}"/>
  </hyperlinks>
  <printOptions horizontalCentered="1"/>
  <pageMargins left="0.7" right="0.7" top="1" bottom="0.75" header="0.3" footer="0.3"/>
  <pageSetup paperSize="9" scale="64" orientation="landscape" r:id="rId1"/>
  <colBreaks count="1" manualBreakCount="1">
    <brk id="20" max="24" man="1"/>
  </colBreaks>
  <drawing r:id="rId2"/>
  <legacyDrawing r:id="rId3"/>
  <extLst>
    <ext xmlns:x14="http://schemas.microsoft.com/office/spreadsheetml/2009/9/main" uri="{78C0D931-6437-407d-A8EE-F0AAD7539E65}">
      <x14:conditionalFormattings>
        <x14:conditionalFormatting xmlns:xm="http://schemas.microsoft.com/office/excel/2006/main">
          <x14:cfRule type="dataBar" id="{85B6A9B4-1238-48EC-96A4-2904F54AD155}">
            <x14:dataBar minLength="0" maxLength="100" gradient="0">
              <x14:cfvo type="autoMin"/>
              <x14:cfvo type="autoMax"/>
              <x14:negativeFillColor theme="5"/>
              <x14:axisColor theme="1" tint="0.34998626667073579"/>
            </x14:dataBar>
          </x14:cfRule>
          <xm:sqref>C12:C17</xm:sqref>
        </x14:conditionalFormatting>
        <x14:conditionalFormatting xmlns:xm="http://schemas.microsoft.com/office/excel/2006/main">
          <x14:cfRule type="dataBar" id="{AC241CD0-F511-49DA-A392-33682DC16D8A}">
            <x14:dataBar minLength="0" maxLength="100" gradient="0">
              <x14:cfvo type="autoMin"/>
              <x14:cfvo type="autoMax"/>
              <x14:negativeFillColor rgb="FF3C242C"/>
              <x14:axisColor theme="0" tint="-0.499984740745262"/>
            </x14:dataBar>
          </x14:cfRule>
          <xm:sqref>P48:P56</xm:sqref>
        </x14:conditionalFormatting>
        <x14:conditionalFormatting xmlns:xm="http://schemas.microsoft.com/office/excel/2006/main">
          <x14:cfRule type="dataBar" id="{651C4FEF-30C5-42DD-84B7-68879D71902A}">
            <x14:dataBar minLength="0" maxLength="100" gradient="0">
              <x14:cfvo type="autoMin"/>
              <x14:cfvo type="autoMax"/>
              <x14:negativeFillColor rgb="FF3C242C"/>
              <x14:axisColor theme="1" tint="0.499984740745262"/>
            </x14:dataBar>
          </x14:cfRule>
          <xm:sqref>R48:R56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651B-3B7C-4E29-B874-1B0F5876461E}">
  <sheetPr codeName="Sheet2"/>
  <dimension ref="A1:U49"/>
  <sheetViews>
    <sheetView showGridLines="0" showRowColHeaders="0" workbookViewId="0">
      <selection activeCell="G7" sqref="G7"/>
    </sheetView>
  </sheetViews>
  <sheetFormatPr defaultRowHeight="15"/>
  <cols>
    <col min="4" max="4" width="14.7109375" customWidth="1"/>
    <col min="5" max="5" width="16.140625" customWidth="1"/>
    <col min="6" max="6" width="6.5703125" customWidth="1"/>
    <col min="7" max="7" width="65.5703125" customWidth="1"/>
    <col min="8" max="8" width="6.5703125" customWidth="1"/>
    <col min="14" max="14" width="19.42578125" customWidth="1"/>
    <col min="20" max="20" width="5.42578125" bestFit="1" customWidth="1"/>
    <col min="21" max="21" width="14" bestFit="1" customWidth="1"/>
  </cols>
  <sheetData>
    <row r="1" spans="1:14" ht="64.5" customHeight="1">
      <c r="A1" s="157"/>
      <c r="B1" s="157"/>
      <c r="C1" s="157"/>
      <c r="D1" s="157"/>
      <c r="E1" s="157"/>
      <c r="F1" s="157"/>
      <c r="G1" s="157"/>
      <c r="H1" s="157"/>
      <c r="I1" s="157"/>
      <c r="J1" s="157"/>
      <c r="K1" s="157"/>
      <c r="L1" s="157"/>
      <c r="M1" s="157"/>
      <c r="N1" s="157"/>
    </row>
    <row r="2" spans="1:14" ht="9.75" customHeight="1">
      <c r="A2" s="157"/>
      <c r="B2" s="157"/>
      <c r="C2" s="157"/>
      <c r="D2" s="157"/>
      <c r="E2" s="157"/>
      <c r="F2" s="158"/>
      <c r="G2" s="158"/>
      <c r="H2" s="158"/>
      <c r="I2" s="157"/>
      <c r="J2" s="157"/>
      <c r="K2" s="157"/>
      <c r="L2" s="157"/>
      <c r="M2" s="157"/>
      <c r="N2" s="157"/>
    </row>
    <row r="3" spans="1:14" ht="27.75" customHeight="1">
      <c r="A3" s="157"/>
      <c r="B3" s="157"/>
      <c r="C3" s="157"/>
      <c r="D3" s="157"/>
      <c r="E3" s="157"/>
      <c r="F3" s="158"/>
      <c r="G3" s="339" t="str">
        <f>IF(J18=0,"ACTIVATION FORM",IF(J18=2,"EMERGENCY ACCESS FORM","RE-ACTIVATION FORM"))</f>
        <v>ACTIVATION FORM</v>
      </c>
      <c r="H3" s="158"/>
      <c r="I3" s="157"/>
      <c r="J3" s="157"/>
      <c r="K3" s="157"/>
      <c r="L3" s="157"/>
      <c r="M3" s="157"/>
      <c r="N3" s="157"/>
    </row>
    <row r="4" spans="1:14" ht="29.25" customHeight="1" thickBot="1">
      <c r="A4" s="157"/>
      <c r="B4" s="157"/>
      <c r="C4" s="157"/>
      <c r="D4" s="157"/>
      <c r="E4" s="157"/>
      <c r="F4" s="158"/>
      <c r="G4" s="159" t="s">
        <v>606</v>
      </c>
      <c r="H4" s="158"/>
      <c r="I4" s="157"/>
      <c r="J4" s="157"/>
      <c r="K4" s="157"/>
      <c r="L4" s="157"/>
      <c r="M4" s="157"/>
      <c r="N4" s="157"/>
    </row>
    <row r="5" spans="1:14" ht="27" customHeight="1" thickTop="1" thickBot="1">
      <c r="A5" s="157"/>
      <c r="B5" s="157"/>
      <c r="C5" s="157"/>
      <c r="D5" s="157"/>
      <c r="E5" s="157"/>
      <c r="F5" s="158"/>
      <c r="G5" s="190"/>
      <c r="H5" s="158"/>
      <c r="I5" s="157"/>
      <c r="J5" s="157"/>
      <c r="K5" s="157"/>
      <c r="L5" s="157"/>
      <c r="M5" s="157"/>
      <c r="N5" s="157"/>
    </row>
    <row r="6" spans="1:14" ht="29.25" customHeight="1" thickTop="1" thickBot="1">
      <c r="A6" s="157"/>
      <c r="B6" s="157"/>
      <c r="C6" s="157"/>
      <c r="D6" s="157"/>
      <c r="E6" s="157"/>
      <c r="F6" s="158"/>
      <c r="G6" s="159" t="s">
        <v>605</v>
      </c>
      <c r="H6" s="158"/>
      <c r="I6" s="157"/>
      <c r="J6" s="157"/>
      <c r="K6" s="157"/>
      <c r="L6" s="157"/>
      <c r="M6" s="157"/>
      <c r="N6" s="157"/>
    </row>
    <row r="7" spans="1:14" ht="67.5" customHeight="1" thickTop="1" thickBot="1">
      <c r="A7" s="157"/>
      <c r="B7" s="157"/>
      <c r="C7" s="157"/>
      <c r="D7" s="157"/>
      <c r="E7" s="157"/>
      <c r="F7" s="158"/>
      <c r="G7" s="160"/>
      <c r="H7" s="158"/>
      <c r="I7" s="157"/>
      <c r="J7" s="157"/>
      <c r="K7" s="157"/>
      <c r="L7" s="157"/>
      <c r="M7" s="157"/>
      <c r="N7" s="157"/>
    </row>
    <row r="8" spans="1:14" ht="15.75" thickTop="1">
      <c r="A8" s="157"/>
      <c r="B8" s="157"/>
      <c r="C8" s="157"/>
      <c r="D8" s="157"/>
      <c r="E8" s="157"/>
      <c r="F8" s="158"/>
      <c r="G8" s="158"/>
      <c r="H8" s="158"/>
      <c r="I8" s="157"/>
      <c r="J8" s="157"/>
      <c r="K8" s="157"/>
      <c r="L8" s="157"/>
      <c r="M8" s="157"/>
      <c r="N8" s="157"/>
    </row>
    <row r="9" spans="1:14">
      <c r="A9" s="157"/>
      <c r="B9" s="157"/>
      <c r="C9" s="157"/>
      <c r="D9" s="157"/>
      <c r="E9" s="157"/>
      <c r="F9" s="158"/>
      <c r="G9" s="158"/>
      <c r="H9" s="158"/>
      <c r="I9" s="157"/>
      <c r="J9" s="157"/>
      <c r="K9" s="157"/>
      <c r="L9" s="157"/>
      <c r="M9" s="157"/>
      <c r="N9" s="157"/>
    </row>
    <row r="10" spans="1:14" ht="12" customHeight="1">
      <c r="A10" s="157"/>
      <c r="B10" s="157"/>
      <c r="C10" s="157"/>
      <c r="D10" s="157"/>
      <c r="E10" s="157"/>
      <c r="F10" s="158"/>
      <c r="G10" s="158"/>
      <c r="H10" s="158"/>
      <c r="I10" s="157"/>
      <c r="J10" s="157"/>
      <c r="K10" s="157"/>
      <c r="L10" s="157"/>
      <c r="M10" s="157"/>
      <c r="N10" s="157"/>
    </row>
    <row r="11" spans="1:14">
      <c r="A11" s="157"/>
      <c r="B11" s="157"/>
      <c r="C11" s="157"/>
      <c r="D11" s="157"/>
      <c r="E11" s="157"/>
      <c r="F11" s="158"/>
      <c r="G11" s="158"/>
      <c r="H11" s="158"/>
      <c r="I11" s="157"/>
      <c r="J11" s="157"/>
      <c r="K11" s="157"/>
      <c r="L11" s="157"/>
      <c r="M11" s="157"/>
      <c r="N11" s="157"/>
    </row>
    <row r="12" spans="1:14" ht="7.5" customHeight="1">
      <c r="A12" s="157"/>
      <c r="B12" s="157"/>
      <c r="C12" s="157"/>
      <c r="D12" s="157"/>
      <c r="E12" s="157"/>
      <c r="F12" s="158"/>
      <c r="G12" s="158"/>
      <c r="H12" s="158"/>
      <c r="I12" s="157"/>
      <c r="J12" s="157"/>
      <c r="K12" s="157"/>
      <c r="L12" s="157"/>
      <c r="M12" s="157"/>
      <c r="N12" s="157"/>
    </row>
    <row r="13" spans="1:14" ht="6.75" customHeight="1">
      <c r="A13" s="157"/>
      <c r="B13" s="157"/>
      <c r="C13" s="157"/>
      <c r="D13" s="157"/>
      <c r="E13" s="157"/>
      <c r="F13" s="158"/>
      <c r="G13" s="158"/>
      <c r="H13" s="158"/>
      <c r="I13" s="157"/>
      <c r="J13" s="157"/>
      <c r="K13" s="157"/>
      <c r="L13" s="157"/>
      <c r="M13" s="157"/>
      <c r="N13" s="157"/>
    </row>
    <row r="14" spans="1:14" ht="6.75" customHeight="1">
      <c r="A14" s="157"/>
      <c r="B14" s="157"/>
      <c r="C14" s="157"/>
      <c r="D14" s="157"/>
      <c r="E14" s="157"/>
      <c r="F14" s="158"/>
      <c r="G14" s="158"/>
      <c r="H14" s="158"/>
      <c r="I14" s="157"/>
      <c r="J14" s="157"/>
      <c r="K14" s="157"/>
      <c r="L14" s="157"/>
      <c r="M14" s="157"/>
      <c r="N14" s="157"/>
    </row>
    <row r="15" spans="1:14" ht="6.75" customHeight="1">
      <c r="A15" s="157"/>
      <c r="B15" s="157"/>
      <c r="C15" s="157"/>
      <c r="D15" s="157"/>
      <c r="E15" s="157"/>
      <c r="F15" s="158"/>
      <c r="G15" s="158"/>
      <c r="H15" s="158"/>
      <c r="I15" s="157"/>
      <c r="J15" s="157"/>
      <c r="K15" s="157"/>
      <c r="L15" s="157"/>
      <c r="M15" s="157"/>
      <c r="N15" s="157"/>
    </row>
    <row r="16" spans="1:14">
      <c r="A16" s="157"/>
      <c r="B16" s="157"/>
      <c r="C16" s="157"/>
      <c r="D16" s="157"/>
      <c r="E16" s="157"/>
      <c r="F16" s="157"/>
      <c r="G16" s="157"/>
      <c r="H16" s="157"/>
      <c r="I16" s="157"/>
      <c r="J16" s="157"/>
      <c r="K16" s="157"/>
      <c r="L16" s="157"/>
      <c r="M16" s="157"/>
      <c r="N16" s="157"/>
    </row>
    <row r="17" spans="1:14">
      <c r="A17" s="157"/>
      <c r="B17" s="157"/>
      <c r="C17" s="157"/>
      <c r="D17" s="157"/>
      <c r="E17" s="157"/>
      <c r="F17" s="157"/>
      <c r="G17" s="157"/>
      <c r="H17" s="157"/>
      <c r="I17" s="157"/>
      <c r="J17" s="157"/>
      <c r="K17" s="157"/>
      <c r="L17" s="157"/>
      <c r="M17" s="157"/>
      <c r="N17" s="157"/>
    </row>
    <row r="18" spans="1:14">
      <c r="A18" s="157"/>
      <c r="B18" s="157"/>
      <c r="C18" s="157"/>
      <c r="D18" s="157"/>
      <c r="E18" s="157"/>
      <c r="F18" s="157"/>
      <c r="G18" s="157"/>
      <c r="H18" s="157"/>
      <c r="I18" s="157"/>
      <c r="J18" s="161">
        <v>0</v>
      </c>
      <c r="K18" s="157"/>
      <c r="L18" s="157"/>
      <c r="M18" s="157"/>
      <c r="N18" s="157"/>
    </row>
    <row r="19" spans="1:14">
      <c r="A19" s="157"/>
      <c r="B19" s="157"/>
      <c r="C19" s="157"/>
      <c r="D19" s="157"/>
      <c r="E19" s="157"/>
      <c r="F19" s="157"/>
      <c r="G19" s="157"/>
      <c r="H19" s="157"/>
      <c r="I19" s="157"/>
      <c r="J19" s="157"/>
      <c r="K19" s="157"/>
      <c r="L19" s="157"/>
      <c r="M19" s="157"/>
      <c r="N19" s="157"/>
    </row>
    <row r="20" spans="1:14">
      <c r="A20" s="157"/>
      <c r="B20" s="157"/>
      <c r="C20" s="157"/>
      <c r="D20" s="157"/>
      <c r="E20" s="157"/>
      <c r="F20" s="157"/>
      <c r="G20" s="157"/>
      <c r="H20" s="157"/>
      <c r="I20" s="157"/>
      <c r="J20" s="157"/>
      <c r="K20" s="157"/>
      <c r="L20" s="157"/>
      <c r="M20" s="157"/>
      <c r="N20" s="157"/>
    </row>
    <row r="21" spans="1:14">
      <c r="A21" s="157"/>
      <c r="B21" s="157"/>
      <c r="C21" s="157"/>
      <c r="D21" s="157"/>
      <c r="E21" s="157"/>
      <c r="F21" s="157"/>
      <c r="G21" s="157"/>
      <c r="H21" s="157"/>
      <c r="I21" s="157"/>
      <c r="J21" s="157"/>
      <c r="K21" s="157"/>
      <c r="L21" s="157"/>
      <c r="M21" s="157"/>
      <c r="N21" s="157"/>
    </row>
    <row r="22" spans="1:14">
      <c r="A22" s="157"/>
      <c r="B22" s="157"/>
      <c r="C22" s="157"/>
      <c r="D22" s="157"/>
      <c r="E22" s="157"/>
      <c r="F22" s="157"/>
      <c r="G22" s="157"/>
      <c r="H22" s="157"/>
      <c r="I22" s="157"/>
      <c r="J22" s="157"/>
      <c r="K22" s="157"/>
      <c r="L22" s="157"/>
      <c r="M22" s="157"/>
      <c r="N22" s="157"/>
    </row>
    <row r="23" spans="1:14">
      <c r="A23" s="157"/>
      <c r="B23" s="157"/>
      <c r="C23" s="157"/>
      <c r="D23" s="157"/>
      <c r="E23" s="157"/>
      <c r="F23" s="157"/>
      <c r="G23" s="157"/>
      <c r="H23" s="157"/>
      <c r="I23" s="157"/>
      <c r="J23" s="157"/>
      <c r="K23" s="157"/>
      <c r="L23" s="157"/>
      <c r="M23" s="157"/>
      <c r="N23" s="157"/>
    </row>
    <row r="24" spans="1:14">
      <c r="A24" s="157"/>
      <c r="B24" s="157"/>
      <c r="C24" s="157"/>
      <c r="D24" s="157"/>
      <c r="E24" s="157"/>
      <c r="F24" s="157"/>
      <c r="G24" s="157"/>
      <c r="H24" s="157"/>
      <c r="I24" s="157"/>
      <c r="J24" s="157"/>
      <c r="K24" s="157"/>
      <c r="L24" s="157"/>
      <c r="M24" s="157"/>
      <c r="N24" s="157"/>
    </row>
    <row r="25" spans="1:14">
      <c r="A25" s="157"/>
      <c r="B25" s="157"/>
      <c r="C25" s="157"/>
      <c r="D25" s="157"/>
      <c r="E25" s="157"/>
      <c r="F25" s="157"/>
      <c r="G25" s="157"/>
      <c r="H25" s="157"/>
      <c r="I25" s="157"/>
      <c r="J25" s="157"/>
      <c r="K25" s="157"/>
      <c r="L25" s="157"/>
      <c r="M25" s="157"/>
      <c r="N25" s="157"/>
    </row>
    <row r="26" spans="1:14">
      <c r="A26" s="157"/>
      <c r="B26" s="157"/>
      <c r="C26" s="157"/>
      <c r="D26" s="157"/>
      <c r="E26" s="157"/>
      <c r="F26" s="157"/>
      <c r="G26" s="157"/>
      <c r="H26" s="157"/>
      <c r="I26" s="157"/>
      <c r="J26" s="157"/>
      <c r="K26" s="157"/>
      <c r="L26" s="157"/>
      <c r="M26" s="157"/>
      <c r="N26" s="157"/>
    </row>
    <row r="27" spans="1:14">
      <c r="A27" s="157"/>
      <c r="B27" s="157"/>
      <c r="C27" s="157"/>
      <c r="D27" s="157"/>
      <c r="E27" s="157"/>
      <c r="F27" s="157"/>
      <c r="G27" s="157"/>
      <c r="H27" s="157"/>
      <c r="I27" s="157"/>
      <c r="J27" s="157"/>
      <c r="K27" s="157"/>
      <c r="L27" s="157"/>
      <c r="M27" s="157"/>
      <c r="N27" s="157"/>
    </row>
    <row r="28" spans="1:14">
      <c r="A28" s="157"/>
      <c r="B28" s="157"/>
      <c r="C28" s="157"/>
      <c r="D28" s="157"/>
      <c r="E28" s="157"/>
      <c r="F28" s="157"/>
      <c r="G28" s="157"/>
      <c r="H28" s="157"/>
      <c r="I28" s="157"/>
      <c r="J28" s="157"/>
      <c r="K28" s="157"/>
      <c r="L28" s="157"/>
      <c r="M28" s="157"/>
      <c r="N28" s="157"/>
    </row>
    <row r="29" spans="1:14">
      <c r="A29" s="157"/>
      <c r="B29" s="157"/>
      <c r="C29" s="157"/>
      <c r="D29" s="157"/>
      <c r="E29" s="157"/>
      <c r="F29" s="157"/>
      <c r="G29" s="157"/>
      <c r="H29" s="157"/>
      <c r="I29" s="157"/>
      <c r="J29" s="157"/>
      <c r="K29" s="157"/>
      <c r="L29" s="157"/>
      <c r="M29" s="157"/>
      <c r="N29" s="157"/>
    </row>
    <row r="30" spans="1:14">
      <c r="A30" s="157"/>
      <c r="B30" s="157"/>
      <c r="C30" s="157"/>
      <c r="D30" s="157"/>
      <c r="E30" s="157"/>
      <c r="F30" s="157"/>
      <c r="G30" s="157"/>
      <c r="H30" s="157"/>
      <c r="I30" s="157"/>
      <c r="J30" s="157"/>
      <c r="K30" s="157"/>
      <c r="L30" s="157"/>
      <c r="M30" s="157"/>
      <c r="N30" s="157"/>
    </row>
    <row r="31" spans="1:14">
      <c r="A31" s="157"/>
      <c r="B31" s="157"/>
      <c r="C31" s="157"/>
      <c r="D31" s="157"/>
      <c r="E31" s="157"/>
      <c r="F31" s="157"/>
      <c r="G31" s="157"/>
      <c r="H31" s="157"/>
      <c r="I31" s="157"/>
      <c r="J31" s="157"/>
      <c r="K31" s="157"/>
      <c r="L31" s="157"/>
      <c r="M31" s="157"/>
      <c r="N31" s="157"/>
    </row>
    <row r="32" spans="1:14">
      <c r="A32" s="157"/>
      <c r="B32" s="157"/>
      <c r="C32" s="157"/>
      <c r="D32" s="157"/>
      <c r="E32" s="157"/>
      <c r="F32" s="157"/>
      <c r="G32" s="157"/>
      <c r="H32" s="157"/>
      <c r="I32" s="157"/>
      <c r="J32" s="157"/>
      <c r="K32" s="157"/>
      <c r="L32" s="157"/>
      <c r="M32" s="157"/>
      <c r="N32" s="157"/>
    </row>
    <row r="33" spans="1:21">
      <c r="A33" s="157"/>
      <c r="B33" s="157"/>
      <c r="C33" s="157"/>
      <c r="D33" s="157"/>
      <c r="E33" s="157"/>
      <c r="F33" s="157"/>
      <c r="G33" s="157"/>
      <c r="H33" s="157"/>
      <c r="I33" s="157"/>
      <c r="J33" s="157"/>
      <c r="K33" s="157"/>
      <c r="L33" s="157"/>
      <c r="M33" s="157"/>
      <c r="N33" s="157"/>
    </row>
    <row r="34" spans="1:21">
      <c r="A34" s="157"/>
      <c r="B34" s="157"/>
      <c r="C34" s="157"/>
      <c r="D34" s="157"/>
      <c r="E34" s="157"/>
      <c r="F34" s="157"/>
      <c r="G34" s="157"/>
      <c r="H34" s="157"/>
      <c r="I34" s="157"/>
      <c r="J34" s="157"/>
      <c r="K34" s="157"/>
      <c r="L34" s="157"/>
      <c r="M34" s="157"/>
      <c r="N34" s="157"/>
    </row>
    <row r="35" spans="1:21">
      <c r="A35" s="157"/>
      <c r="B35" s="157"/>
      <c r="C35" s="157"/>
      <c r="D35" s="157"/>
      <c r="E35" s="157"/>
      <c r="F35" s="157"/>
      <c r="G35" s="157"/>
      <c r="H35" s="157"/>
      <c r="I35" s="157"/>
      <c r="J35" s="157"/>
      <c r="K35" s="157"/>
      <c r="L35" s="157"/>
      <c r="M35" s="157"/>
      <c r="N35" s="157"/>
    </row>
    <row r="36" spans="1:21">
      <c r="A36" s="157"/>
      <c r="B36" s="157"/>
      <c r="C36" s="157"/>
      <c r="D36" s="157"/>
      <c r="E36" s="157"/>
      <c r="F36" s="157"/>
      <c r="G36" s="157"/>
      <c r="H36" s="157"/>
      <c r="I36" s="157"/>
      <c r="J36" s="157"/>
      <c r="K36" s="157"/>
      <c r="L36" s="157"/>
      <c r="M36" s="157"/>
      <c r="N36" s="157"/>
    </row>
    <row r="37" spans="1:21">
      <c r="A37" s="157"/>
      <c r="B37" s="157"/>
      <c r="C37" s="157"/>
      <c r="D37" s="157"/>
      <c r="E37" s="157"/>
      <c r="F37" s="157"/>
      <c r="G37" s="157"/>
      <c r="H37" s="157"/>
      <c r="I37" s="157"/>
      <c r="J37" s="157"/>
      <c r="K37" s="157"/>
      <c r="L37" s="157"/>
      <c r="M37" s="157"/>
      <c r="N37" s="157"/>
    </row>
    <row r="41" spans="1:21">
      <c r="T41" s="847" t="s">
        <v>695</v>
      </c>
      <c r="U41" t="s">
        <v>692</v>
      </c>
    </row>
    <row r="46" spans="1:21">
      <c r="R46" t="s">
        <v>695</v>
      </c>
    </row>
    <row r="47" spans="1:21">
      <c r="R47" t="s">
        <v>693</v>
      </c>
    </row>
    <row r="48" spans="1:21">
      <c r="R48" t="s">
        <v>692</v>
      </c>
    </row>
    <row r="49" spans="18:18">
      <c r="R49" t="s">
        <v>694</v>
      </c>
    </row>
  </sheetData>
  <sheetProtection formatCells="0"/>
  <protectedRanges>
    <protectedRange sqref="A1" name="Range3"/>
    <protectedRange sqref="G7" name="Range1"/>
    <protectedRange sqref="J18" name="Range2"/>
  </protectedRanges>
  <pageMargins left="0.7" right="0.7" top="0.75" bottom="0.75" header="0.3" footer="0.3"/>
  <pageSetup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radeLog">
    <tabColor theme="5"/>
  </sheetPr>
  <dimension ref="A1:DB2574"/>
  <sheetViews>
    <sheetView showGridLines="0" showRowColHeaders="0" topLeftCell="C1" zoomScaleNormal="100" workbookViewId="0">
      <pane ySplit="14" topLeftCell="A15" activePane="bottomLeft" state="frozen"/>
      <selection activeCell="B1" sqref="B1"/>
      <selection pane="bottomLeft"/>
    </sheetView>
  </sheetViews>
  <sheetFormatPr defaultColWidth="0" defaultRowHeight="15"/>
  <cols>
    <col min="1" max="1" width="5.5703125" hidden="1" customWidth="1"/>
    <col min="2" max="2" width="7" hidden="1" customWidth="1"/>
    <col min="3" max="3" width="4.140625" customWidth="1"/>
    <col min="4" max="5" width="11.28515625" customWidth="1"/>
    <col min="6" max="6" width="6.140625" customWidth="1"/>
    <col min="7" max="7" width="13" customWidth="1"/>
    <col min="8" max="8" width="14" customWidth="1"/>
    <col min="9" max="9" width="11.140625" customWidth="1"/>
    <col min="10" max="10" width="10" hidden="1" customWidth="1"/>
    <col min="11" max="11" width="13.7109375" hidden="1" customWidth="1"/>
    <col min="12" max="15" width="8.5703125" hidden="1" customWidth="1"/>
    <col min="16" max="18" width="7" hidden="1" customWidth="1"/>
    <col min="19" max="19" width="10" hidden="1" customWidth="1"/>
    <col min="20" max="20" width="11.140625" customWidth="1"/>
    <col min="21" max="21" width="16.42578125" customWidth="1"/>
    <col min="22" max="22" width="13" customWidth="1"/>
    <col min="23" max="23" width="14.85546875" hidden="1" customWidth="1"/>
    <col min="24" max="24" width="15.140625" hidden="1" customWidth="1"/>
    <col min="25" max="25" width="8.5703125" hidden="1" customWidth="1"/>
    <col min="26" max="26" width="14.7109375" customWidth="1"/>
    <col min="27" max="27" width="13" customWidth="1"/>
    <col min="28" max="29" width="6.85546875" customWidth="1"/>
    <col min="30" max="30" width="16.42578125" customWidth="1"/>
    <col min="31" max="31" width="13.7109375" customWidth="1"/>
    <col min="32" max="32" width="33.5703125" customWidth="1"/>
    <col min="33" max="33" width="55.42578125" customWidth="1"/>
    <col min="34" max="34" width="18.7109375" customWidth="1"/>
    <col min="35" max="35" width="17.28515625" hidden="1" customWidth="1"/>
    <col min="36" max="36" width="10" hidden="1" customWidth="1"/>
    <col min="37" max="37" width="8" hidden="1" customWidth="1"/>
    <col min="38" max="38" width="11.42578125" hidden="1" customWidth="1"/>
    <col min="39" max="39" width="10.42578125" hidden="1" customWidth="1"/>
    <col min="40" max="43" width="8" hidden="1" customWidth="1"/>
    <col min="44" max="44" width="6" hidden="1" customWidth="1"/>
    <col min="45" max="45" width="6.7109375" hidden="1" customWidth="1"/>
    <col min="46" max="46" width="10.5703125" hidden="1" customWidth="1"/>
    <col min="47" max="47" width="9.5703125" hidden="1" customWidth="1"/>
    <col min="48" max="48" width="11.5703125" hidden="1" customWidth="1"/>
    <col min="49" max="49" width="14.140625" hidden="1" customWidth="1"/>
    <col min="50" max="50" width="14.5703125" hidden="1" customWidth="1"/>
    <col min="51" max="51" width="14.7109375" hidden="1" customWidth="1"/>
    <col min="52" max="52" width="8.5703125" hidden="1" customWidth="1"/>
    <col min="53" max="53" width="11.7109375" hidden="1" customWidth="1"/>
    <col min="54" max="54" width="8.85546875" hidden="1" customWidth="1"/>
    <col min="55" max="55" width="11" hidden="1" customWidth="1"/>
    <col min="56" max="56" width="12.7109375" hidden="1" customWidth="1"/>
    <col min="57" max="61" width="8.85546875" hidden="1" customWidth="1"/>
    <col min="62" max="62" width="14" hidden="1" customWidth="1"/>
    <col min="63" max="63" width="15.42578125" hidden="1" customWidth="1"/>
    <col min="64" max="64" width="10.5703125" hidden="1" customWidth="1"/>
    <col min="65" max="65" width="11.42578125" hidden="1" customWidth="1"/>
    <col min="66" max="66" width="10.28515625" hidden="1" customWidth="1"/>
    <col min="67" max="68" width="8.85546875" hidden="1" customWidth="1"/>
    <col min="69" max="69" width="8.140625" hidden="1" customWidth="1"/>
    <col min="70" max="70" width="11.28515625" hidden="1" customWidth="1"/>
    <col min="71" max="71" width="15.28515625" hidden="1" customWidth="1"/>
    <col min="72" max="75" width="12" hidden="1" customWidth="1"/>
    <col min="76" max="76" width="13.85546875" hidden="1" customWidth="1"/>
    <col min="77" max="77" width="10.42578125" hidden="1" customWidth="1"/>
    <col min="78" max="78" width="8" hidden="1" customWidth="1"/>
    <col min="79" max="80" width="11.140625" hidden="1" customWidth="1"/>
    <col min="81" max="83" width="3.7109375" hidden="1" customWidth="1"/>
    <col min="84" max="97" width="4.140625" hidden="1" customWidth="1"/>
    <col min="98" max="103" width="8.42578125" hidden="1" customWidth="1"/>
    <col min="104" max="104" width="8.85546875" hidden="1" customWidth="1"/>
    <col min="105" max="105" width="10.85546875" hidden="1" customWidth="1"/>
    <col min="106" max="106" width="10.7109375" hidden="1" customWidth="1"/>
    <col min="107" max="16384" width="8.85546875" hidden="1"/>
  </cols>
  <sheetData>
    <row r="1" spans="3:78" ht="24.95" customHeight="1">
      <c r="C1" s="294" t="s">
        <v>258</v>
      </c>
      <c r="D1" s="295"/>
      <c r="E1" s="296">
        <f>I10</f>
        <v>43038</v>
      </c>
      <c r="F1" s="297">
        <f>VALUE(TEXT(E1,"mm/yyyy"))</f>
        <v>43009</v>
      </c>
      <c r="G1" s="298">
        <f>DATE(YEAR(I10),MONTH(I10),DAY(1))</f>
        <v>43009</v>
      </c>
      <c r="H1" s="299"/>
      <c r="I1" s="300"/>
      <c r="T1" s="299"/>
      <c r="U1" s="301"/>
      <c r="V1" s="299"/>
      <c r="Z1" s="301"/>
      <c r="AA1" s="302"/>
      <c r="AB1" s="301"/>
      <c r="AC1" s="301"/>
      <c r="AD1" s="289"/>
      <c r="AE1" s="302"/>
      <c r="AF1" s="300"/>
      <c r="AG1" s="743"/>
      <c r="AH1" s="728">
        <f>AH4+Settings!Q9</f>
        <v>81</v>
      </c>
      <c r="AJ1" s="488">
        <f>MAX(COUNT(H15:H19998)+12,20)</f>
        <v>59</v>
      </c>
      <c r="AS1" s="33" t="s">
        <v>173</v>
      </c>
      <c r="AT1" s="33">
        <f>MAX(AS14:AS20100)</f>
        <v>21</v>
      </c>
      <c r="AU1" s="39" t="s">
        <v>481</v>
      </c>
      <c r="AV1" s="40">
        <f>AT1-Settings!T10+1</f>
        <v>-28</v>
      </c>
      <c r="BI1" s="135">
        <f>-Settings!Q6+1</f>
        <v>1</v>
      </c>
      <c r="BJ1" s="135">
        <f>Settings!Q6+1</f>
        <v>1</v>
      </c>
      <c r="BK1">
        <f>Settings!Q7</f>
        <v>100</v>
      </c>
      <c r="BN1" s="36" t="s">
        <v>475</v>
      </c>
      <c r="BO1" s="37">
        <f>COUNTIF(AK15:AK17338,"&gt;0")+34</f>
        <v>46</v>
      </c>
    </row>
    <row r="2" spans="3:78" ht="3.75" customHeight="1">
      <c r="C2" s="289"/>
      <c r="D2" s="303">
        <v>1</v>
      </c>
      <c r="E2" s="304"/>
      <c r="F2" s="304"/>
      <c r="G2" s="304"/>
      <c r="H2" s="304"/>
      <c r="I2" s="304"/>
      <c r="T2" s="291"/>
      <c r="U2" s="291"/>
      <c r="V2" s="305"/>
      <c r="Z2" s="291"/>
      <c r="AA2" s="302"/>
      <c r="AB2" s="306"/>
      <c r="AC2" s="306"/>
      <c r="AD2" s="289"/>
      <c r="AE2" s="307"/>
      <c r="AF2" s="307"/>
      <c r="AG2" s="744"/>
      <c r="AH2" s="728"/>
      <c r="AS2" s="33"/>
      <c r="AT2" s="33"/>
      <c r="AU2" s="41"/>
      <c r="AV2" s="42"/>
    </row>
    <row r="3" spans="3:78" ht="18" customHeight="1">
      <c r="C3" s="289"/>
      <c r="D3" s="984" t="s">
        <v>5</v>
      </c>
      <c r="E3" s="308"/>
      <c r="F3" s="799" t="s">
        <v>443</v>
      </c>
      <c r="G3" s="799"/>
      <c r="H3" s="799"/>
      <c r="I3" s="801" t="s">
        <v>446</v>
      </c>
      <c r="T3" s="292"/>
      <c r="U3" s="292"/>
      <c r="V3" s="309"/>
      <c r="Z3" s="292"/>
      <c r="AA3" s="1056" t="s">
        <v>553</v>
      </c>
      <c r="AB3" s="1056"/>
      <c r="AC3" s="1056"/>
      <c r="AD3" s="289"/>
      <c r="AE3" s="310"/>
      <c r="AF3" s="311"/>
      <c r="AG3" s="745"/>
      <c r="AH3" s="728">
        <f>IF(AH5&lt;AI3,AH5,AI3)</f>
        <v>20</v>
      </c>
      <c r="AI3">
        <f>COUNT(AI15:AI13676)+14</f>
        <v>64</v>
      </c>
      <c r="AJ3" s="34" t="s">
        <v>232</v>
      </c>
      <c r="AK3" s="34" t="s">
        <v>42</v>
      </c>
      <c r="AM3" t="s">
        <v>52</v>
      </c>
      <c r="AN3">
        <f>COUNTIF($AN$15:$AN$25905,2)</f>
        <v>9</v>
      </c>
      <c r="AS3" s="33" t="s">
        <v>71</v>
      </c>
      <c r="AT3" s="33">
        <f>COUNTIF(AN15:AN17342,1)</f>
        <v>12</v>
      </c>
      <c r="AU3" s="41" t="s">
        <v>480</v>
      </c>
      <c r="AV3" s="42">
        <f>MATCH(AV4,AS15:AS20100,0)</f>
        <v>1</v>
      </c>
      <c r="BJ3" t="s">
        <v>454</v>
      </c>
      <c r="BK3" t="s">
        <v>531</v>
      </c>
    </row>
    <row r="4" spans="3:78" ht="14.1" customHeight="1">
      <c r="C4" s="289"/>
      <c r="D4" s="985" t="str">
        <f>IFERROR("Beg. Capital ("&amp;TEXT(F1,"mm-yyyy")&amp;"):","Beg Capital:")</f>
        <v>Beg. Capital (10-2017):</v>
      </c>
      <c r="E4" s="289"/>
      <c r="F4" s="1054">
        <f>'Stock Position'!AK4</f>
        <v>142474.50915</v>
      </c>
      <c r="G4" s="1054"/>
      <c r="H4" s="312">
        <f>IF(F4=0,0,100%)</f>
        <v>1</v>
      </c>
      <c r="I4" s="996" t="s">
        <v>233</v>
      </c>
      <c r="J4" s="997"/>
      <c r="K4" s="997" t="s">
        <v>115</v>
      </c>
      <c r="L4" s="997" t="s">
        <v>116</v>
      </c>
      <c r="M4" s="997" t="s">
        <v>117</v>
      </c>
      <c r="N4" s="997" t="s">
        <v>115</v>
      </c>
      <c r="O4" s="997" t="s">
        <v>118</v>
      </c>
      <c r="P4" s="997"/>
      <c r="Q4" s="997"/>
      <c r="R4" s="997"/>
      <c r="S4" s="997"/>
      <c r="T4" s="996" t="s">
        <v>3</v>
      </c>
      <c r="U4" s="996" t="s">
        <v>8</v>
      </c>
      <c r="V4" s="996" t="s">
        <v>7</v>
      </c>
      <c r="W4" s="997"/>
      <c r="X4" s="997"/>
      <c r="Y4" s="997"/>
      <c r="Z4" s="996" t="s">
        <v>9</v>
      </c>
      <c r="AA4" s="996" t="s">
        <v>546</v>
      </c>
      <c r="AB4" s="1055" t="s">
        <v>547</v>
      </c>
      <c r="AC4" s="1055"/>
      <c r="AD4" s="289"/>
      <c r="AE4" s="314"/>
      <c r="AF4" s="315"/>
      <c r="AG4" s="745"/>
      <c r="AH4" s="728">
        <f>MAX(COUNTA(E15:E26010)+14,20)</f>
        <v>61</v>
      </c>
      <c r="AJ4" s="38">
        <f>IF(AE9&gt;1,1,AE9)</f>
        <v>0.28188555702922935</v>
      </c>
      <c r="AK4" s="38">
        <f>IFERROR(IF(AF9&lt;0,0,AF9),1)</f>
        <v>0.71811444297077065</v>
      </c>
      <c r="AM4" t="s">
        <v>34</v>
      </c>
      <c r="AN4">
        <f>COUNTIF($AN$15:$AN$25905,1)</f>
        <v>12</v>
      </c>
      <c r="AS4" s="33" t="s">
        <v>461</v>
      </c>
      <c r="AT4" s="33">
        <f>COUNTIF(AN15:AN17342,2)</f>
        <v>9</v>
      </c>
      <c r="AU4" s="43" t="s">
        <v>400</v>
      </c>
      <c r="AV4" s="44">
        <f>IF(AV1&lt;0,0,AV1)</f>
        <v>0</v>
      </c>
      <c r="AY4">
        <f>AV14</f>
        <v>100000</v>
      </c>
      <c r="BH4">
        <f>IFERROR(ROUND(MAX(INDEX($BK:$BK, $BL$5):INDEX($BK:$BK, $BL$4)) * 1.03, -1), 1)</f>
        <v>148820</v>
      </c>
      <c r="BI4" s="39" t="s">
        <v>526</v>
      </c>
      <c r="BJ4" s="51">
        <f>IFERROR(ROUND(MAX(INDEX($BK:$BK, $BL$5):INDEX($BK:$BK, $BL$4)) * BJ1, -1), 1)</f>
        <v>144490</v>
      </c>
      <c r="BK4" s="40">
        <f>COUNT(AZ15:AZ25863)</f>
        <v>21</v>
      </c>
      <c r="BL4">
        <f>BK4+14</f>
        <v>35</v>
      </c>
      <c r="BQ4" t="s">
        <v>173</v>
      </c>
    </row>
    <row r="5" spans="3:78" ht="14.1" customHeight="1">
      <c r="C5" s="329" t="str">
        <f>"e"&amp;COUNTA(E15:E17440)+15</f>
        <v>e62</v>
      </c>
      <c r="D5" s="985" t="str">
        <f>IFERROR("Add Deposit ("&amp;TEXT(F1,"mm-yyyy")&amp;"):","Add Deposit:")</f>
        <v>Add Deposit (10-2017):</v>
      </c>
      <c r="E5" s="289"/>
      <c r="F5" s="1045">
        <f>IFERROR(INDEX('Monthly Report'!$AG$21:$AG$87,MATCH(G1,'Monthly Report'!$D$21:$D$87,0)),"")</f>
        <v>20000</v>
      </c>
      <c r="G5" s="1045"/>
      <c r="H5" s="316">
        <f>IFERROR(F5/F4,0)</f>
        <v>0.14037598809302512</v>
      </c>
      <c r="I5" s="293">
        <f>IFERROR(Z5/'Stock Position'!$W$11,"")</f>
        <v>1</v>
      </c>
      <c r="K5" t="str">
        <f>Settings!W3</f>
        <v>Amount</v>
      </c>
      <c r="L5">
        <f>Settings!X3</f>
        <v>2.5000000000000001E-3</v>
      </c>
      <c r="M5">
        <f>Settings!Y3</f>
        <v>20</v>
      </c>
      <c r="N5" t="str">
        <f>Settings!Z3</f>
        <v>Amount</v>
      </c>
      <c r="O5">
        <f>Settings!AA3</f>
        <v>0</v>
      </c>
      <c r="T5" s="340" t="str">
        <f>calc!BI15</f>
        <v>PXP</v>
      </c>
      <c r="U5" s="317">
        <f>calc!BK15</f>
        <v>6.7197649999999998</v>
      </c>
      <c r="V5" s="318">
        <f>calc!BJ15</f>
        <v>6900</v>
      </c>
      <c r="Z5" s="318">
        <f>V5*U5</f>
        <v>46366.378499999999</v>
      </c>
      <c r="AA5" s="330">
        <f>IFERROR(IF(AM5="L",((Z5-($AA$10*$AK$9)+BQ5)/V5),((Z5+($AA$10*$AK$9)+BQ5)/V5)),"")</f>
        <v>6.5415206143586948</v>
      </c>
      <c r="AB5" s="1046">
        <f>IFERROR(IF(AM5="L",((Z5+($AB$10*$AK$9)+BQ5)/V5),((Z5+($AB$10*$AK$9)+BQ5)/V5)),"")</f>
        <v>7.495065743923913</v>
      </c>
      <c r="AC5" s="1046"/>
      <c r="AD5" s="289"/>
      <c r="AE5" s="314"/>
      <c r="AF5" s="320"/>
      <c r="AG5" s="745"/>
      <c r="AH5" s="728">
        <f>IF(AH4&gt;64,AH4-25,20)</f>
        <v>20</v>
      </c>
      <c r="AI5" t="s">
        <v>576</v>
      </c>
      <c r="AM5" s="34" t="str">
        <f>calc!BP15</f>
        <v>L</v>
      </c>
      <c r="AN5" s="34" t="str">
        <f>Settings!T3</f>
        <v>Php</v>
      </c>
      <c r="AY5">
        <f>AX17341</f>
        <v>0</v>
      </c>
      <c r="BE5" t="s">
        <v>440</v>
      </c>
      <c r="BH5">
        <f>IFERROR(ROUND(MIN(INDEX($BK:$BK, $BL$5):INDEX($BK:$BK, $BL$4)) * 1.03, -1), 1)</f>
        <v>102220</v>
      </c>
      <c r="BI5" t="s">
        <v>527</v>
      </c>
      <c r="BJ5">
        <f>IFERROR(ROUND(MIN(INDEX($BK:$BK, $BL$5):INDEX($BK:$BK, $BL$4)) * BI1, -1), 1)</f>
        <v>99250</v>
      </c>
      <c r="BK5">
        <f>IF(BK1="ALL",0,IF(BK1&gt;=BK4,0,BK4-BK1))</f>
        <v>0</v>
      </c>
      <c r="BL5">
        <f>BK5+14</f>
        <v>14</v>
      </c>
      <c r="BM5">
        <f>IF(V5="","",IF(IF($N$5="Amount",$O$5*Z5,IF($N$5="Total Shares",$O$5*V5,$O$5))=0,MAX(IF($K$5="amount",(Z5*$L$5),IF($K$5="Total Shares",($L$5*V5),$L$5)),$M$5),MIN(IF($N$5="Amount",$O$5*Z5,IF($N$5="Total Shares",$O$5*V5,$O$5)),MAX(IF($K$5="amount",(Z5*$L$5),IF($K$5="Total Shares",($L$5*V5),$L$5)),$M$5))))</f>
        <v>115.91594625</v>
      </c>
      <c r="BN5">
        <f>IF(V5="","",IF(IF($N$6="Amount",$O$6*Z5,IF($N$6="Total Shares",$O$6*V5,$O$6))=0,MAX(IF($K$6="amount",(Z5*$L$6),IF($K$6="Total Shares",($L$6*V5),$L$6)),$M$6),MIN(IF($N$6="Amount",$O$6*Z5,IF($N$6="Total Shares",$O$6*V5,$O$6)),MAX(IF($K$6="amount",(Z5*$L$6),IF($K$6="Total Shares",($L$6*V5),$L$6)),$M$6))))</f>
        <v>13.909913549999999</v>
      </c>
      <c r="BO5">
        <f>IF(IF($N$7="Amount",$O$7*Z5,IF($N$7="Total Shares",$O$7*V5,$O$7))=0,MAX(IF($K$7="amount",(Z5*$L$7),IF($K$7="Total Shares",($L$7*V5),$L$7)),$M$7),MIN(IF($N$7="Amount",$O$7*Z5,IF($N$7="Total Shares",$O$7*V5,$O$7)),MAX(IF($K$7="amount",(Z5*$L$7),IF($K$7="Total Shares",($L$7*V5),$L$7)),$M$7)))</f>
        <v>6.9549567749999994</v>
      </c>
      <c r="BP5">
        <f>IF(IF($N$8="Amount",$O$8*Z5,IF($N$8="Total Shares",$O$8*V5,$O$8))=0,MAX(IF($K$8="amount",(Z5*$L$8),IF($K$8="Total Shares",($L$8*V5),$L$8)),$M$8),MIN(IF($N$8="Amount",$O$8*Z5,IF($N$8="Total Shares",$O$8*V5,$O$8)),MAX(IF($K$8="amount",(Z5*$L$8),IF($K$8="Total Shares",($L$8*V5),$L$8)),$M$8)))</f>
        <v>278.19827099999998</v>
      </c>
      <c r="BQ5">
        <f>SUM(BM5:BP5)</f>
        <v>414.97908757499999</v>
      </c>
    </row>
    <row r="6" spans="3:78" ht="14.1" customHeight="1">
      <c r="C6" s="289"/>
      <c r="D6" s="986" t="str">
        <f>IFERROR("Div. Received ("&amp;TEXT(F1,"mm-yyyy")&amp;"):","Div. Received:")</f>
        <v>Div. Received (10-2017):</v>
      </c>
      <c r="E6" s="289"/>
      <c r="F6" s="1045">
        <f>IFERROR(INDEX('Monthly Report'!$AI$21:$AI$87,MATCH(G1,'Monthly Report'!$D$21:$D$87,0)),"")</f>
        <v>5555</v>
      </c>
      <c r="G6" s="1045"/>
      <c r="H6" s="321">
        <f>IFERROR((F6)/F4,0)</f>
        <v>3.898943069283773E-2</v>
      </c>
      <c r="I6" s="293">
        <f>IFERROR(Z6/'Stock Position'!$W$11,"")</f>
        <v>0</v>
      </c>
      <c r="K6" t="str">
        <f>Settings!W4</f>
        <v>Amount</v>
      </c>
      <c r="L6">
        <f>Settings!X4</f>
        <v>2.9999999999999997E-4</v>
      </c>
      <c r="M6">
        <f>Settings!Y4</f>
        <v>2.4</v>
      </c>
      <c r="N6" t="str">
        <f>Settings!Z4</f>
        <v>Amount</v>
      </c>
      <c r="O6">
        <f>Settings!AA4</f>
        <v>0</v>
      </c>
      <c r="T6" s="340" t="str">
        <f>calc!BI16</f>
        <v/>
      </c>
      <c r="U6" s="317">
        <f>calc!BK16</f>
        <v>0</v>
      </c>
      <c r="V6" s="318">
        <f>calc!BJ16</f>
        <v>0</v>
      </c>
      <c r="Z6" s="318">
        <f>V6*U6</f>
        <v>0</v>
      </c>
      <c r="AA6" s="330" t="str">
        <f>IFERROR(IF(AM6="L",((Z6-($AA$10*$AK$9)+BQ6)/V6),((Z6+($AA$10*$AK$9)+BQ6)/V6)),"")</f>
        <v/>
      </c>
      <c r="AB6" s="1046" t="str">
        <f>IFERROR(IF(AM6="L",((Z6+($AB$10*$AK$9)+BQ6)/V6),((Z6+($AB$10*$AK$9)+BQ6)/V6)),"")</f>
        <v/>
      </c>
      <c r="AC6" s="1046"/>
      <c r="AD6" s="289"/>
      <c r="AE6" s="314"/>
      <c r="AF6" s="320"/>
      <c r="AG6" s="745"/>
      <c r="AH6" s="728">
        <f>IF(AND(AH4&lt;AH7,AH1&gt;AH7),AH7,IF(AH4&lt;AH1,AH1,AH7))</f>
        <v>64</v>
      </c>
      <c r="AI6" t="s">
        <v>577</v>
      </c>
      <c r="AJ6" t="s">
        <v>558</v>
      </c>
      <c r="AK6" s="34">
        <v>1</v>
      </c>
      <c r="AM6" s="34" t="e">
        <f>calc!BP16</f>
        <v>#N/A</v>
      </c>
      <c r="AN6" s="34"/>
      <c r="AS6" t="s">
        <v>670</v>
      </c>
      <c r="AT6" s="800">
        <f>SUMIF(AT15:AT20100,"&gt;0",AT15:AT20100)</f>
        <v>1.3928546038660654</v>
      </c>
      <c r="AZ6" t="s">
        <v>9</v>
      </c>
      <c r="BA6">
        <f>COUNTIF(BK15:BK114,0)+1</f>
        <v>1</v>
      </c>
      <c r="BB6" t="s">
        <v>402</v>
      </c>
      <c r="BD6">
        <f>IFERROR(INDEX(BH15:BH17341,MATCH(BD7,BI15:BI17341,0))*BD7,BG6)</f>
        <v>-3898.1946000000171</v>
      </c>
      <c r="BE6" t="s">
        <v>402</v>
      </c>
      <c r="BJ6" t="s">
        <v>533</v>
      </c>
      <c r="BK6">
        <f>MIN(BK8:BK9)</f>
        <v>20</v>
      </c>
      <c r="BM6">
        <f>IF(V6="","",IF(IF($N$5="Amount",$O$5*Z6,IF($N$5="Total Shares",$O$5*V6,$O$5))=0,MAX(IF($K$5="amount",(Z6*$L$5),IF($K$5="Total Shares",($L$5*V6),$L$5)),$M$5),MIN(IF($N$5="Amount",$O$5*Z6,IF($N$5="Total Shares",$O$5*V6,$O$5)),MAX(IF($K$5="amount",(Z6*$L$5),IF($K$5="Total Shares",($L$5*V6),$L$5)),$M$5))))</f>
        <v>20</v>
      </c>
      <c r="BN6">
        <f>IF(V6="","",IF(IF($N$6="Amount",$O$6*Z6,IF($N$6="Total Shares",$O$6*V6,$O$6))=0,MAX(IF($K$6="amount",(Z6*$L$6),IF($K$6="Total Shares",($L$6*V6),$L$6)),$M$6),MIN(IF($N$6="Amount",$O$6*Z6,IF($N$6="Total Shares",$O$6*V6,$O$6)),MAX(IF($K$6="amount",(Z6*$L$6),IF($K$6="Total Shares",($L$6*V6),$L$6)),$M$6))))</f>
        <v>2.4</v>
      </c>
      <c r="BO6">
        <f>IF(IF($N$7="Amount",$O$7*Z6,IF($N$7="Total Shares",$O$7*V6,$O$7))=0,MAX(IF($K$7="amount",(Z6*$L$7),IF($K$7="Total Shares",($L$7*V6),$L$7)),$M$7),MIN(IF($N$7="Amount",$O$7*Z6,IF($N$7="Total Shares",$O$7*V6,$O$7)),MAX(IF($K$7="amount",(Z6*$L$7),IF($K$7="Total Shares",($L$7*V6),$L$7)),$M$7)))</f>
        <v>0</v>
      </c>
      <c r="BP6">
        <f>IF(IF($N$8="Amount",$O$8*Z6,IF($N$8="Total Shares",$O$8*V6,$O$8))=0,MAX(IF($K$8="amount",(Z6*$L$8),IF($K$8="Total Shares",($L$8*V6),$L$8)),$M$8),MIN(IF($N$8="Amount",$O$8*Z6,IF($N$8="Total Shares",$O$8*V6,$O$8)),MAX(IF($K$8="amount",(Z6*$L$8),IF($K$8="Total Shares",($L$8*V6),$L$8)),$M$8)))</f>
        <v>0</v>
      </c>
      <c r="BQ6">
        <f t="shared" ref="BQ6:BQ9" si="0">SUM(BM6:BP6)</f>
        <v>22.4</v>
      </c>
    </row>
    <row r="7" spans="3:78" ht="14.1" customHeight="1">
      <c r="C7" s="289"/>
      <c r="D7" s="986" t="str">
        <f>IFERROR("Net Profit/Loss ("&amp;TEXT(F1,"mm-yyyy")&amp;"):","Net Gain/Loss:")</f>
        <v>Net Profit/Loss (10-2017):</v>
      </c>
      <c r="E7" s="289"/>
      <c r="F7" s="1045">
        <f>IFERROR(F9-(F8+F6+F5+F4),0)</f>
        <v>-3542.9743000000017</v>
      </c>
      <c r="G7" s="1045"/>
      <c r="H7" s="321">
        <f>IFERROR((F7)/F4,0)</f>
        <v>-2.4867425907534716E-2</v>
      </c>
      <c r="I7" s="293">
        <f>IFERROR(Z7/'Stock Position'!$W$11,"")</f>
        <v>0</v>
      </c>
      <c r="K7" t="str">
        <f>Settings!W5</f>
        <v>Amount</v>
      </c>
      <c r="L7">
        <f>Settings!X5</f>
        <v>1.4999999999999999E-4</v>
      </c>
      <c r="M7">
        <f>Settings!Y5</f>
        <v>0</v>
      </c>
      <c r="N7" t="str">
        <f>Settings!Z5</f>
        <v>Amount</v>
      </c>
      <c r="O7">
        <f>Settings!AA5</f>
        <v>0</v>
      </c>
      <c r="T7" s="340" t="str">
        <f>calc!BI17</f>
        <v/>
      </c>
      <c r="U7" s="317">
        <f>calc!BK17</f>
        <v>0</v>
      </c>
      <c r="V7" s="318">
        <f>calc!BJ17</f>
        <v>0</v>
      </c>
      <c r="Z7" s="318">
        <f>V7*U7</f>
        <v>0</v>
      </c>
      <c r="AA7" s="330" t="str">
        <f>IFERROR(IF(AM7="L",((Z7-($AA$10*$AK$9)+BQ7)/V7),((Z7+($AA$10*$AK$9)+BQ7)/V7)),"")</f>
        <v/>
      </c>
      <c r="AB7" s="1046" t="str">
        <f>IFERROR(IF(AM7="L",((Z7+($AB$10*$AK$9)+BQ7)/V7),((Z7+($AB$10*$AK$9)+BQ7)/V7)),"")</f>
        <v/>
      </c>
      <c r="AC7" s="1046"/>
      <c r="AD7" s="289"/>
      <c r="AE7" s="289"/>
      <c r="AF7" s="289"/>
      <c r="AG7" s="745"/>
      <c r="AH7" s="728">
        <f>COUNT(C15:C19991)+14</f>
        <v>64</v>
      </c>
      <c r="AI7" t="s">
        <v>625</v>
      </c>
      <c r="AM7" s="34" t="e">
        <f>calc!BP17</f>
        <v>#N/A</v>
      </c>
      <c r="AN7" s="34"/>
      <c r="AS7" t="s">
        <v>671</v>
      </c>
      <c r="AT7" s="800">
        <f>AT6/AT4</f>
        <v>0.15476162265178506</v>
      </c>
      <c r="AY7">
        <f>AY5-AY4</f>
        <v>-100000</v>
      </c>
      <c r="AZ7" t="s">
        <v>7</v>
      </c>
      <c r="BB7" t="s">
        <v>403</v>
      </c>
      <c r="BD7">
        <f>MIN(BI15:BI17341,BG7)</f>
        <v>-2.8170380171546636E-2</v>
      </c>
      <c r="BE7" t="s">
        <v>403</v>
      </c>
      <c r="BJ7" t="s">
        <v>532</v>
      </c>
      <c r="BK7">
        <f>BK4+Settings!Q9+14</f>
        <v>55</v>
      </c>
      <c r="BM7">
        <f>IF(V7="","",IF(IF($N$5="Amount",$O$5*Z7,IF($N$5="Total Shares",$O$5*V7,$O$5))=0,MAX(IF($K$5="amount",(Z7*$L$5),IF($K$5="Total Shares",($L$5*V7),$L$5)),$M$5),MIN(IF($N$5="Amount",$O$5*Z7,IF($N$5="Total Shares",$O$5*V7,$O$5)),MAX(IF($K$5="amount",(Z7*$L$5),IF($K$5="Total Shares",($L$5*V7),$L$5)),$M$5))))</f>
        <v>20</v>
      </c>
      <c r="BN7">
        <f>IF(V7="","",IF(IF($N$6="Amount",$O$6*Z7,IF($N$6="Total Shares",$O$6*V7,$O$6))=0,MAX(IF($K$6="amount",(Z7*$L$6),IF($K$6="Total Shares",($L$6*V7),$L$6)),$M$6),MIN(IF($N$6="Amount",$O$6*Z7,IF($N$6="Total Shares",$O$6*V7,$O$6)),MAX(IF($K$6="amount",(Z7*$L$6),IF($K$6="Total Shares",($L$6*V7),$L$6)),$M$6))))</f>
        <v>2.4</v>
      </c>
      <c r="BO7">
        <f>IF(IF($N$7="Amount",$O$7*Z7,IF($N$7="Total Shares",$O$7*V7,$O$7))=0,MAX(IF($K$7="amount",(Z7*$L$7),IF($K$7="Total Shares",($L$7*V7),$L$7)),$M$7),MIN(IF($N$7="Amount",$O$7*Z7,IF($N$7="Total Shares",$O$7*V7,$O$7)),MAX(IF($K$7="amount",(Z7*$L$7),IF($K$7="Total Shares",($L$7*V7),$L$7)),$M$7)))</f>
        <v>0</v>
      </c>
      <c r="BP7">
        <f>IF(IF($N$8="Amount",$O$8*Z7,IF($N$8="Total Shares",$O$8*V7,$O$8))=0,MAX(IF($K$8="amount",(Z7*$L$8),IF($K$8="Total Shares",($L$8*V7),$L$8)),$M$8),MIN(IF($N$8="Amount",$O$8*Z7,IF($N$8="Total Shares",$O$8*V7,$O$8)),MAX(IF($K$8="amount",(Z7*$L$8),IF($K$8="Total Shares",($L$8*V7),$L$8)),$M$8)))</f>
        <v>0</v>
      </c>
      <c r="BQ7">
        <f t="shared" si="0"/>
        <v>22.4</v>
      </c>
    </row>
    <row r="8" spans="3:78" ht="14.1" customHeight="1">
      <c r="C8" s="289"/>
      <c r="D8" s="986" t="str">
        <f>IFERROR("Withdrawal ("&amp;TEXT(F1,"mm-yyyy")&amp;"):","Withdrawal:")</f>
        <v>Withdrawal (10-2017):</v>
      </c>
      <c r="E8" s="289"/>
      <c r="F8" s="1045">
        <f>IFERROR(INDEX('Monthly Report'!$AH$21:$AH$87,MATCH(G1,'Monthly Report'!$D$21:$D$87,0)),"")</f>
        <v>0</v>
      </c>
      <c r="G8" s="1045"/>
      <c r="H8" s="321">
        <f>IFERROR(F8/F4,0)</f>
        <v>0</v>
      </c>
      <c r="I8" s="293">
        <f>IFERROR(Z8/'Stock Position'!$W$11,"")</f>
        <v>0</v>
      </c>
      <c r="K8" t="str">
        <f>Settings!W6</f>
        <v>Amount</v>
      </c>
      <c r="L8">
        <f>Settings!X6</f>
        <v>6.0000000000000001E-3</v>
      </c>
      <c r="M8">
        <f>Settings!Y6</f>
        <v>0</v>
      </c>
      <c r="N8" t="str">
        <f>Settings!Z6</f>
        <v>Amount</v>
      </c>
      <c r="O8">
        <f>Settings!AA6</f>
        <v>0</v>
      </c>
      <c r="T8" s="340" t="str">
        <f>calc!BI18</f>
        <v/>
      </c>
      <c r="U8" s="317">
        <f>calc!BK18</f>
        <v>0</v>
      </c>
      <c r="V8" s="318">
        <f>calc!BJ18</f>
        <v>0</v>
      </c>
      <c r="Z8" s="318">
        <f>V8*U8</f>
        <v>0</v>
      </c>
      <c r="AA8" s="330" t="str">
        <f>IFERROR(IF(AM8="L",((Z8-($AA$10*$AK$9)+BQ8)/V8),((Z8+($AA$10*$AK$9)+BQ8)/V8)),"")</f>
        <v/>
      </c>
      <c r="AB8" s="1046" t="str">
        <f>IFERROR(IF(AM8="L",((Z8+($AB$10*$AK$9)+BQ8)/V8),((Z8+($AB$10*$AK$9)+BQ8)/V8)),"")</f>
        <v/>
      </c>
      <c r="AC8" s="1046"/>
      <c r="AD8" s="289"/>
      <c r="AE8" s="289"/>
      <c r="AF8" s="289"/>
      <c r="AG8" s="745"/>
      <c r="AH8" s="728">
        <f>IF((AH7+Settings!Q10)&gt;10014,10014,AH7+Settings!Q10)</f>
        <v>74</v>
      </c>
      <c r="AI8" t="s">
        <v>626</v>
      </c>
      <c r="AJ8" s="147" t="s">
        <v>472</v>
      </c>
      <c r="AK8" s="37">
        <f>Portfolio!G6</f>
        <v>0.01</v>
      </c>
      <c r="AM8" s="34" t="e">
        <f>calc!BP18</f>
        <v>#N/A</v>
      </c>
      <c r="AN8" s="34"/>
      <c r="AS8" s="33" t="s">
        <v>672</v>
      </c>
      <c r="AT8" s="33">
        <f>INDEX(AY15:AY20100,BJ14)</f>
        <v>0.38777954437982298</v>
      </c>
      <c r="AY8">
        <f>AY7/AY4</f>
        <v>-1</v>
      </c>
      <c r="AZ8" t="s">
        <v>119</v>
      </c>
      <c r="BB8" t="s">
        <v>190</v>
      </c>
      <c r="BC8">
        <f>MIN(BG15:BG17341,BF8)</f>
        <v>-3</v>
      </c>
      <c r="BD8">
        <f>MIN(BF15:BF17441,BG8)</f>
        <v>-3761.5124999999971</v>
      </c>
      <c r="BE8" t="s">
        <v>190</v>
      </c>
      <c r="BK8">
        <f>COUNT(BJ15:BJ9991)+14</f>
        <v>35</v>
      </c>
      <c r="BM8">
        <f>IF(V8="","",IF(IF($N$5="Amount",$O$5*Z8,IF($N$5="Total Shares",$O$5*V8,$O$5))=0,MAX(IF($K$5="amount",(Z8*$L$5),IF($K$5="Total Shares",($L$5*V8),$L$5)),$M$5),MIN(IF($N$5="Amount",$O$5*Z8,IF($N$5="Total Shares",$O$5*V8,$O$5)),MAX(IF($K$5="amount",(Z8*$L$5),IF($K$5="Total Shares",($L$5*V8),$L$5)),$M$5))))</f>
        <v>20</v>
      </c>
      <c r="BN8">
        <f>IF(V8="","",IF(IF($N$6="Amount",$O$6*Z8,IF($N$6="Total Shares",$O$6*V8,$O$6))=0,MAX(IF($K$6="amount",(Z8*$L$6),IF($K$6="Total Shares",($L$6*V8),$L$6)),$M$6),MIN(IF($N$6="Amount",$O$6*Z8,IF($N$6="Total Shares",$O$6*V8,$O$6)),MAX(IF($K$6="amount",(Z8*$L$6),IF($K$6="Total Shares",($L$6*V8),$L$6)),$M$6))))</f>
        <v>2.4</v>
      </c>
      <c r="BO8">
        <f>IF(IF($N$7="Amount",$O$7*Z8,IF($N$7="Total Shares",$O$7*V8,$O$7))=0,MAX(IF($K$7="amount",(Z8*$L$7),IF($K$7="Total Shares",($L$7*V8),$L$7)),$M$7),MIN(IF($N$7="Amount",$O$7*Z8,IF($N$7="Total Shares",$O$7*V8,$O$7)),MAX(IF($K$7="amount",(Z8*$L$7),IF($K$7="Total Shares",($L$7*V8),$L$7)),$M$7)))</f>
        <v>0</v>
      </c>
      <c r="BP8">
        <f>IF(IF($N$8="Amount",$O$8*Z8,IF($N$8="Total Shares",$O$8*V8,$O$8))=0,MAX(IF($K$8="amount",(Z8*$L$8),IF($K$8="Total Shares",($L$8*V8),$L$8)),$M$8),MIN(IF($N$8="Amount",$O$8*Z8,IF($N$8="Total Shares",$O$8*V8,$O$8)),MAX(IF($K$8="amount",(Z8*$L$8),IF($K$8="Total Shares",($L$8*V8),$L$8)),$M$8)))</f>
        <v>0</v>
      </c>
      <c r="BQ8">
        <f t="shared" si="0"/>
        <v>22.4</v>
      </c>
    </row>
    <row r="9" spans="3:78" ht="14.1" customHeight="1">
      <c r="C9" s="289"/>
      <c r="D9" s="986" t="str">
        <f>IFERROR("End Capital ("&amp;TEXT(F1,"mm-yyyy")&amp;"):","End Capital:")</f>
        <v>End Capital (10-2017):</v>
      </c>
      <c r="E9" s="289"/>
      <c r="F9" s="1050">
        <f>IFERROR(INDEX('Monthly Report'!$J$21:$J$87,MATCH(G1,'Monthly Report'!$D$21:$D$87,0)),"")</f>
        <v>164486.53485</v>
      </c>
      <c r="G9" s="1050"/>
      <c r="H9" s="321">
        <f>IFERROR(INDEX('Monthly Report'!$AL$21:$AL$87,MATCH(G1,'Monthly Report'!$D$21:$D$87,0)),"")</f>
        <v>0.15449799287832816</v>
      </c>
      <c r="I9" s="293">
        <f>IFERROR(Z9/'Stock Position'!$W$11,"")</f>
        <v>0</v>
      </c>
      <c r="T9" s="340" t="str">
        <f>calc!BI19</f>
        <v/>
      </c>
      <c r="U9" s="317">
        <f>calc!BK19</f>
        <v>0</v>
      </c>
      <c r="V9" s="318">
        <f>calc!BJ19</f>
        <v>0</v>
      </c>
      <c r="Z9" s="318">
        <f>V9*U9</f>
        <v>0</v>
      </c>
      <c r="AA9" s="330" t="str">
        <f>IFERROR(IF(AM9="L",((Z9-($AA$10*$AK$9)+BQ9)/V9),((Z9+($AA$10*$AK$9)+BQ9)/V9)),"")</f>
        <v/>
      </c>
      <c r="AB9" s="1046" t="str">
        <f>IFERROR(IF(AM9="L",((Z9+($AB$10*$AK$9)+BQ9)/V9),((Z9+($AB$10*$AK$9)+BQ9)/V9)),"")</f>
        <v/>
      </c>
      <c r="AC9" s="1046"/>
      <c r="AD9" s="289"/>
      <c r="AE9" s="322">
        <f>'Stock Position'!W11/$F$9</f>
        <v>0.28188555702922935</v>
      </c>
      <c r="AF9" s="742">
        <f>F10/$F$9</f>
        <v>0.71811444297077065</v>
      </c>
      <c r="AG9" s="745"/>
      <c r="AH9" s="728">
        <f>AH7+1</f>
        <v>65</v>
      </c>
      <c r="AI9" t="s">
        <v>624</v>
      </c>
      <c r="AJ9" s="147" t="s">
        <v>473</v>
      </c>
      <c r="AK9" s="37">
        <f>Portfolio!G7</f>
        <v>1644.8653485</v>
      </c>
      <c r="AM9" s="34" t="e">
        <f>calc!BP19</f>
        <v>#N/A</v>
      </c>
      <c r="AN9" s="34"/>
      <c r="BB9" t="s">
        <v>189</v>
      </c>
      <c r="BC9">
        <f>MAX(BG15:BG17341,BF9)</f>
        <v>5</v>
      </c>
      <c r="BD9">
        <f>MAX(BF15:BF17441,BG9)</f>
        <v>38275.380499999999</v>
      </c>
      <c r="BE9" t="s">
        <v>189</v>
      </c>
      <c r="BK9">
        <f>IF(BK4&gt;64,BK4-Settings!Q9,20)</f>
        <v>20</v>
      </c>
      <c r="BM9">
        <f>IF(V9="","",IF(IF($N$5="Amount",$O$5*Z9,IF($N$5="Total Shares",$O$5*V9,$O$5))=0,MAX(IF($K$5="amount",(Z9*$L$5),IF($K$5="Total Shares",($L$5*V9),$L$5)),$M$5),MIN(IF($N$5="Amount",$O$5*Z9,IF($N$5="Total Shares",$O$5*V9,$O$5)),MAX(IF($K$5="amount",(Z9*$L$5),IF($K$5="Total Shares",($L$5*V9),$L$5)),$M$5))))</f>
        <v>20</v>
      </c>
      <c r="BN9">
        <f>IF(V9="","",IF(IF($N$6="Amount",$O$6*Z9,IF($N$6="Total Shares",$O$6*V9,$O$6))=0,MAX(IF($K$6="amount",(Z9*$L$6),IF($K$6="Total Shares",($L$6*V9),$L$6)),$M$6),MIN(IF($N$6="Amount",$O$6*Z9,IF($N$6="Total Shares",$O$6*V9,$O$6)),MAX(IF($K$6="amount",(Z9*$L$6),IF($K$6="Total Shares",($L$6*V9),$L$6)),$M$6))))</f>
        <v>2.4</v>
      </c>
      <c r="BO9">
        <f>IF(IF($N$7="Amount",$O$7*Z9,IF($N$7="Total Shares",$O$7*V9,$O$7))=0,MAX(IF($K$7="amount",(Z9*$L$7),IF($K$7="Total Shares",($L$7*V9),$L$7)),$M$7),MIN(IF($N$7="Amount",$O$7*Z9,IF($N$7="Total Shares",$O$7*V9,$O$7)),MAX(IF($K$7="amount",(Z9*$L$7),IF($K$7="Total Shares",($L$7*V9),$L$7)),$M$7)))</f>
        <v>0</v>
      </c>
      <c r="BP9">
        <f>IF(IF($N$8="Amount",$O$8*Z9,IF($N$8="Total Shares",$O$8*V9,$O$8))=0,MAX(IF($K$8="amount",(Z9*$L$8),IF($K$8="Total Shares",($L$8*V9),$L$8)),$M$8),MIN(IF($N$8="Amount",$O$8*Z9,IF($N$8="Total Shares",$O$8*V9,$O$8)),MAX(IF($K$8="amount",(Z9*$L$8),IF($K$8="Total Shares",($L$8*V9),$L$8)),$M$8)))</f>
        <v>0</v>
      </c>
      <c r="BQ9">
        <f t="shared" si="0"/>
        <v>22.4</v>
      </c>
    </row>
    <row r="10" spans="3:78" ht="18" customHeight="1">
      <c r="C10" s="323"/>
      <c r="D10" s="985" t="s">
        <v>10</v>
      </c>
      <c r="E10" s="308"/>
      <c r="F10" s="1051">
        <f>IFERROR((F9-'Stock Position'!AP8),"")</f>
        <v>118120.15635</v>
      </c>
      <c r="G10" s="1051"/>
      <c r="H10" s="316">
        <f>IF(F10&lt;0,"Insufficient Funds",IFERROR(F10/F9,0))</f>
        <v>0.71811444297077065</v>
      </c>
      <c r="I10" s="1052">
        <f>'Monthly Report'!W3</f>
        <v>43038</v>
      </c>
      <c r="J10" s="1052"/>
      <c r="K10" s="1052"/>
      <c r="L10" s="1052"/>
      <c r="M10" s="1052"/>
      <c r="N10" s="1052"/>
      <c r="O10" s="1052"/>
      <c r="P10" s="1052"/>
      <c r="Q10" s="1052"/>
      <c r="R10" s="1052"/>
      <c r="S10" s="1052"/>
      <c r="T10" s="1052"/>
      <c r="U10" s="1053" t="str">
        <f>AK11&amp;" Invalid Date Entry, should be the same with computer date format "</f>
        <v xml:space="preserve">0 Invalid Date Entry, should be the same with computer date format </v>
      </c>
      <c r="V10" s="1053"/>
      <c r="W10" s="1053"/>
      <c r="X10" s="1053"/>
      <c r="Y10" s="1053"/>
      <c r="Z10" s="1053"/>
      <c r="AA10" s="331">
        <v>1</v>
      </c>
      <c r="AB10" s="1047">
        <v>3</v>
      </c>
      <c r="AC10" s="1047"/>
      <c r="AD10" s="848"/>
      <c r="AE10" s="324"/>
      <c r="AF10" s="324"/>
      <c r="AG10" s="746"/>
      <c r="AH10" s="748">
        <f>MAX(COUNT(H15:H19998)+14,AH7)</f>
        <v>64</v>
      </c>
      <c r="AI10" t="s">
        <v>627</v>
      </c>
      <c r="AU10" t="s">
        <v>230</v>
      </c>
      <c r="AV10" t="s">
        <v>528</v>
      </c>
      <c r="AW10" t="s">
        <v>225</v>
      </c>
      <c r="AX10" t="s">
        <v>388</v>
      </c>
      <c r="BB10" t="s">
        <v>408</v>
      </c>
      <c r="BC10">
        <f>MIN(BC15:BC17441,BF10)</f>
        <v>-3898.1946000000025</v>
      </c>
      <c r="BD10">
        <f>IFERROR(INDEX(BB15:BB17341,MATCH(BC10,BC15:BC17341,0)),BG10)</f>
        <v>-2</v>
      </c>
      <c r="BE10" t="s">
        <v>408</v>
      </c>
      <c r="BG10">
        <f>SMALL(AZ17:AZ26,1)</f>
        <v>4</v>
      </c>
    </row>
    <row r="11" spans="3:78" ht="5.0999999999999996" customHeight="1">
      <c r="C11" s="323"/>
      <c r="D11" s="289"/>
      <c r="E11" s="325"/>
      <c r="F11" s="325"/>
      <c r="G11" s="325"/>
      <c r="H11" s="326"/>
      <c r="I11" s="325"/>
      <c r="T11" s="325"/>
      <c r="U11" s="325"/>
      <c r="V11" s="327"/>
      <c r="W11" s="289"/>
      <c r="X11" s="289"/>
      <c r="Y11" s="289"/>
      <c r="Z11" s="327"/>
      <c r="AA11" s="328" t="s">
        <v>390</v>
      </c>
      <c r="AB11" s="1048">
        <f>AK9</f>
        <v>1644.8653485</v>
      </c>
      <c r="AC11" s="1049"/>
      <c r="AD11" s="289"/>
      <c r="AE11" s="324"/>
      <c r="AF11" s="324"/>
      <c r="AG11" s="157"/>
      <c r="AH11" s="747"/>
      <c r="AJ11" t="s">
        <v>460</v>
      </c>
      <c r="AK11">
        <f>BJ14-COUNT($D$15:$D$17341)</f>
        <v>0</v>
      </c>
      <c r="AM11" t="str">
        <f>Settings!T9</f>
        <v>Per Tranche</v>
      </c>
      <c r="AN11">
        <f>IF(AM11="Sold all position",1,0)</f>
        <v>0</v>
      </c>
      <c r="AU11">
        <f>SUM(AU14:AU17441)</f>
        <v>5555</v>
      </c>
      <c r="AV11">
        <f>SUM(AV14:AV17441)</f>
        <v>120000</v>
      </c>
      <c r="BB11" t="s">
        <v>409</v>
      </c>
      <c r="BC11">
        <f>MAX(BE15:BE17441,BF11)</f>
        <v>38275.380499999999</v>
      </c>
      <c r="BD11">
        <f>IFERROR(INDEX(BD15:BD17341,MATCH(BC11,BE15:BE17341,0)),BG11)</f>
        <v>5</v>
      </c>
      <c r="BE11" t="s">
        <v>409</v>
      </c>
      <c r="BJ11" t="s">
        <v>468</v>
      </c>
    </row>
    <row r="12" spans="3:78" ht="20.100000000000001" hidden="1" customHeight="1">
      <c r="D12">
        <v>1</v>
      </c>
      <c r="K12">
        <v>10</v>
      </c>
      <c r="AU12" t="s">
        <v>230</v>
      </c>
      <c r="AV12" t="s">
        <v>229</v>
      </c>
      <c r="AW12" t="s">
        <v>225</v>
      </c>
      <c r="AX12" t="s">
        <v>388</v>
      </c>
      <c r="AY12" t="s">
        <v>465</v>
      </c>
      <c r="BB12" t="s">
        <v>192</v>
      </c>
      <c r="BC12" t="s">
        <v>404</v>
      </c>
      <c r="BD12" t="s">
        <v>193</v>
      </c>
      <c r="BE12" t="s">
        <v>405</v>
      </c>
      <c r="BF12" t="s">
        <v>407</v>
      </c>
      <c r="BG12" t="s">
        <v>406</v>
      </c>
      <c r="BJ12" t="s">
        <v>467</v>
      </c>
      <c r="BO12" t="s">
        <v>469</v>
      </c>
      <c r="BT12" t="s">
        <v>27</v>
      </c>
    </row>
    <row r="13" spans="3:78" ht="20.100000000000001" hidden="1" customHeight="1">
      <c r="C13" s="503">
        <f>C12+1</f>
        <v>1</v>
      </c>
      <c r="D13" s="510"/>
      <c r="E13" s="506"/>
      <c r="F13" s="507"/>
      <c r="G13" s="508"/>
      <c r="H13" s="509"/>
      <c r="I13" s="511"/>
      <c r="K13">
        <f t="shared" ref="K13" si="1">H13*G13</f>
        <v>0</v>
      </c>
      <c r="L13" t="str">
        <f>IF(H13="","",IF(IF($N$5="Amount",$O$5*K13,IF($N$5="Total Shares",$O$5*H13,$O$5))=0,MAX(IF($K$5="amount",(K13*$L$5),IF($K$5="Total Shares",($L$5*H13),$L$5)),$M$5),MIN(IF($N$5="Amount",$O$5*K13,IF($N$5="Total Shares",$O$5*H13,$O$5)),MAX(IF($K$5="amount",(K13*$L$5),IF($K$5="Total Shares",($L$5*H13),$L$5)),$M$5))))</f>
        <v/>
      </c>
      <c r="M13" t="str">
        <f>IF(H13="","",IF(IF($N$6="Amount",$O$6*K13,IF($N$6="Total Shares",$O$6*H13,$O$6))=0,MAX(IF($K$6="amount",(K13*$L$6),IF($K$6="Total Shares",($L$6*H13),$L$6)),$M$6),MIN(IF($N$6="Amount",$O$6*K13,IF($N$6="Total Shares",$O$6*H13,$O$6)),MAX(IF($K$6="amount",(K13*$L$6),IF($K$6="Total Shares",($L$6*H13),$L$6)),$M$6))))</f>
        <v/>
      </c>
      <c r="N13">
        <f>IF(IF($N$7="Amount",$O$7*K13,IF($N$7="Total Shares",$O$7*H13,$O$7))=0,MAX(IF($K$7="amount",(K13*$L$7),IF($K$7="Total Shares",($L$7*H13),$L$7)),$M$7),MIN(IF($N$7="Amount",$O$7*K13,IF($N$7="Total Shares",$O$7*H13,$O$7)),MAX(IF($K$7="amount",(K13*$L$7),IF($K$7="Total Shares",($L$7*H13),$L$7)),$M$7)))</f>
        <v>0</v>
      </c>
      <c r="O13">
        <f>IF(IF($N$8="Amount",$O$8*K13,IF($N$8="Total Shares",$O$8*H13,$O$8))=0,MAX(IF($K$8="amount",(K13*$L$8),IF($K$8="Total Shares",($L$8*H13),$L$8)),$M$8),MIN(IF($N$8="Amount",$O$8*K13,IF($N$8="Total Shares",$O$8*H13,$O$8)),MAX(IF($K$8="amount",(K13*$L$8),IF($K$8="Total Shares",($L$8*H13),$L$8)),$M$8)))</f>
        <v>0</v>
      </c>
      <c r="P13">
        <f>IF(OR(F13="buy",F13="short"),H13,-H13)</f>
        <v>0</v>
      </c>
      <c r="Q13">
        <f>SUMIF($E13:E$15,E13,$P13:P$15)</f>
        <v>0</v>
      </c>
      <c r="R13">
        <f>Q13-P13</f>
        <v>0</v>
      </c>
      <c r="S13" t="str">
        <f>E13&amp;COUNTIFS($E13:E$15,E13,$R13:R$15,0)</f>
        <v>0</v>
      </c>
      <c r="T13" s="514">
        <f>IF(I13="",IF(OR(F13="sell",F13="short"),SUM(L13:N13)+O13,SUM(L13:N13)),I13)</f>
        <v>0</v>
      </c>
      <c r="U13" s="515">
        <f>IF(OR(F13="SELL",F13="Short"),K13-T13,K13+T13)</f>
        <v>0</v>
      </c>
      <c r="V13" s="516">
        <f>IFERROR(IF(OR(F13="sell",F13="cover"),(X13/R13),Y13),0)</f>
        <v>0</v>
      </c>
      <c r="W13">
        <f>IF(OR(F13="SELL",F13="cover"),V13*H13*-1,U13)</f>
        <v>0</v>
      </c>
      <c r="X13">
        <f>SUMIFS($W12:W$15,$E12:E$15,E13)</f>
        <v>0</v>
      </c>
      <c r="Y13" t="e">
        <f>SUMIF($S13:S$15,S13,$W13:W$15)/Q13</f>
        <v>#DIV/0!</v>
      </c>
      <c r="Z13" s="518">
        <f>IFERROR(IF(F13="COVER",-(U13+W13),(IF(F13="SELL",U13+W13,0))),"")</f>
        <v>0</v>
      </c>
      <c r="AA13" s="519">
        <f>IFERROR(Z13/(W13*-1),0)</f>
        <v>0</v>
      </c>
      <c r="AB13" s="520">
        <f>IFERROR(IF(D13="",0,D13-INDEX($D13:D$15,MATCH(S13,$S13:S$15,0))),0)</f>
        <v>0</v>
      </c>
      <c r="AC13" s="521" t="str">
        <f>IFERROR(Z13/(AW12*$AK$8),"")</f>
        <v/>
      </c>
      <c r="AD13" s="515" t="str">
        <f t="shared" ref="AD13" si="2">IF(E13="","",AW13)</f>
        <v/>
      </c>
      <c r="AE13" s="512"/>
      <c r="AF13" s="531"/>
      <c r="AG13" s="961"/>
      <c r="AH13" s="961"/>
      <c r="AI13">
        <f t="shared" ref="AI13" si="3">IF(AN13&gt;0,AL13,IF($AN$11=1,0,Z13))</f>
        <v>0</v>
      </c>
      <c r="AJ13">
        <f>SUMIFS($U13:U$15,$S13:S$15,S13,$W13:W$15,"&gt;0")</f>
        <v>0</v>
      </c>
      <c r="AK13" t="str">
        <f>IF(COUNTIF($E13:E$15,E13)=1,C13,"")</f>
        <v/>
      </c>
      <c r="AL13">
        <f>SUMIF(symbolCode,S13,profitLoss)</f>
        <v>0</v>
      </c>
      <c r="AM13">
        <f>DATE(YEAR(D13),MONTH(D13),DAY(1))</f>
        <v>1</v>
      </c>
      <c r="AN13">
        <f t="shared" ref="AN13" si="4">IF($AN$11=1,AO13,AP13)</f>
        <v>0</v>
      </c>
      <c r="AO13">
        <f>IF(Q13&gt;0,0,IF(AL13&lt;0,1,IF(AL13&gt;0,2,0)))</f>
        <v>0</v>
      </c>
      <c r="AP13">
        <f t="shared" ref="AP13" si="5">IF(Z13&lt;0,1,IF(Z13&gt;0,2,0))</f>
        <v>0</v>
      </c>
      <c r="AR13" t="str">
        <f t="shared" ref="AR13" si="6">IF(AO13&gt;0,AJ13/AW13,"")</f>
        <v/>
      </c>
      <c r="AS13">
        <f t="shared" ref="AS13" si="7">IF(AN13&gt;0,AS12+1,AS12)</f>
        <v>0</v>
      </c>
      <c r="AT13" t="str">
        <f t="shared" ref="AT13:AT15" si="8">IF(AN13&gt;0,AL13/AJ13,"")</f>
        <v/>
      </c>
      <c r="AU13">
        <f>SUMIF(Dividends!$N$15:$N$274,C13,Dividends!$G$15:$G$274)</f>
        <v>0</v>
      </c>
      <c r="AV13">
        <f>SUMIF('Bank Transfers'!$P$15:$P$114,C13,'Bank Transfers'!$H$15:$H$114)</f>
        <v>0</v>
      </c>
      <c r="AW13" t="e">
        <f t="shared" ref="AW13" si="9">AW12+AV12+AU12+Z12</f>
        <v>#VALUE!</v>
      </c>
      <c r="AX13" t="e">
        <f t="shared" ref="AX13" si="10">AX12+AU13+Z13</f>
        <v>#VALUE!</v>
      </c>
      <c r="AY13" t="e">
        <f t="shared" ref="AY13" si="11">(AX13/AX12-1)+AY12</f>
        <v>#VALUE!</v>
      </c>
      <c r="AZ13" t="str">
        <f>IFERROR(IF(AP13&gt;0,C13,""),"")</f>
        <v/>
      </c>
      <c r="BA13" t="e">
        <f t="shared" ref="BA13" si="12">IF(AY13&gt;AY12,1,IF(AY13&lt;AY12,-1,0))</f>
        <v>#VALUE!</v>
      </c>
      <c r="BB13" t="e">
        <f t="shared" ref="BB13" si="13">IF(BA13=1,0,BA13+BB12)</f>
        <v>#VALUE!</v>
      </c>
      <c r="BC13" t="e">
        <f t="shared" ref="BC13" si="14">IF(BB13&lt;0,Z13+BC12,0)</f>
        <v>#VALUE!</v>
      </c>
      <c r="BD13" t="e">
        <f t="shared" ref="BD13" si="15">IF(BA13=-1,0,BA13+BD12)</f>
        <v>#VALUE!</v>
      </c>
      <c r="BE13" t="e">
        <f t="shared" ref="BE13" si="16">IF(BD13&gt;0,Z13+BE12,0)</f>
        <v>#VALUE!</v>
      </c>
      <c r="BF13">
        <f t="shared" ref="BF13" si="17">IF(BG13=$BC$9,BE13,IF(BG13=$BC$8,BC13,0))</f>
        <v>0</v>
      </c>
      <c r="BG13" t="str">
        <f t="shared" ref="BG13" si="18">IFERROR(BD13+BB13,"")</f>
        <v/>
      </c>
      <c r="BH13" t="str">
        <f>IFERROR(MAX($AX13:AX$14),"")</f>
        <v/>
      </c>
      <c r="BI13" t="str">
        <f t="shared" ref="BI13" si="19">IFERROR((AX13-BH13)/BH13,"")</f>
        <v/>
      </c>
      <c r="BJ13">
        <f>SMALL(AZ$15:AZ$26022,C13)</f>
        <v>4</v>
      </c>
      <c r="BK13">
        <f>IFERROR(INDEX($AX$15:$AX$26022,MATCH(BJ13,$AZ$15:$AZ$26022,0)),BK12)</f>
        <v>99246.962750000006</v>
      </c>
      <c r="BM13">
        <f>IFERROR(IF(BJ13&gt;0,BM12+1),"")</f>
        <v>1</v>
      </c>
    </row>
    <row r="14" spans="3:78" ht="21.95" customHeight="1">
      <c r="C14" s="504"/>
      <c r="D14" s="968" t="s">
        <v>79</v>
      </c>
      <c r="E14" s="968" t="s">
        <v>267</v>
      </c>
      <c r="F14" s="968" t="s">
        <v>268</v>
      </c>
      <c r="G14" s="968" t="s">
        <v>269</v>
      </c>
      <c r="H14" s="968" t="s">
        <v>99</v>
      </c>
      <c r="I14" s="969" t="s">
        <v>548</v>
      </c>
      <c r="J14" s="802"/>
      <c r="K14" s="802" t="s">
        <v>16</v>
      </c>
      <c r="L14" s="802" t="s">
        <v>17</v>
      </c>
      <c r="M14" s="802" t="s">
        <v>18</v>
      </c>
      <c r="N14" s="802" t="s">
        <v>19</v>
      </c>
      <c r="O14" s="802" t="s">
        <v>20</v>
      </c>
      <c r="P14" s="802" t="s">
        <v>143</v>
      </c>
      <c r="Q14" s="802" t="s">
        <v>144</v>
      </c>
      <c r="R14" s="802" t="s">
        <v>145</v>
      </c>
      <c r="S14" s="802"/>
      <c r="T14" s="968" t="s">
        <v>200</v>
      </c>
      <c r="U14" s="968" t="str">
        <f>"NET AMOUNT ("&amp;Settings!T3&amp;")"</f>
        <v>NET AMOUNT (Php)</v>
      </c>
      <c r="V14" s="968" t="s">
        <v>271</v>
      </c>
      <c r="W14" s="802" t="s">
        <v>470</v>
      </c>
      <c r="X14" s="802" t="s">
        <v>165</v>
      </c>
      <c r="Y14" s="802" t="s">
        <v>214</v>
      </c>
      <c r="Z14" s="968" t="str">
        <f>"PROFIT ("&amp;Settings!T3&amp;")"</f>
        <v>PROFIT (Php)</v>
      </c>
      <c r="AA14" s="968" t="s">
        <v>265</v>
      </c>
      <c r="AB14" s="968" t="s">
        <v>534</v>
      </c>
      <c r="AC14" s="968" t="s">
        <v>259</v>
      </c>
      <c r="AD14" s="968" t="str">
        <f>"EQUITY ("&amp;Settings!T3&amp;")"</f>
        <v>EQUITY (Php)</v>
      </c>
      <c r="AE14" s="968" t="str">
        <f>Settings!M13</f>
        <v xml:space="preserve"> SETUP</v>
      </c>
      <c r="AF14" s="970" t="str">
        <f>Settings!S13</f>
        <v>REASON FOR BUYING / SELLING</v>
      </c>
      <c r="AG14" s="971" t="s">
        <v>395</v>
      </c>
      <c r="AH14" s="971" t="s">
        <v>395</v>
      </c>
      <c r="AI14" s="489" t="s">
        <v>462</v>
      </c>
      <c r="AJ14" s="34" t="s">
        <v>471</v>
      </c>
      <c r="AK14" s="34" t="s">
        <v>463</v>
      </c>
      <c r="AL14" s="490" t="s">
        <v>459</v>
      </c>
      <c r="AM14" s="489" t="s">
        <v>236</v>
      </c>
      <c r="AN14" s="489" t="s">
        <v>393</v>
      </c>
      <c r="AO14" s="489" t="s">
        <v>391</v>
      </c>
      <c r="AP14" s="489" t="s">
        <v>392</v>
      </c>
      <c r="AR14" s="489" t="s">
        <v>235</v>
      </c>
      <c r="AS14" s="489" t="s">
        <v>456</v>
      </c>
      <c r="AT14" s="489" t="s">
        <v>464</v>
      </c>
      <c r="AU14">
        <v>0</v>
      </c>
      <c r="AV14">
        <f>'Monthly Report'!E21</f>
        <v>100000</v>
      </c>
      <c r="AW14" s="489"/>
      <c r="AX14" s="489">
        <f>AV14</f>
        <v>100000</v>
      </c>
      <c r="AY14" s="489"/>
      <c r="AZ14" s="489" t="s">
        <v>466</v>
      </c>
      <c r="BA14" t="s">
        <v>397</v>
      </c>
      <c r="BC14" t="s">
        <v>474</v>
      </c>
      <c r="BH14" s="34" t="s">
        <v>673</v>
      </c>
      <c r="BI14" t="s">
        <v>413</v>
      </c>
      <c r="BJ14">
        <f>COUNTA(E15:E25863)</f>
        <v>47</v>
      </c>
      <c r="BK14">
        <f>AV14</f>
        <v>100000</v>
      </c>
      <c r="BL14" t="s">
        <v>524</v>
      </c>
      <c r="BO14" s="490" t="s">
        <v>401</v>
      </c>
      <c r="BP14" t="s">
        <v>398</v>
      </c>
      <c r="BQ14" t="s">
        <v>399</v>
      </c>
      <c r="BR14" t="s">
        <v>400</v>
      </c>
      <c r="BS14" t="s">
        <v>13</v>
      </c>
      <c r="BT14" t="s">
        <v>3</v>
      </c>
      <c r="BU14" t="s">
        <v>28</v>
      </c>
      <c r="BV14" t="s">
        <v>11</v>
      </c>
      <c r="BW14" t="s">
        <v>31</v>
      </c>
      <c r="BX14" t="s">
        <v>538</v>
      </c>
      <c r="BY14" t="s">
        <v>169</v>
      </c>
      <c r="BZ14" t="s">
        <v>535</v>
      </c>
    </row>
    <row r="15" spans="3:78" ht="20.100000000000001" customHeight="1">
      <c r="C15" s="505">
        <v>1</v>
      </c>
      <c r="D15" s="510">
        <v>42982</v>
      </c>
      <c r="E15" s="506" t="s">
        <v>588</v>
      </c>
      <c r="F15" s="507" t="s">
        <v>12</v>
      </c>
      <c r="G15" s="508">
        <v>9.1</v>
      </c>
      <c r="H15" s="509">
        <v>3600</v>
      </c>
      <c r="I15" s="511"/>
      <c r="K15">
        <f t="shared" ref="K15:K64" si="20">H15*G15</f>
        <v>32760</v>
      </c>
      <c r="L15">
        <f t="shared" ref="L15:L64" si="21">IF(H15="","",IF(IF($N$5="Amount",$O$5*K15,IF($N$5="Total Shares",$O$5*H15,$O$5))=0,MAX(IF($K$5="amount",(K15*$L$5),IF($K$5="Total Shares",($L$5*H15),$L$5)),$M$5),MIN(IF($N$5="Amount",$O$5*K15,IF($N$5="Total Shares",$O$5*H15,$O$5)),MAX(IF($K$5="amount",(K15*$L$5),IF($K$5="Total Shares",($L$5*H15),$L$5)),$M$5))))</f>
        <v>81.900000000000006</v>
      </c>
      <c r="M15">
        <f t="shared" ref="M15:M64" si="22">IF(H15="","",IF(IF($N$6="Amount",$O$6*K15,IF($N$6="Total Shares",$O$6*H15,$O$6))=0,MAX(IF($K$6="amount",(K15*$L$6),IF($K$6="Total Shares",($L$6*H15),$L$6)),$M$6),MIN(IF($N$6="Amount",$O$6*K15,IF($N$6="Total Shares",$O$6*H15,$O$6)),MAX(IF($K$6="amount",(K15*$L$6),IF($K$6="Total Shares",($L$6*H15),$L$6)),$M$6))))</f>
        <v>9.8279999999999994</v>
      </c>
      <c r="N15">
        <f t="shared" ref="N15:N64" si="23">IF(IF($N$7="Amount",$O$7*K15,IF($N$7="Total Shares",$O$7*H15,$O$7))=0,MAX(IF($K$7="amount",(K15*$L$7),IF($K$7="Total Shares",($L$7*H15),$L$7)),$M$7),MIN(IF($N$7="Amount",$O$7*K15,IF($N$7="Total Shares",$O$7*H15,$O$7)),MAX(IF($K$7="amount",(K15*$L$7),IF($K$7="Total Shares",($L$7*H15),$L$7)),$M$7)))</f>
        <v>4.9139999999999997</v>
      </c>
      <c r="O15">
        <f t="shared" ref="O15:O64" si="24">IF(IF($N$8="Amount",$O$8*K15,IF($N$8="Total Shares",$O$8*H15,$O$8))=0,MAX(IF($K$8="amount",(K15*$L$8),IF($K$8="Total Shares",($L$8*H15),$L$8)),$M$8),MIN(IF($N$8="Amount",$O$8*K15,IF($N$8="Total Shares",$O$8*H15,$O$8)),MAX(IF($K$8="amount",(K15*$L$8),IF($K$8="Total Shares",($L$8*H15),$L$8)),$M$8)))</f>
        <v>196.56</v>
      </c>
      <c r="P15">
        <f t="shared" ref="P15:P64" si="25">IF(OR(F15="buy",F15="short"),H15,-H15)</f>
        <v>3600</v>
      </c>
      <c r="Q15">
        <f>SUMIF($E15:E$15,E15,$P15:P$15)</f>
        <v>3600</v>
      </c>
      <c r="R15">
        <f t="shared" ref="R15:R64" si="26">Q15-P15</f>
        <v>0</v>
      </c>
      <c r="S15" t="str">
        <f>E15&amp;COUNTIFS($E15:E$15,E15,$R15:R$15,0)</f>
        <v>WLCON1</v>
      </c>
      <c r="T15" s="514">
        <f t="shared" ref="T15:T64" si="27">IF(I15="",IF(OR(F15="sell",F15="short"),SUM(L15:N15)+O15,SUM(L15:N15)),I15)</f>
        <v>96.64200000000001</v>
      </c>
      <c r="U15" s="515">
        <f t="shared" ref="U15:U64" si="28">IF(OR(F15="SELL",F15="Short"),K15-T15,K15+T15)</f>
        <v>32856.642</v>
      </c>
      <c r="V15" s="516">
        <f t="shared" ref="V15:V64" si="29">IFERROR(IF(OR(F15="sell",F15="cover"),(X15/R15),Y15),0)</f>
        <v>9.1268449999999994</v>
      </c>
      <c r="W15">
        <f t="shared" ref="W15:W64" si="30">IF(OR(F15="SELL",F15="cover"),V15*H15*-1,U15)</f>
        <v>32856.642</v>
      </c>
      <c r="X15">
        <f>SUMIFS($W14:W$15,$E14:E$15,E15)</f>
        <v>32856.642</v>
      </c>
      <c r="Y15">
        <f>SUMIF($S15:S$15,S15,$W15:W$15)/Q15</f>
        <v>9.1268449999999994</v>
      </c>
      <c r="Z15" s="518">
        <f t="shared" ref="Z15:Z64" si="31">IFERROR(IF(F15="COVER",-(U15+W15),(IF(F15="SELL",U15+W15,0))),"")</f>
        <v>0</v>
      </c>
      <c r="AA15" s="519">
        <f t="shared" ref="AA15:AA64" si="32">IFERROR(Z15/(W15*-1),0)</f>
        <v>0</v>
      </c>
      <c r="AB15" s="520">
        <f>IFERROR(IF(D15="",0,D15-INDEX($D15:D$15,MATCH(S15,$S15:S$15,0))),0)</f>
        <v>0</v>
      </c>
      <c r="AC15" s="521" t="str">
        <f t="shared" ref="AC15:AC64" si="33">IFERROR(Z15/(AW14*$AK$8),"")</f>
        <v/>
      </c>
      <c r="AD15" s="515">
        <f t="shared" ref="AD15:AD64" si="34">IF(E15="","",AW15)</f>
        <v>100000</v>
      </c>
      <c r="AE15" s="512" t="s">
        <v>51</v>
      </c>
      <c r="AF15" s="531"/>
      <c r="AG15" s="961"/>
      <c r="AH15" s="961"/>
      <c r="AI15">
        <f>IF(AN15&gt;0,AL15,IF($AN$11=1,0,Z15))</f>
        <v>0</v>
      </c>
      <c r="AJ15">
        <f>SUMIFS($U$15:U15,$S$15:S15,S15,$W$15:W15,"&gt;0")</f>
        <v>32856.642</v>
      </c>
      <c r="AK15">
        <f>IF(COUNTIF($E$15:E15,E15)=1,C15,"")</f>
        <v>1</v>
      </c>
      <c r="AL15">
        <f t="shared" ref="AL15:AL64" si="35">SUMIF(symbolCode,S15,profitLoss)</f>
        <v>359.38979999999719</v>
      </c>
      <c r="AM15">
        <f t="shared" ref="AM15:AM64" si="36">DATE(YEAR(D15),MONTH(D15),DAY(1))</f>
        <v>42979</v>
      </c>
      <c r="AN15">
        <f>IF($AN$11=1,AO15,AP15)</f>
        <v>0</v>
      </c>
      <c r="AO15">
        <f t="shared" ref="AO15:AO64" si="37">IF(Q15&gt;0,0,IF(AL15&lt;0,1,IF(AL15&gt;0,2,0)))</f>
        <v>0</v>
      </c>
      <c r="AP15">
        <f>IF(Z15&lt;0,1,IF(Z15&gt;0,2,0))</f>
        <v>0</v>
      </c>
      <c r="AR15" t="str">
        <f>IF(AO15&gt;0,AJ15/AW15,"")</f>
        <v/>
      </c>
      <c r="AS15">
        <f>IF(AN15&gt;0,1,0)</f>
        <v>0</v>
      </c>
      <c r="AT15" t="str">
        <f t="shared" si="8"/>
        <v/>
      </c>
      <c r="AU15">
        <f>SUMIF(Dividends!$N$15:$N$274,C15,Dividends!$G$15:$G$274)</f>
        <v>0</v>
      </c>
      <c r="AV15">
        <f>SUMIF('Bank Transfers'!$P$15:$P$114,C15,'Bank Transfers'!$H$15:$H$114)</f>
        <v>0</v>
      </c>
      <c r="AW15">
        <f>AV14</f>
        <v>100000</v>
      </c>
      <c r="AX15">
        <f>AX14+AU15+Z15</f>
        <v>100000</v>
      </c>
      <c r="AY15">
        <f>AX15/AX14-1</f>
        <v>0</v>
      </c>
      <c r="AZ15" t="str">
        <f t="shared" ref="AZ15:AZ64" si="38">IFERROR(IF(AP15&gt;0,C15,""),"")</f>
        <v/>
      </c>
      <c r="BA15">
        <f t="shared" ref="BA15:BA64" si="39">IF(AY15&gt;AY14,1,IF(AY15&lt;AY14,-1,0))</f>
        <v>0</v>
      </c>
      <c r="BB15">
        <f t="shared" ref="BB15:BB64" si="40">IF(BA15=1,0,BA15+BB14)</f>
        <v>0</v>
      </c>
      <c r="BC15">
        <f t="shared" ref="BC15:BC64" si="41">IF(BB15&lt;0,Z15+BC14,0)</f>
        <v>0</v>
      </c>
      <c r="BD15">
        <f>IF(BA15=-1,0,BA15+BD14)+BB15</f>
        <v>0</v>
      </c>
      <c r="BE15">
        <f t="shared" ref="BE15:BE64" si="42">IF(BD15&gt;0,Z15+BE14,0)</f>
        <v>0</v>
      </c>
      <c r="BF15">
        <f t="shared" ref="BF15:BF64" si="43">IF(BG15=$BC$9,BE15,IF(BG15=$BC$8,BC15,0))</f>
        <v>0</v>
      </c>
      <c r="BG15">
        <f>IFERROR(BD15+BB15,"")</f>
        <v>0</v>
      </c>
      <c r="BH15">
        <f>IFERROR(MAX($AX$14:AX15),"")</f>
        <v>100000</v>
      </c>
      <c r="BI15">
        <f t="shared" ref="BI15:BI64" si="44">IFERROR((AX15-BH15)/BH15,"")</f>
        <v>0</v>
      </c>
      <c r="BJ15">
        <f t="shared" ref="BJ15:BJ64" si="45">SMALL(AZ$15:AZ$26022,C15)</f>
        <v>4</v>
      </c>
      <c r="BK15">
        <f>IFERROR(INDEX($AX$15:$AX$26022,MATCH(BJ15,$AZ$15:$AZ$26022,0)),BK14)</f>
        <v>99246.962750000006</v>
      </c>
      <c r="BM15">
        <f>IFERROR(IF(BJ15&gt;0,BM14+1),"")</f>
        <v>1</v>
      </c>
      <c r="BO15">
        <f t="shared" ref="BO15:BO16" si="46">SMALL($AK$15:$AK$26022,C15)</f>
        <v>1</v>
      </c>
      <c r="BP15" t="str">
        <f t="shared" ref="BP15:BP16" si="47">INDEX(actionLog,MATCH(BT15&amp;BR15,S15:S20100,0))</f>
        <v>BUY</v>
      </c>
      <c r="BQ15" t="str">
        <f>IF(OR(BP15="buy",BP15="sell"),"L","S")</f>
        <v>L</v>
      </c>
      <c r="BR15">
        <f t="shared" ref="BR15:BR16" si="48">COUNTIFS(symbol,BT15,$R$15:$R$20100,0)</f>
        <v>1</v>
      </c>
      <c r="BS15">
        <v>9.9999999999999995E-8</v>
      </c>
      <c r="BT15" t="str">
        <f t="shared" ref="BT15:BT16" si="49">IFERROR(INDEX(symbol,BO15),"")</f>
        <v>WLCON</v>
      </c>
      <c r="BU15">
        <f t="shared" ref="BU15:BU16" si="50">SUMIFS(P$15:P$20100,symbol,BT15)</f>
        <v>0</v>
      </c>
      <c r="BV15">
        <f t="shared" ref="BV15:BV16" si="51">IFERROR(SUMIFS($W$15:$W$20100,symbol,BT15)/BU15,0)</f>
        <v>0</v>
      </c>
      <c r="BW15">
        <f>BV15*BU15</f>
        <v>0</v>
      </c>
      <c r="BX15" t="str">
        <f>BT15&amp;BR15</f>
        <v>WLCON1</v>
      </c>
      <c r="BY15">
        <f>IF(BW15=0,0,ROUND(BW15+BS15,5))</f>
        <v>0</v>
      </c>
      <c r="BZ15">
        <f t="shared" ref="BZ15:BZ16" si="52">IF(BT15="","",BR15+BS15)</f>
        <v>1.0000001000000001</v>
      </c>
    </row>
    <row r="16" spans="3:78" ht="20.100000000000001" customHeight="1">
      <c r="C16" s="505">
        <f>C15+1</f>
        <v>2</v>
      </c>
      <c r="D16" s="510">
        <v>42982</v>
      </c>
      <c r="E16" s="506" t="s">
        <v>589</v>
      </c>
      <c r="F16" s="507" t="s">
        <v>12</v>
      </c>
      <c r="G16" s="508">
        <v>6.11</v>
      </c>
      <c r="H16" s="509">
        <v>5300</v>
      </c>
      <c r="I16" s="511"/>
      <c r="K16">
        <f t="shared" si="20"/>
        <v>32383</v>
      </c>
      <c r="L16">
        <f t="shared" si="21"/>
        <v>80.957499999999996</v>
      </c>
      <c r="M16">
        <f t="shared" si="22"/>
        <v>9.7148999999999983</v>
      </c>
      <c r="N16">
        <f t="shared" si="23"/>
        <v>4.8574499999999992</v>
      </c>
      <c r="O16">
        <f t="shared" si="24"/>
        <v>194.298</v>
      </c>
      <c r="P16">
        <f t="shared" si="25"/>
        <v>5300</v>
      </c>
      <c r="Q16">
        <f>SUMIF($E$15:E16,E16,$P$15:P16)</f>
        <v>5300</v>
      </c>
      <c r="R16">
        <f t="shared" si="26"/>
        <v>0</v>
      </c>
      <c r="S16" t="str">
        <f>E16&amp;COUNTIFS($E$15:E16,E16,$R$15:R16,0)</f>
        <v>CHP1</v>
      </c>
      <c r="T16" s="514">
        <f t="shared" si="27"/>
        <v>95.529849999999996</v>
      </c>
      <c r="U16" s="515">
        <f t="shared" si="28"/>
        <v>32478.529849999999</v>
      </c>
      <c r="V16" s="516">
        <f t="shared" si="29"/>
        <v>6.1280244999999995</v>
      </c>
      <c r="W16">
        <f t="shared" si="30"/>
        <v>32478.529849999999</v>
      </c>
      <c r="X16">
        <f>SUMIFS($W15:W$15,$E15:E$15,E16)</f>
        <v>0</v>
      </c>
      <c r="Y16">
        <f>SUMIF($S$15:S16,S16,$W$15:W16)/Q16</f>
        <v>6.1280244999999995</v>
      </c>
      <c r="Z16" s="518">
        <f t="shared" si="31"/>
        <v>0</v>
      </c>
      <c r="AA16" s="519">
        <f t="shared" si="32"/>
        <v>0</v>
      </c>
      <c r="AB16" s="520">
        <f>IFERROR(IF(D16="",0,D16-INDEX($D$15:D16,MATCH(S16,$S$15:S16,0))),0)</f>
        <v>0</v>
      </c>
      <c r="AC16" s="521">
        <f t="shared" si="33"/>
        <v>0</v>
      </c>
      <c r="AD16" s="515">
        <f t="shared" si="34"/>
        <v>100000</v>
      </c>
      <c r="AE16" s="512" t="s">
        <v>241</v>
      </c>
      <c r="AF16" s="531"/>
      <c r="AG16" s="961"/>
      <c r="AH16" s="961"/>
      <c r="AI16">
        <f t="shared" ref="AI16:AI64" si="53">IF(AN16&gt;0,AL16,IF($AN$11=1,0,Z16))</f>
        <v>0</v>
      </c>
      <c r="AJ16">
        <f>SUMIFS($U$15:U16,$S$15:S16,S16,$W$15:W16,"&gt;0")</f>
        <v>32478.529849999999</v>
      </c>
      <c r="AK16">
        <f>IF(COUNTIF($E$15:E16,E16)=1,C16,"")</f>
        <v>2</v>
      </c>
      <c r="AL16">
        <f t="shared" si="35"/>
        <v>-753.03724999999758</v>
      </c>
      <c r="AM16">
        <f t="shared" si="36"/>
        <v>42979</v>
      </c>
      <c r="AN16">
        <f t="shared" ref="AN16:AN64" si="54">IF($AN$11=1,AO16,AP16)</f>
        <v>0</v>
      </c>
      <c r="AO16">
        <f t="shared" si="37"/>
        <v>0</v>
      </c>
      <c r="AP16">
        <f t="shared" ref="AP16:AP64" si="55">IF(Z16&lt;0,1,IF(Z16&gt;0,2,0))</f>
        <v>0</v>
      </c>
      <c r="AR16" t="str">
        <f t="shared" ref="AR16:AR64" si="56">IF(AO16&gt;0,AJ16/AW16,"")</f>
        <v/>
      </c>
      <c r="AS16">
        <f t="shared" ref="AS16:AS64" si="57">IF(AN16&gt;0,AS15+1,AS15)</f>
        <v>0</v>
      </c>
      <c r="AT16" t="str">
        <f t="shared" ref="AT16:AT64" si="58">IF(AN16&gt;0,AL16/AJ16,"")</f>
        <v/>
      </c>
      <c r="AU16">
        <f>SUMIF(Dividends!$N$15:$N$274,C16,Dividends!$G$15:$G$274)</f>
        <v>0</v>
      </c>
      <c r="AV16">
        <f>SUMIF('Bank Transfers'!$P$15:$P$114,C16,'Bank Transfers'!$H$15:$H$114)</f>
        <v>0</v>
      </c>
      <c r="AW16">
        <f t="shared" ref="AW16:AW64" si="59">AW15+AV15+AU15+Z15</f>
        <v>100000</v>
      </c>
      <c r="AX16">
        <f t="shared" ref="AX16:AX64" si="60">AX15+AU16+Z16</f>
        <v>100000</v>
      </c>
      <c r="AY16">
        <f t="shared" ref="AY16:AY64" si="61">(AX16/AX15-1)+AY15</f>
        <v>0</v>
      </c>
      <c r="AZ16" t="str">
        <f t="shared" si="38"/>
        <v/>
      </c>
      <c r="BA16">
        <f t="shared" si="39"/>
        <v>0</v>
      </c>
      <c r="BB16">
        <f t="shared" si="40"/>
        <v>0</v>
      </c>
      <c r="BC16">
        <f t="shared" si="41"/>
        <v>0</v>
      </c>
      <c r="BD16">
        <f t="shared" ref="BD16:BD64" si="62">IF(BA16=-1,0,BA16+BD15)</f>
        <v>0</v>
      </c>
      <c r="BE16">
        <f t="shared" si="42"/>
        <v>0</v>
      </c>
      <c r="BF16">
        <f t="shared" si="43"/>
        <v>0</v>
      </c>
      <c r="BG16">
        <f t="shared" ref="BG16:BG64" si="63">IFERROR(BD16+BB16,"")</f>
        <v>0</v>
      </c>
      <c r="BH16">
        <f>IFERROR(MAX($AX$14:AX16),"")</f>
        <v>100000</v>
      </c>
      <c r="BI16">
        <f t="shared" si="44"/>
        <v>0</v>
      </c>
      <c r="BJ16">
        <f t="shared" si="45"/>
        <v>6</v>
      </c>
      <c r="BK16">
        <f t="shared" ref="BK16:BK64" si="64">IFERROR(INDEX($AX$15:$AX$26022,MATCH(BJ16,$AZ$15:$AZ$26022,0)),BK15)</f>
        <v>101961.57075</v>
      </c>
      <c r="BM16">
        <f t="shared" ref="BM16:BM64" si="65">IFERROR(IF(BJ16&gt;0,BM15+1),"")</f>
        <v>2</v>
      </c>
      <c r="BO16">
        <f t="shared" si="46"/>
        <v>2</v>
      </c>
      <c r="BP16" t="str">
        <f t="shared" si="47"/>
        <v>BUY</v>
      </c>
      <c r="BQ16" t="str">
        <f t="shared" ref="BQ16" si="66">IF(OR(BP16="buy",BP16="sell"),"L","S")</f>
        <v>L</v>
      </c>
      <c r="BR16">
        <f t="shared" si="48"/>
        <v>2</v>
      </c>
      <c r="BS16">
        <f>BS15+0.0000001</f>
        <v>1.9999999999999999E-7</v>
      </c>
      <c r="BT16" t="str">
        <f t="shared" si="49"/>
        <v>CHP</v>
      </c>
      <c r="BU16">
        <f t="shared" si="50"/>
        <v>0</v>
      </c>
      <c r="BV16">
        <f t="shared" si="51"/>
        <v>0</v>
      </c>
      <c r="BW16">
        <f t="shared" ref="BW16" si="67">BV16*BU16</f>
        <v>0</v>
      </c>
      <c r="BX16" t="str">
        <f t="shared" ref="BX16" si="68">BT16&amp;BR16</f>
        <v>CHP2</v>
      </c>
      <c r="BY16">
        <f t="shared" ref="BY16" si="69">IF(BW16=0,0,ROUND(BW16+BS16,5))</f>
        <v>0</v>
      </c>
      <c r="BZ16">
        <f t="shared" si="52"/>
        <v>2.0000002000000001</v>
      </c>
    </row>
    <row r="17" spans="3:78" ht="20.100000000000001" customHeight="1">
      <c r="C17" s="505">
        <f t="shared" ref="C17:C64" si="70">C16+1</f>
        <v>3</v>
      </c>
      <c r="D17" s="510">
        <v>42982</v>
      </c>
      <c r="E17" s="506" t="s">
        <v>590</v>
      </c>
      <c r="F17" s="507" t="s">
        <v>12</v>
      </c>
      <c r="G17" s="508">
        <v>2.44</v>
      </c>
      <c r="H17" s="509">
        <v>13000</v>
      </c>
      <c r="I17" s="511"/>
      <c r="K17">
        <f t="shared" si="20"/>
        <v>31720</v>
      </c>
      <c r="L17">
        <f t="shared" si="21"/>
        <v>79.3</v>
      </c>
      <c r="M17">
        <f t="shared" si="22"/>
        <v>9.516</v>
      </c>
      <c r="N17">
        <f t="shared" si="23"/>
        <v>4.758</v>
      </c>
      <c r="O17">
        <f t="shared" si="24"/>
        <v>190.32</v>
      </c>
      <c r="P17">
        <f t="shared" si="25"/>
        <v>13000</v>
      </c>
      <c r="Q17">
        <f>SUMIF($E$15:E17,E17,$P$15:P17)</f>
        <v>13000</v>
      </c>
      <c r="R17">
        <f t="shared" si="26"/>
        <v>0</v>
      </c>
      <c r="S17" t="str">
        <f>E17&amp;COUNTIFS($E$15:E17,E17,$R$15:R17,0)</f>
        <v>TUGS1</v>
      </c>
      <c r="T17" s="514">
        <f t="shared" si="27"/>
        <v>93.573999999999998</v>
      </c>
      <c r="U17" s="515">
        <f t="shared" si="28"/>
        <v>31813.574000000001</v>
      </c>
      <c r="V17" s="516">
        <f t="shared" si="29"/>
        <v>2.4471980000000002</v>
      </c>
      <c r="W17">
        <f t="shared" si="30"/>
        <v>31813.574000000001</v>
      </c>
      <c r="X17">
        <f>SUMIFS($W$15:W16,$E$15:E16,E17)</f>
        <v>0</v>
      </c>
      <c r="Y17">
        <f>SUMIF($S$15:S17,S17,$W$15:W17)/Q17</f>
        <v>2.4471980000000002</v>
      </c>
      <c r="Z17" s="518">
        <f t="shared" si="31"/>
        <v>0</v>
      </c>
      <c r="AA17" s="519">
        <f t="shared" si="32"/>
        <v>0</v>
      </c>
      <c r="AB17" s="520">
        <f>IFERROR(IF(D17="",0,D17-INDEX($D$15:D17,MATCH(S17,$S$15:S17,0))),0)</f>
        <v>0</v>
      </c>
      <c r="AC17" s="521">
        <f t="shared" si="33"/>
        <v>0</v>
      </c>
      <c r="AD17" s="515">
        <f t="shared" si="34"/>
        <v>100000</v>
      </c>
      <c r="AE17" s="512" t="s">
        <v>238</v>
      </c>
      <c r="AF17" s="531"/>
      <c r="AG17" s="961"/>
      <c r="AH17" s="961"/>
      <c r="AI17">
        <f t="shared" si="53"/>
        <v>0</v>
      </c>
      <c r="AJ17">
        <f>SUMIFS($U$15:U17,$S$15:S17,S17,$W$15:W17,"&gt;0")</f>
        <v>31813.574000000001</v>
      </c>
      <c r="AK17">
        <f>IF(COUNTIF($E$15:E17,E17)=1,C17,"")</f>
        <v>3</v>
      </c>
      <c r="AL17">
        <f t="shared" si="35"/>
        <v>2714.6079999999965</v>
      </c>
      <c r="AM17">
        <f t="shared" si="36"/>
        <v>42979</v>
      </c>
      <c r="AN17">
        <f t="shared" si="54"/>
        <v>0</v>
      </c>
      <c r="AO17">
        <f t="shared" si="37"/>
        <v>0</v>
      </c>
      <c r="AP17">
        <f t="shared" si="55"/>
        <v>0</v>
      </c>
      <c r="AR17" t="str">
        <f t="shared" si="56"/>
        <v/>
      </c>
      <c r="AS17">
        <f t="shared" si="57"/>
        <v>0</v>
      </c>
      <c r="AT17" t="str">
        <f t="shared" si="58"/>
        <v/>
      </c>
      <c r="AU17">
        <f>SUMIF(Dividends!$N$15:$N$274,C17,Dividends!$G$15:$G$274)</f>
        <v>0</v>
      </c>
      <c r="AV17">
        <f>SUMIF('Bank Transfers'!$P$15:$P$114,C17,'Bank Transfers'!$H$15:$H$114)</f>
        <v>0</v>
      </c>
      <c r="AW17">
        <f t="shared" si="59"/>
        <v>100000</v>
      </c>
      <c r="AX17">
        <f t="shared" si="60"/>
        <v>100000</v>
      </c>
      <c r="AY17">
        <f t="shared" si="61"/>
        <v>0</v>
      </c>
      <c r="AZ17" t="str">
        <f t="shared" si="38"/>
        <v/>
      </c>
      <c r="BA17">
        <f t="shared" si="39"/>
        <v>0</v>
      </c>
      <c r="BB17">
        <f t="shared" si="40"/>
        <v>0</v>
      </c>
      <c r="BC17">
        <f t="shared" si="41"/>
        <v>0</v>
      </c>
      <c r="BD17">
        <f t="shared" si="62"/>
        <v>0</v>
      </c>
      <c r="BE17">
        <f t="shared" si="42"/>
        <v>0</v>
      </c>
      <c r="BF17">
        <f t="shared" si="43"/>
        <v>0</v>
      </c>
      <c r="BG17">
        <f t="shared" si="63"/>
        <v>0</v>
      </c>
      <c r="BH17">
        <f>IFERROR(MAX($AX$14:AX17),"")</f>
        <v>100000</v>
      </c>
      <c r="BI17">
        <f t="shared" si="44"/>
        <v>0</v>
      </c>
      <c r="BJ17">
        <f t="shared" si="45"/>
        <v>8</v>
      </c>
      <c r="BK17">
        <f t="shared" si="64"/>
        <v>100876.32574999999</v>
      </c>
      <c r="BM17">
        <f t="shared" si="65"/>
        <v>3</v>
      </c>
      <c r="BO17">
        <f t="shared" ref="BO17:BO46" si="71">SMALL($AK$15:$AK$26022,C17)</f>
        <v>3</v>
      </c>
      <c r="BP17" t="str">
        <f t="shared" ref="BP17:BP46" si="72">INDEX(actionLog,MATCH(BT17&amp;BR17,S17:S20102,0))</f>
        <v>BUY</v>
      </c>
      <c r="BQ17" t="str">
        <f t="shared" ref="BQ17:BQ46" si="73">IF(OR(BP17="buy",BP17="sell"),"L","S")</f>
        <v>L</v>
      </c>
      <c r="BR17">
        <f t="shared" ref="BR17:BR46" si="74">COUNTIFS(symbol,BT17,$R$15:$R$20100,0)</f>
        <v>1</v>
      </c>
      <c r="BS17">
        <f t="shared" ref="BS17:BS46" si="75">BS16+0.0000001</f>
        <v>2.9999999999999999E-7</v>
      </c>
      <c r="BT17" t="str">
        <f t="shared" ref="BT17:BT46" si="76">IFERROR(INDEX(symbol,BO17),"")</f>
        <v>TUGS</v>
      </c>
      <c r="BU17">
        <f t="shared" ref="BU17:BU46" si="77">SUMIFS(P$15:P$20100,symbol,BT17)</f>
        <v>0</v>
      </c>
      <c r="BV17">
        <f t="shared" ref="BV17:BV46" si="78">IFERROR(SUMIFS($W$15:$W$20100,symbol,BT17)/BU17,0)</f>
        <v>0</v>
      </c>
      <c r="BW17">
        <f t="shared" ref="BW17:BW46" si="79">BV17*BU17</f>
        <v>0</v>
      </c>
      <c r="BX17" t="str">
        <f t="shared" ref="BX17:BX46" si="80">BT17&amp;BR17</f>
        <v>TUGS1</v>
      </c>
      <c r="BY17">
        <f t="shared" ref="BY17:BY46" si="81">IF(BW17=0,0,ROUND(BW17+BS17,5))</f>
        <v>0</v>
      </c>
      <c r="BZ17">
        <f t="shared" ref="BZ17:BZ46" si="82">IF(BT17="","",BR17+BS17)</f>
        <v>1.0000003</v>
      </c>
    </row>
    <row r="18" spans="3:78" ht="20.100000000000001" customHeight="1">
      <c r="C18" s="505">
        <f t="shared" si="70"/>
        <v>4</v>
      </c>
      <c r="D18" s="510">
        <v>42983</v>
      </c>
      <c r="E18" s="506" t="s">
        <v>589</v>
      </c>
      <c r="F18" s="507" t="s">
        <v>22</v>
      </c>
      <c r="G18" s="508">
        <v>6.04</v>
      </c>
      <c r="H18" s="509">
        <v>5300</v>
      </c>
      <c r="I18" s="511"/>
      <c r="K18">
        <f t="shared" si="20"/>
        <v>32012</v>
      </c>
      <c r="L18">
        <f t="shared" si="21"/>
        <v>80.03</v>
      </c>
      <c r="M18">
        <f t="shared" si="22"/>
        <v>9.6035999999999984</v>
      </c>
      <c r="N18">
        <f t="shared" si="23"/>
        <v>4.8017999999999992</v>
      </c>
      <c r="O18">
        <f t="shared" si="24"/>
        <v>192.072</v>
      </c>
      <c r="P18">
        <f t="shared" si="25"/>
        <v>-5300</v>
      </c>
      <c r="Q18">
        <f>SUMIF($E$15:E18,E18,$P$15:P18)</f>
        <v>0</v>
      </c>
      <c r="R18">
        <f t="shared" si="26"/>
        <v>5300</v>
      </c>
      <c r="S18" t="str">
        <f>E18&amp;COUNTIFS($E$15:E18,E18,$R$15:R18,0)</f>
        <v>CHP1</v>
      </c>
      <c r="T18" s="514">
        <f t="shared" si="27"/>
        <v>286.50740000000002</v>
      </c>
      <c r="U18" s="515">
        <f t="shared" si="28"/>
        <v>31725.492600000001</v>
      </c>
      <c r="V18" s="516">
        <f t="shared" si="29"/>
        <v>6.1280244999999995</v>
      </c>
      <c r="W18">
        <f t="shared" si="30"/>
        <v>-32478.529849999999</v>
      </c>
      <c r="X18">
        <f>SUMIFS($W$15:W17,$E$15:E17,E18)</f>
        <v>32478.529849999999</v>
      </c>
      <c r="Y18" t="e">
        <f>SUMIF($S$15:S18,S18,$W$15:W18)/Q18</f>
        <v>#DIV/0!</v>
      </c>
      <c r="Z18" s="518">
        <f t="shared" si="31"/>
        <v>-753.03724999999758</v>
      </c>
      <c r="AA18" s="519">
        <f t="shared" si="32"/>
        <v>-2.3185693856152101E-2</v>
      </c>
      <c r="AB18" s="520">
        <f>IFERROR(IF(D18="",0,D18-INDEX($D$15:D18,MATCH(S18,$S$15:S18,0))),0)</f>
        <v>1</v>
      </c>
      <c r="AC18" s="521">
        <f t="shared" si="33"/>
        <v>-0.75303724999999755</v>
      </c>
      <c r="AD18" s="515">
        <f t="shared" si="34"/>
        <v>100000</v>
      </c>
      <c r="AE18" s="512" t="s">
        <v>241</v>
      </c>
      <c r="AF18" s="531"/>
      <c r="AG18" s="961"/>
      <c r="AH18" s="961"/>
      <c r="AI18">
        <f t="shared" si="53"/>
        <v>-753.03724999999758</v>
      </c>
      <c r="AJ18">
        <f>SUMIFS($U$15:U18,$S$15:S18,S18,$W$15:W18,"&gt;0")</f>
        <v>32478.529849999999</v>
      </c>
      <c r="AK18" t="str">
        <f>IF(COUNTIF($E$15:E18,E18)=1,C18,"")</f>
        <v/>
      </c>
      <c r="AL18">
        <f t="shared" si="35"/>
        <v>-753.03724999999758</v>
      </c>
      <c r="AM18">
        <f t="shared" si="36"/>
        <v>42979</v>
      </c>
      <c r="AN18">
        <f t="shared" si="54"/>
        <v>1</v>
      </c>
      <c r="AO18">
        <f t="shared" si="37"/>
        <v>1</v>
      </c>
      <c r="AP18">
        <f t="shared" si="55"/>
        <v>1</v>
      </c>
      <c r="AR18">
        <f t="shared" si="56"/>
        <v>0.32478529849999999</v>
      </c>
      <c r="AS18">
        <f t="shared" si="57"/>
        <v>1</v>
      </c>
      <c r="AT18">
        <f t="shared" si="58"/>
        <v>-2.3185693856152101E-2</v>
      </c>
      <c r="AU18">
        <f>SUMIF(Dividends!$N$15:$N$274,C18,Dividends!$G$15:$G$274)</f>
        <v>0</v>
      </c>
      <c r="AV18">
        <f>SUMIF('Bank Transfers'!$P$15:$P$114,C18,'Bank Transfers'!$H$15:$H$114)</f>
        <v>0</v>
      </c>
      <c r="AW18">
        <f t="shared" si="59"/>
        <v>100000</v>
      </c>
      <c r="AX18">
        <f t="shared" si="60"/>
        <v>99246.962750000006</v>
      </c>
      <c r="AY18">
        <f t="shared" si="61"/>
        <v>-7.5303724999999933E-3</v>
      </c>
      <c r="AZ18">
        <f t="shared" si="38"/>
        <v>4</v>
      </c>
      <c r="BA18">
        <f t="shared" si="39"/>
        <v>-1</v>
      </c>
      <c r="BB18">
        <f t="shared" si="40"/>
        <v>-1</v>
      </c>
      <c r="BC18">
        <f t="shared" si="41"/>
        <v>-753.03724999999758</v>
      </c>
      <c r="BD18">
        <f t="shared" si="62"/>
        <v>0</v>
      </c>
      <c r="BE18">
        <f t="shared" si="42"/>
        <v>0</v>
      </c>
      <c r="BF18">
        <f t="shared" si="43"/>
        <v>0</v>
      </c>
      <c r="BG18">
        <f t="shared" si="63"/>
        <v>-1</v>
      </c>
      <c r="BH18">
        <f>IFERROR(MAX($AX$14:AX18),"")</f>
        <v>100000</v>
      </c>
      <c r="BI18">
        <f t="shared" si="44"/>
        <v>-7.5303724999999395E-3</v>
      </c>
      <c r="BJ18">
        <f t="shared" si="45"/>
        <v>10</v>
      </c>
      <c r="BK18">
        <f t="shared" si="64"/>
        <v>100744.85464999999</v>
      </c>
      <c r="BM18">
        <f t="shared" si="65"/>
        <v>4</v>
      </c>
      <c r="BO18">
        <f t="shared" si="71"/>
        <v>5</v>
      </c>
      <c r="BP18" t="str">
        <f t="shared" si="72"/>
        <v>BUY</v>
      </c>
      <c r="BQ18" t="str">
        <f t="shared" si="73"/>
        <v>L</v>
      </c>
      <c r="BR18">
        <f t="shared" si="74"/>
        <v>7</v>
      </c>
      <c r="BS18">
        <f t="shared" si="75"/>
        <v>3.9999999999999998E-7</v>
      </c>
      <c r="BT18" t="str">
        <f t="shared" si="76"/>
        <v>PXP</v>
      </c>
      <c r="BU18">
        <f t="shared" si="77"/>
        <v>6900</v>
      </c>
      <c r="BV18">
        <f t="shared" si="78"/>
        <v>6.7197649999999998</v>
      </c>
      <c r="BW18">
        <f t="shared" si="79"/>
        <v>46366.378499999999</v>
      </c>
      <c r="BX18" t="str">
        <f t="shared" si="80"/>
        <v>PXP7</v>
      </c>
      <c r="BY18">
        <f t="shared" si="81"/>
        <v>46366.378499999999</v>
      </c>
      <c r="BZ18">
        <f t="shared" si="82"/>
        <v>7.0000004000000002</v>
      </c>
    </row>
    <row r="19" spans="3:78" ht="20.100000000000001" customHeight="1">
      <c r="C19" s="503">
        <f t="shared" si="70"/>
        <v>5</v>
      </c>
      <c r="D19" s="510">
        <v>42983</v>
      </c>
      <c r="E19" s="506" t="s">
        <v>591</v>
      </c>
      <c r="F19" s="507" t="s">
        <v>12</v>
      </c>
      <c r="G19" s="508">
        <v>4.7</v>
      </c>
      <c r="H19" s="509">
        <v>7000</v>
      </c>
      <c r="I19" s="511"/>
      <c r="K19">
        <f t="shared" si="20"/>
        <v>32900</v>
      </c>
      <c r="L19">
        <f t="shared" si="21"/>
        <v>82.25</v>
      </c>
      <c r="M19">
        <f t="shared" si="22"/>
        <v>9.8699999999999992</v>
      </c>
      <c r="N19">
        <f t="shared" si="23"/>
        <v>4.9349999999999996</v>
      </c>
      <c r="O19">
        <f t="shared" si="24"/>
        <v>197.4</v>
      </c>
      <c r="P19">
        <f t="shared" si="25"/>
        <v>7000</v>
      </c>
      <c r="Q19">
        <f>SUMIF($E$15:E19,E19,$P$15:P19)</f>
        <v>7000</v>
      </c>
      <c r="R19">
        <f t="shared" si="26"/>
        <v>0</v>
      </c>
      <c r="S19" t="str">
        <f>E19&amp;COUNTIFS($E$15:E19,E19,$R$15:R19,0)</f>
        <v>PXP1</v>
      </c>
      <c r="T19" s="514">
        <f t="shared" si="27"/>
        <v>97.055000000000007</v>
      </c>
      <c r="U19" s="515">
        <f t="shared" si="28"/>
        <v>32997.055</v>
      </c>
      <c r="V19" s="516">
        <f t="shared" si="29"/>
        <v>4.7138650000000002</v>
      </c>
      <c r="W19">
        <f t="shared" si="30"/>
        <v>32997.055</v>
      </c>
      <c r="X19">
        <f>SUMIFS($W$15:W18,$E$15:E18,E19)</f>
        <v>0</v>
      </c>
      <c r="Y19">
        <f>SUMIF($S$15:S19,S19,$W$15:W19)/Q19</f>
        <v>4.7138650000000002</v>
      </c>
      <c r="Z19" s="518">
        <f t="shared" si="31"/>
        <v>0</v>
      </c>
      <c r="AA19" s="519">
        <f t="shared" si="32"/>
        <v>0</v>
      </c>
      <c r="AB19" s="520">
        <f>IFERROR(IF(D19="",0,D19-INDEX($D$15:D19,MATCH(S19,$S$15:S19,0))),0)</f>
        <v>0</v>
      </c>
      <c r="AC19" s="521">
        <f t="shared" si="33"/>
        <v>0</v>
      </c>
      <c r="AD19" s="515">
        <f t="shared" si="34"/>
        <v>99246.962750000006</v>
      </c>
      <c r="AE19" s="512" t="s">
        <v>239</v>
      </c>
      <c r="AF19" s="531"/>
      <c r="AG19" s="961"/>
      <c r="AH19" s="961"/>
      <c r="AI19">
        <f t="shared" si="53"/>
        <v>0</v>
      </c>
      <c r="AJ19">
        <f>SUMIFS($U$15:U19,$S$15:S19,S19,$W$15:W19,"&gt;0")</f>
        <v>32997.055</v>
      </c>
      <c r="AK19">
        <f>IF(COUNTIF($E$15:E19,E19)=1,C19,"")</f>
        <v>5</v>
      </c>
      <c r="AL19">
        <f t="shared" si="35"/>
        <v>-1085.2450000000026</v>
      </c>
      <c r="AM19">
        <f t="shared" si="36"/>
        <v>42979</v>
      </c>
      <c r="AN19">
        <f t="shared" si="54"/>
        <v>0</v>
      </c>
      <c r="AO19">
        <f t="shared" si="37"/>
        <v>0</v>
      </c>
      <c r="AP19">
        <f t="shared" si="55"/>
        <v>0</v>
      </c>
      <c r="AR19" t="str">
        <f t="shared" si="56"/>
        <v/>
      </c>
      <c r="AS19">
        <f t="shared" si="57"/>
        <v>1</v>
      </c>
      <c r="AT19" t="str">
        <f t="shared" si="58"/>
        <v/>
      </c>
      <c r="AU19">
        <f>SUMIF(Dividends!$N$15:$N$274,C19,Dividends!$G$15:$G$274)</f>
        <v>0</v>
      </c>
      <c r="AV19">
        <f>SUMIF('Bank Transfers'!$P$15:$P$114,C19,'Bank Transfers'!$H$15:$H$114)</f>
        <v>0</v>
      </c>
      <c r="AW19">
        <f t="shared" si="59"/>
        <v>99246.962750000006</v>
      </c>
      <c r="AX19">
        <f t="shared" si="60"/>
        <v>99246.962750000006</v>
      </c>
      <c r="AY19">
        <f t="shared" si="61"/>
        <v>-7.5303724999999933E-3</v>
      </c>
      <c r="AZ19" t="str">
        <f t="shared" si="38"/>
        <v/>
      </c>
      <c r="BA19">
        <f t="shared" si="39"/>
        <v>0</v>
      </c>
      <c r="BB19">
        <f t="shared" si="40"/>
        <v>-1</v>
      </c>
      <c r="BC19">
        <f t="shared" si="41"/>
        <v>-753.03724999999758</v>
      </c>
      <c r="BD19">
        <f t="shared" si="62"/>
        <v>0</v>
      </c>
      <c r="BE19">
        <f t="shared" si="42"/>
        <v>0</v>
      </c>
      <c r="BF19">
        <f t="shared" si="43"/>
        <v>0</v>
      </c>
      <c r="BG19">
        <f t="shared" si="63"/>
        <v>-1</v>
      </c>
      <c r="BH19">
        <f>IFERROR(MAX($AX$14:AX19),"")</f>
        <v>100000</v>
      </c>
      <c r="BI19">
        <f t="shared" si="44"/>
        <v>-7.5303724999999395E-3</v>
      </c>
      <c r="BJ19">
        <f t="shared" si="45"/>
        <v>12</v>
      </c>
      <c r="BK19">
        <f t="shared" si="64"/>
        <v>100008.94265</v>
      </c>
      <c r="BM19">
        <f t="shared" si="65"/>
        <v>5</v>
      </c>
      <c r="BO19">
        <f t="shared" si="71"/>
        <v>7</v>
      </c>
      <c r="BP19" t="str">
        <f t="shared" si="72"/>
        <v>SELL</v>
      </c>
      <c r="BQ19" t="str">
        <f t="shared" si="73"/>
        <v>L</v>
      </c>
      <c r="BR19">
        <f t="shared" si="74"/>
        <v>2</v>
      </c>
      <c r="BS19">
        <f t="shared" si="75"/>
        <v>4.9999999999999998E-7</v>
      </c>
      <c r="BT19" t="str">
        <f t="shared" si="76"/>
        <v>MAC</v>
      </c>
      <c r="BU19">
        <f t="shared" si="77"/>
        <v>0</v>
      </c>
      <c r="BV19">
        <f t="shared" si="78"/>
        <v>0</v>
      </c>
      <c r="BW19">
        <f t="shared" si="79"/>
        <v>0</v>
      </c>
      <c r="BX19" t="str">
        <f t="shared" si="80"/>
        <v>MAC2</v>
      </c>
      <c r="BY19">
        <f t="shared" si="81"/>
        <v>0</v>
      </c>
      <c r="BZ19">
        <f t="shared" si="82"/>
        <v>2.0000005000000001</v>
      </c>
    </row>
    <row r="20" spans="3:78" ht="20.100000000000001" customHeight="1">
      <c r="C20" s="503">
        <f t="shared" si="70"/>
        <v>6</v>
      </c>
      <c r="D20" s="510">
        <v>42984</v>
      </c>
      <c r="E20" s="506" t="s">
        <v>590</v>
      </c>
      <c r="F20" s="507" t="s">
        <v>22</v>
      </c>
      <c r="G20" s="508">
        <v>2.68</v>
      </c>
      <c r="H20" s="509">
        <v>13000</v>
      </c>
      <c r="I20" s="511"/>
      <c r="K20">
        <f t="shared" si="20"/>
        <v>34840</v>
      </c>
      <c r="L20">
        <f t="shared" si="21"/>
        <v>87.100000000000009</v>
      </c>
      <c r="M20">
        <f t="shared" si="22"/>
        <v>10.452</v>
      </c>
      <c r="N20">
        <f t="shared" si="23"/>
        <v>5.226</v>
      </c>
      <c r="O20">
        <f t="shared" si="24"/>
        <v>209.04</v>
      </c>
      <c r="P20">
        <f t="shared" si="25"/>
        <v>-13000</v>
      </c>
      <c r="Q20">
        <f>SUMIF($E$15:E20,E20,$P$15:P20)</f>
        <v>0</v>
      </c>
      <c r="R20">
        <f t="shared" si="26"/>
        <v>13000</v>
      </c>
      <c r="S20" t="str">
        <f>E20&amp;COUNTIFS($E$15:E20,E20,$R$15:R20,0)</f>
        <v>TUGS1</v>
      </c>
      <c r="T20" s="514">
        <f t="shared" si="27"/>
        <v>311.81799999999998</v>
      </c>
      <c r="U20" s="515">
        <f t="shared" si="28"/>
        <v>34528.182000000001</v>
      </c>
      <c r="V20" s="516">
        <f t="shared" si="29"/>
        <v>2.4471980000000002</v>
      </c>
      <c r="W20">
        <f t="shared" si="30"/>
        <v>-31813.574000000004</v>
      </c>
      <c r="X20">
        <f>SUMIFS($W$15:W19,$E$15:E19,E20)</f>
        <v>31813.574000000001</v>
      </c>
      <c r="Y20" t="e">
        <f>SUMIF($S$15:S20,S20,$W$15:W20)/Q20</f>
        <v>#DIV/0!</v>
      </c>
      <c r="Z20" s="518">
        <f t="shared" si="31"/>
        <v>2714.6079999999965</v>
      </c>
      <c r="AA20" s="519">
        <f t="shared" si="32"/>
        <v>8.532860847385447E-2</v>
      </c>
      <c r="AB20" s="520">
        <f>IFERROR(IF(D20="",0,D20-INDEX($D$15:D20,MATCH(S20,$S$15:S20,0))),0)</f>
        <v>2</v>
      </c>
      <c r="AC20" s="521">
        <f t="shared" si="33"/>
        <v>2.7352051133675586</v>
      </c>
      <c r="AD20" s="515">
        <f t="shared" si="34"/>
        <v>99246.962750000006</v>
      </c>
      <c r="AE20" s="512" t="s">
        <v>238</v>
      </c>
      <c r="AF20" s="531"/>
      <c r="AG20" s="961"/>
      <c r="AH20" s="961"/>
      <c r="AI20">
        <f t="shared" si="53"/>
        <v>2714.6079999999965</v>
      </c>
      <c r="AJ20">
        <f>SUMIFS($U$15:U20,$S$15:S20,S20,$W$15:W20,"&gt;0")</f>
        <v>31813.574000000001</v>
      </c>
      <c r="AK20" t="str">
        <f>IF(COUNTIF($E$15:E20,E20)=1,C20,"")</f>
        <v/>
      </c>
      <c r="AL20">
        <f t="shared" si="35"/>
        <v>2714.6079999999965</v>
      </c>
      <c r="AM20">
        <f t="shared" si="36"/>
        <v>42979</v>
      </c>
      <c r="AN20">
        <f t="shared" si="54"/>
        <v>2</v>
      </c>
      <c r="AO20">
        <f t="shared" si="37"/>
        <v>2</v>
      </c>
      <c r="AP20">
        <f t="shared" si="55"/>
        <v>2</v>
      </c>
      <c r="AR20">
        <f t="shared" si="56"/>
        <v>0.32054959787673704</v>
      </c>
      <c r="AS20">
        <f t="shared" si="57"/>
        <v>2</v>
      </c>
      <c r="AT20">
        <f t="shared" si="58"/>
        <v>8.5328608473854484E-2</v>
      </c>
      <c r="AU20">
        <f>SUMIF(Dividends!$N$15:$N$274,C20,Dividends!$G$15:$G$274)</f>
        <v>0</v>
      </c>
      <c r="AV20">
        <f>SUMIF('Bank Transfers'!$P$15:$P$114,C20,'Bank Transfers'!$H$15:$H$114)</f>
        <v>0</v>
      </c>
      <c r="AW20">
        <f t="shared" si="59"/>
        <v>99246.962750000006</v>
      </c>
      <c r="AX20">
        <f t="shared" si="60"/>
        <v>101961.57075</v>
      </c>
      <c r="AY20">
        <f t="shared" si="61"/>
        <v>1.9821678633675566E-2</v>
      </c>
      <c r="AZ20">
        <f t="shared" si="38"/>
        <v>6</v>
      </c>
      <c r="BA20">
        <f t="shared" si="39"/>
        <v>1</v>
      </c>
      <c r="BB20">
        <f t="shared" si="40"/>
        <v>0</v>
      </c>
      <c r="BC20">
        <f t="shared" si="41"/>
        <v>0</v>
      </c>
      <c r="BD20">
        <f t="shared" si="62"/>
        <v>1</v>
      </c>
      <c r="BE20">
        <f t="shared" si="42"/>
        <v>2714.6079999999965</v>
      </c>
      <c r="BF20">
        <f t="shared" si="43"/>
        <v>0</v>
      </c>
      <c r="BG20">
        <f t="shared" si="63"/>
        <v>1</v>
      </c>
      <c r="BH20">
        <f>IFERROR(MAX($AX$14:AX20),"")</f>
        <v>101961.57075</v>
      </c>
      <c r="BI20">
        <f t="shared" si="44"/>
        <v>0</v>
      </c>
      <c r="BJ20">
        <f t="shared" si="45"/>
        <v>14</v>
      </c>
      <c r="BK20">
        <f t="shared" si="64"/>
        <v>100971.1084</v>
      </c>
      <c r="BM20">
        <f t="shared" si="65"/>
        <v>6</v>
      </c>
      <c r="BO20">
        <f t="shared" si="71"/>
        <v>9</v>
      </c>
      <c r="BP20" t="str">
        <f t="shared" si="72"/>
        <v>SELL</v>
      </c>
      <c r="BQ20" t="str">
        <f t="shared" si="73"/>
        <v>L</v>
      </c>
      <c r="BR20">
        <f t="shared" si="74"/>
        <v>1</v>
      </c>
      <c r="BS20">
        <f t="shared" si="75"/>
        <v>5.9999999999999997E-7</v>
      </c>
      <c r="BT20" t="str">
        <f t="shared" si="76"/>
        <v>X</v>
      </c>
      <c r="BU20">
        <f t="shared" si="77"/>
        <v>0</v>
      </c>
      <c r="BV20">
        <f t="shared" si="78"/>
        <v>0</v>
      </c>
      <c r="BW20">
        <f t="shared" si="79"/>
        <v>0</v>
      </c>
      <c r="BX20" t="str">
        <f t="shared" si="80"/>
        <v>X1</v>
      </c>
      <c r="BY20">
        <f t="shared" si="81"/>
        <v>0</v>
      </c>
      <c r="BZ20">
        <f t="shared" si="82"/>
        <v>1.0000005999999999</v>
      </c>
    </row>
    <row r="21" spans="3:78" ht="20.100000000000001" customHeight="1">
      <c r="C21" s="503">
        <f t="shared" si="70"/>
        <v>7</v>
      </c>
      <c r="D21" s="510">
        <v>42984</v>
      </c>
      <c r="E21" s="506" t="s">
        <v>592</v>
      </c>
      <c r="F21" s="507" t="s">
        <v>12</v>
      </c>
      <c r="G21" s="508">
        <v>10.7</v>
      </c>
      <c r="H21" s="509">
        <v>3100</v>
      </c>
      <c r="I21" s="511"/>
      <c r="K21">
        <f t="shared" si="20"/>
        <v>33170</v>
      </c>
      <c r="L21">
        <f t="shared" si="21"/>
        <v>82.924999999999997</v>
      </c>
      <c r="M21">
        <f t="shared" si="22"/>
        <v>9.9509999999999987</v>
      </c>
      <c r="N21">
        <f t="shared" si="23"/>
        <v>4.9754999999999994</v>
      </c>
      <c r="O21">
        <f t="shared" si="24"/>
        <v>199.02</v>
      </c>
      <c r="P21">
        <f t="shared" si="25"/>
        <v>3100</v>
      </c>
      <c r="Q21">
        <f>SUMIF($E$15:E21,E21,$P$15:P21)</f>
        <v>3100</v>
      </c>
      <c r="R21">
        <f t="shared" si="26"/>
        <v>0</v>
      </c>
      <c r="S21" t="str">
        <f>E21&amp;COUNTIFS($E$15:E21,E21,$R$15:R21,0)</f>
        <v>MAC1</v>
      </c>
      <c r="T21" s="514">
        <f t="shared" si="27"/>
        <v>97.851499999999987</v>
      </c>
      <c r="U21" s="515">
        <f t="shared" si="28"/>
        <v>33267.851499999997</v>
      </c>
      <c r="V21" s="516">
        <f t="shared" si="29"/>
        <v>10.731565</v>
      </c>
      <c r="W21">
        <f t="shared" si="30"/>
        <v>33267.851499999997</v>
      </c>
      <c r="X21">
        <f>SUMIFS($W$15:W20,$E$15:E20,E21)</f>
        <v>0</v>
      </c>
      <c r="Y21">
        <f>SUMIF($S$15:S21,S21,$W$15:W21)/Q21</f>
        <v>10.731565</v>
      </c>
      <c r="Z21" s="518">
        <f t="shared" si="31"/>
        <v>0</v>
      </c>
      <c r="AA21" s="519">
        <f t="shared" si="32"/>
        <v>0</v>
      </c>
      <c r="AB21" s="520">
        <f>IFERROR(IF(D21="",0,D21-INDEX($D$15:D21,MATCH(S21,$S$15:S21,0))),0)</f>
        <v>0</v>
      </c>
      <c r="AC21" s="521">
        <f t="shared" si="33"/>
        <v>0</v>
      </c>
      <c r="AD21" s="515">
        <f t="shared" si="34"/>
        <v>101961.57075</v>
      </c>
      <c r="AE21" s="512"/>
      <c r="AF21" s="531"/>
      <c r="AG21" s="961"/>
      <c r="AH21" s="961"/>
      <c r="AI21">
        <f t="shared" si="53"/>
        <v>0</v>
      </c>
      <c r="AJ21">
        <f>SUMIFS($U$15:U21,$S$15:S21,S21,$W$15:W21,"&gt;0")</f>
        <v>33267.851499999997</v>
      </c>
      <c r="AK21">
        <f>IF(COUNTIF($E$15:E21,E21)=1,C21,"")</f>
        <v>7</v>
      </c>
      <c r="AL21">
        <f t="shared" si="35"/>
        <v>9089.4843000000037</v>
      </c>
      <c r="AM21">
        <f t="shared" si="36"/>
        <v>42979</v>
      </c>
      <c r="AN21">
        <f t="shared" si="54"/>
        <v>0</v>
      </c>
      <c r="AO21">
        <f t="shared" si="37"/>
        <v>0</v>
      </c>
      <c r="AP21">
        <f t="shared" si="55"/>
        <v>0</v>
      </c>
      <c r="AR21" t="str">
        <f t="shared" si="56"/>
        <v/>
      </c>
      <c r="AS21">
        <f t="shared" si="57"/>
        <v>2</v>
      </c>
      <c r="AT21" t="str">
        <f t="shared" si="58"/>
        <v/>
      </c>
      <c r="AU21">
        <f>SUMIF(Dividends!$N$15:$N$274,C21,Dividends!$G$15:$G$274)</f>
        <v>0</v>
      </c>
      <c r="AV21">
        <f>SUMIF('Bank Transfers'!$P$15:$P$114,C21,'Bank Transfers'!$H$15:$H$114)</f>
        <v>0</v>
      </c>
      <c r="AW21">
        <f t="shared" si="59"/>
        <v>101961.57075</v>
      </c>
      <c r="AX21">
        <f t="shared" si="60"/>
        <v>101961.57075</v>
      </c>
      <c r="AY21">
        <f t="shared" si="61"/>
        <v>1.9821678633675566E-2</v>
      </c>
      <c r="AZ21" t="str">
        <f t="shared" si="38"/>
        <v/>
      </c>
      <c r="BA21">
        <f t="shared" si="39"/>
        <v>0</v>
      </c>
      <c r="BB21">
        <f t="shared" si="40"/>
        <v>0</v>
      </c>
      <c r="BC21">
        <f t="shared" si="41"/>
        <v>0</v>
      </c>
      <c r="BD21">
        <f t="shared" si="62"/>
        <v>1</v>
      </c>
      <c r="BE21">
        <f t="shared" si="42"/>
        <v>2714.6079999999965</v>
      </c>
      <c r="BF21">
        <f t="shared" si="43"/>
        <v>0</v>
      </c>
      <c r="BG21">
        <f t="shared" si="63"/>
        <v>1</v>
      </c>
      <c r="BH21">
        <f>IFERROR(MAX($AX$14:AX21),"")</f>
        <v>101961.57075</v>
      </c>
      <c r="BI21">
        <f t="shared" si="44"/>
        <v>0</v>
      </c>
      <c r="BJ21">
        <f t="shared" si="45"/>
        <v>16</v>
      </c>
      <c r="BK21">
        <f t="shared" si="64"/>
        <v>101330.4982</v>
      </c>
      <c r="BM21">
        <f t="shared" si="65"/>
        <v>7</v>
      </c>
      <c r="BO21">
        <f t="shared" si="71"/>
        <v>11</v>
      </c>
      <c r="BP21" t="str">
        <f t="shared" si="72"/>
        <v>SELL</v>
      </c>
      <c r="BQ21" t="str">
        <f t="shared" si="73"/>
        <v>L</v>
      </c>
      <c r="BR21">
        <f t="shared" si="74"/>
        <v>3</v>
      </c>
      <c r="BS21">
        <f t="shared" si="75"/>
        <v>6.9999999999999997E-7</v>
      </c>
      <c r="BT21" t="str">
        <f t="shared" si="76"/>
        <v>APX</v>
      </c>
      <c r="BU21">
        <f t="shared" si="77"/>
        <v>0</v>
      </c>
      <c r="BV21">
        <f t="shared" si="78"/>
        <v>0</v>
      </c>
      <c r="BW21">
        <f t="shared" si="79"/>
        <v>0</v>
      </c>
      <c r="BX21" t="str">
        <f t="shared" si="80"/>
        <v>APX3</v>
      </c>
      <c r="BY21">
        <f t="shared" si="81"/>
        <v>0</v>
      </c>
      <c r="BZ21">
        <f t="shared" si="82"/>
        <v>3.0000007000000002</v>
      </c>
    </row>
    <row r="22" spans="3:78" ht="20.100000000000001" customHeight="1">
      <c r="C22" s="503">
        <f t="shared" si="70"/>
        <v>8</v>
      </c>
      <c r="D22" s="510">
        <v>42984</v>
      </c>
      <c r="E22" s="506" t="s">
        <v>591</v>
      </c>
      <c r="F22" s="507" t="s">
        <v>22</v>
      </c>
      <c r="G22" s="508">
        <v>4.5999999999999996</v>
      </c>
      <c r="H22" s="509">
        <v>7000</v>
      </c>
      <c r="I22" s="511"/>
      <c r="K22">
        <f t="shared" si="20"/>
        <v>32199.999999999996</v>
      </c>
      <c r="L22">
        <f t="shared" si="21"/>
        <v>80.499999999999986</v>
      </c>
      <c r="M22">
        <f t="shared" si="22"/>
        <v>9.6599999999999984</v>
      </c>
      <c r="N22">
        <f t="shared" si="23"/>
        <v>4.8299999999999992</v>
      </c>
      <c r="O22">
        <f t="shared" si="24"/>
        <v>193.2</v>
      </c>
      <c r="P22">
        <f t="shared" si="25"/>
        <v>-7000</v>
      </c>
      <c r="Q22">
        <f>SUMIF($E$15:E22,E22,$P$15:P22)</f>
        <v>0</v>
      </c>
      <c r="R22">
        <f t="shared" si="26"/>
        <v>7000</v>
      </c>
      <c r="S22" t="str">
        <f>E22&amp;COUNTIFS($E$15:E22,E22,$R$15:R22,0)</f>
        <v>PXP1</v>
      </c>
      <c r="T22" s="514">
        <f t="shared" si="27"/>
        <v>288.18999999999994</v>
      </c>
      <c r="U22" s="515">
        <f t="shared" si="28"/>
        <v>31911.809999999998</v>
      </c>
      <c r="V22" s="516">
        <f t="shared" si="29"/>
        <v>4.7138650000000002</v>
      </c>
      <c r="W22">
        <f t="shared" si="30"/>
        <v>-32997.055</v>
      </c>
      <c r="X22">
        <f>SUMIFS($W$15:W21,$E$15:E21,E22)</f>
        <v>32997.055</v>
      </c>
      <c r="Y22" t="e">
        <f>SUMIF($S$15:S22,S22,$W$15:W22)/Q22</f>
        <v>#DIV/0!</v>
      </c>
      <c r="Z22" s="518">
        <f t="shared" si="31"/>
        <v>-1085.2450000000026</v>
      </c>
      <c r="AA22" s="519">
        <f t="shared" si="32"/>
        <v>-3.2889147228442134E-2</v>
      </c>
      <c r="AB22" s="520">
        <f>IFERROR(IF(D22="",0,D22-INDEX($D$15:D22,MATCH(S22,$S$15:S22,0))),0)</f>
        <v>1</v>
      </c>
      <c r="AC22" s="521">
        <f t="shared" si="33"/>
        <v>-1.0643666942527978</v>
      </c>
      <c r="AD22" s="515">
        <f t="shared" si="34"/>
        <v>101961.57075</v>
      </c>
      <c r="AE22" s="512" t="s">
        <v>239</v>
      </c>
      <c r="AF22" s="531"/>
      <c r="AG22" s="961"/>
      <c r="AH22" s="961"/>
      <c r="AI22">
        <f t="shared" si="53"/>
        <v>-1085.2450000000026</v>
      </c>
      <c r="AJ22">
        <f>SUMIFS($U$15:U22,$S$15:S22,S22,$W$15:W22,"&gt;0")</f>
        <v>32997.055</v>
      </c>
      <c r="AK22" t="str">
        <f>IF(COUNTIF($E$15:E22,E22)=1,C22,"")</f>
        <v/>
      </c>
      <c r="AL22">
        <f t="shared" si="35"/>
        <v>-1085.2450000000026</v>
      </c>
      <c r="AM22">
        <f t="shared" si="36"/>
        <v>42979</v>
      </c>
      <c r="AN22">
        <f t="shared" si="54"/>
        <v>1</v>
      </c>
      <c r="AO22">
        <f t="shared" si="37"/>
        <v>1</v>
      </c>
      <c r="AP22">
        <f t="shared" si="55"/>
        <v>1</v>
      </c>
      <c r="AR22">
        <f t="shared" si="56"/>
        <v>0.32362246635946418</v>
      </c>
      <c r="AS22">
        <f t="shared" si="57"/>
        <v>3</v>
      </c>
      <c r="AT22">
        <f t="shared" si="58"/>
        <v>-3.2889147228442134E-2</v>
      </c>
      <c r="AU22">
        <f>SUMIF(Dividends!$N$15:$N$274,C22,Dividends!$G$15:$G$274)</f>
        <v>0</v>
      </c>
      <c r="AV22">
        <f>SUMIF('Bank Transfers'!$P$15:$P$114,C22,'Bank Transfers'!$H$15:$H$114)</f>
        <v>0</v>
      </c>
      <c r="AW22">
        <f t="shared" si="59"/>
        <v>101961.57075</v>
      </c>
      <c r="AX22">
        <f t="shared" si="60"/>
        <v>100876.32574999999</v>
      </c>
      <c r="AY22">
        <f t="shared" si="61"/>
        <v>9.178011691147514E-3</v>
      </c>
      <c r="AZ22">
        <f t="shared" si="38"/>
        <v>8</v>
      </c>
      <c r="BA22">
        <f t="shared" si="39"/>
        <v>-1</v>
      </c>
      <c r="BB22">
        <f t="shared" si="40"/>
        <v>-1</v>
      </c>
      <c r="BC22">
        <f t="shared" si="41"/>
        <v>-1085.2450000000026</v>
      </c>
      <c r="BD22">
        <f t="shared" si="62"/>
        <v>0</v>
      </c>
      <c r="BE22">
        <f t="shared" si="42"/>
        <v>0</v>
      </c>
      <c r="BF22">
        <f t="shared" si="43"/>
        <v>0</v>
      </c>
      <c r="BG22">
        <f t="shared" si="63"/>
        <v>-1</v>
      </c>
      <c r="BH22">
        <f>IFERROR(MAX($AX$14:AX22),"")</f>
        <v>101961.57075</v>
      </c>
      <c r="BI22">
        <f t="shared" si="44"/>
        <v>-1.064366694252805E-2</v>
      </c>
      <c r="BJ22">
        <f t="shared" si="45"/>
        <v>18</v>
      </c>
      <c r="BK22">
        <f t="shared" si="64"/>
        <v>101116.71715</v>
      </c>
      <c r="BM22">
        <f t="shared" si="65"/>
        <v>8</v>
      </c>
      <c r="BO22">
        <f t="shared" si="71"/>
        <v>15</v>
      </c>
      <c r="BP22" t="str">
        <f t="shared" si="72"/>
        <v>SELL</v>
      </c>
      <c r="BQ22" t="str">
        <f t="shared" si="73"/>
        <v>L</v>
      </c>
      <c r="BR22">
        <f t="shared" si="74"/>
        <v>1</v>
      </c>
      <c r="BS22">
        <f t="shared" si="75"/>
        <v>7.9999999999999996E-7</v>
      </c>
      <c r="BT22" t="str">
        <f t="shared" si="76"/>
        <v>IMI</v>
      </c>
      <c r="BU22">
        <f t="shared" si="77"/>
        <v>0</v>
      </c>
      <c r="BV22">
        <f t="shared" si="78"/>
        <v>0</v>
      </c>
      <c r="BW22">
        <f t="shared" si="79"/>
        <v>0</v>
      </c>
      <c r="BX22" t="str">
        <f t="shared" si="80"/>
        <v>IMI1</v>
      </c>
      <c r="BY22">
        <f t="shared" si="81"/>
        <v>0</v>
      </c>
      <c r="BZ22">
        <f t="shared" si="82"/>
        <v>1.0000008</v>
      </c>
    </row>
    <row r="23" spans="3:78" ht="20.100000000000001" customHeight="1">
      <c r="C23" s="503">
        <f t="shared" si="70"/>
        <v>9</v>
      </c>
      <c r="D23" s="510">
        <v>42984</v>
      </c>
      <c r="E23" s="506" t="s">
        <v>0</v>
      </c>
      <c r="F23" s="507" t="s">
        <v>12</v>
      </c>
      <c r="G23" s="508">
        <v>6.21</v>
      </c>
      <c r="H23" s="509">
        <v>5400</v>
      </c>
      <c r="I23" s="511"/>
      <c r="K23">
        <f t="shared" si="20"/>
        <v>33534</v>
      </c>
      <c r="L23">
        <f t="shared" si="21"/>
        <v>83.835000000000008</v>
      </c>
      <c r="M23">
        <f t="shared" si="22"/>
        <v>10.060199999999998</v>
      </c>
      <c r="N23">
        <f t="shared" si="23"/>
        <v>5.0300999999999991</v>
      </c>
      <c r="O23">
        <f t="shared" si="24"/>
        <v>201.20400000000001</v>
      </c>
      <c r="P23">
        <f t="shared" si="25"/>
        <v>5400</v>
      </c>
      <c r="Q23">
        <f>SUMIF($E$15:E23,E23,$P$15:P23)</f>
        <v>5400</v>
      </c>
      <c r="R23">
        <f t="shared" si="26"/>
        <v>0</v>
      </c>
      <c r="S23" t="str">
        <f>E23&amp;COUNTIFS($E$15:E23,E23,$R$15:R23,0)</f>
        <v>X1</v>
      </c>
      <c r="T23" s="514">
        <f t="shared" si="27"/>
        <v>98.925300000000007</v>
      </c>
      <c r="U23" s="515">
        <f t="shared" si="28"/>
        <v>33632.925300000003</v>
      </c>
      <c r="V23" s="516">
        <f t="shared" si="29"/>
        <v>6.2283195000000005</v>
      </c>
      <c r="W23">
        <f t="shared" si="30"/>
        <v>33632.925300000003</v>
      </c>
      <c r="X23">
        <f>SUMIFS($W$15:W22,$E$15:E22,E23)</f>
        <v>0</v>
      </c>
      <c r="Y23">
        <f>SUMIF($S$15:S23,S23,$W$15:W23)/Q23</f>
        <v>6.2283195000000005</v>
      </c>
      <c r="Z23" s="518">
        <f t="shared" si="31"/>
        <v>0</v>
      </c>
      <c r="AA23" s="519">
        <f t="shared" si="32"/>
        <v>0</v>
      </c>
      <c r="AB23" s="520">
        <f>IFERROR(IF(D23="",0,D23-INDEX($D$15:D23,MATCH(S23,$S$15:S23,0))),0)</f>
        <v>0</v>
      </c>
      <c r="AC23" s="521">
        <f t="shared" si="33"/>
        <v>0</v>
      </c>
      <c r="AD23" s="515">
        <f t="shared" si="34"/>
        <v>100876.32574999999</v>
      </c>
      <c r="AE23" s="512"/>
      <c r="AF23" s="531"/>
      <c r="AG23" s="961"/>
      <c r="AH23" s="961"/>
      <c r="AI23">
        <f t="shared" si="53"/>
        <v>0</v>
      </c>
      <c r="AJ23">
        <f>SUMIFS($U$15:U23,$S$15:S23,S23,$W$15:W23,"&gt;0")</f>
        <v>33632.925300000003</v>
      </c>
      <c r="AK23">
        <f>IF(COUNTIF($E$15:E23,E23)=1,C23,"")</f>
        <v>9</v>
      </c>
      <c r="AL23">
        <f t="shared" si="35"/>
        <v>-131.47110000000248</v>
      </c>
      <c r="AM23">
        <f t="shared" si="36"/>
        <v>42979</v>
      </c>
      <c r="AN23">
        <f t="shared" si="54"/>
        <v>0</v>
      </c>
      <c r="AO23">
        <f t="shared" si="37"/>
        <v>0</v>
      </c>
      <c r="AP23">
        <f t="shared" si="55"/>
        <v>0</v>
      </c>
      <c r="AR23" t="str">
        <f t="shared" si="56"/>
        <v/>
      </c>
      <c r="AS23">
        <f t="shared" si="57"/>
        <v>3</v>
      </c>
      <c r="AT23" t="str">
        <f t="shared" si="58"/>
        <v/>
      </c>
      <c r="AU23">
        <f>SUMIF(Dividends!$N$15:$N$274,C23,Dividends!$G$15:$G$274)</f>
        <v>0</v>
      </c>
      <c r="AV23">
        <f>SUMIF('Bank Transfers'!$P$15:$P$114,C23,'Bank Transfers'!$H$15:$H$114)</f>
        <v>0</v>
      </c>
      <c r="AW23">
        <f t="shared" si="59"/>
        <v>100876.32574999999</v>
      </c>
      <c r="AX23">
        <f t="shared" si="60"/>
        <v>100876.32574999999</v>
      </c>
      <c r="AY23">
        <f t="shared" si="61"/>
        <v>9.178011691147514E-3</v>
      </c>
      <c r="AZ23" t="str">
        <f t="shared" si="38"/>
        <v/>
      </c>
      <c r="BA23">
        <f t="shared" si="39"/>
        <v>0</v>
      </c>
      <c r="BB23">
        <f t="shared" si="40"/>
        <v>-1</v>
      </c>
      <c r="BC23">
        <f t="shared" si="41"/>
        <v>-1085.2450000000026</v>
      </c>
      <c r="BD23">
        <f t="shared" si="62"/>
        <v>0</v>
      </c>
      <c r="BE23">
        <f t="shared" si="42"/>
        <v>0</v>
      </c>
      <c r="BF23">
        <f t="shared" si="43"/>
        <v>0</v>
      </c>
      <c r="BG23">
        <f t="shared" si="63"/>
        <v>-1</v>
      </c>
      <c r="BH23">
        <f>IFERROR(MAX($AX$14:AX23),"")</f>
        <v>101961.57075</v>
      </c>
      <c r="BI23">
        <f t="shared" si="44"/>
        <v>-1.064366694252805E-2</v>
      </c>
      <c r="BJ23">
        <f t="shared" si="45"/>
        <v>20</v>
      </c>
      <c r="BK23">
        <f t="shared" si="64"/>
        <v>100103.81694999999</v>
      </c>
      <c r="BM23">
        <f t="shared" si="65"/>
        <v>9</v>
      </c>
      <c r="BO23">
        <f t="shared" si="71"/>
        <v>17</v>
      </c>
      <c r="BP23" t="str">
        <f t="shared" si="72"/>
        <v>BUY</v>
      </c>
      <c r="BQ23" t="str">
        <f t="shared" si="73"/>
        <v>L</v>
      </c>
      <c r="BR23">
        <f t="shared" si="74"/>
        <v>1</v>
      </c>
      <c r="BS23">
        <f t="shared" si="75"/>
        <v>8.9999999999999996E-7</v>
      </c>
      <c r="BT23" t="str">
        <f t="shared" si="76"/>
        <v>MEG</v>
      </c>
      <c r="BU23">
        <f t="shared" si="77"/>
        <v>0</v>
      </c>
      <c r="BV23">
        <f t="shared" si="78"/>
        <v>0</v>
      </c>
      <c r="BW23">
        <f t="shared" si="79"/>
        <v>0</v>
      </c>
      <c r="BX23" t="str">
        <f t="shared" si="80"/>
        <v>MEG1</v>
      </c>
      <c r="BY23">
        <f t="shared" si="81"/>
        <v>0</v>
      </c>
      <c r="BZ23">
        <f t="shared" si="82"/>
        <v>1.0000009000000001</v>
      </c>
    </row>
    <row r="24" spans="3:78" ht="20.100000000000001" customHeight="1">
      <c r="C24" s="503">
        <f t="shared" si="70"/>
        <v>10</v>
      </c>
      <c r="D24" s="510">
        <v>42985</v>
      </c>
      <c r="E24" s="506" t="s">
        <v>0</v>
      </c>
      <c r="F24" s="507" t="s">
        <v>22</v>
      </c>
      <c r="G24" s="508">
        <v>6.26</v>
      </c>
      <c r="H24" s="509">
        <v>5400</v>
      </c>
      <c r="I24" s="511"/>
      <c r="K24">
        <f t="shared" si="20"/>
        <v>33804</v>
      </c>
      <c r="L24">
        <f t="shared" si="21"/>
        <v>84.51</v>
      </c>
      <c r="M24">
        <f t="shared" si="22"/>
        <v>10.1412</v>
      </c>
      <c r="N24">
        <f t="shared" si="23"/>
        <v>5.0705999999999998</v>
      </c>
      <c r="O24">
        <f t="shared" si="24"/>
        <v>202.82400000000001</v>
      </c>
      <c r="P24">
        <f t="shared" si="25"/>
        <v>-5400</v>
      </c>
      <c r="Q24">
        <f>SUMIF($E$15:E24,E24,$P$15:P24)</f>
        <v>0</v>
      </c>
      <c r="R24">
        <f t="shared" si="26"/>
        <v>5400</v>
      </c>
      <c r="S24" t="str">
        <f>E24&amp;COUNTIFS($E$15:E24,E24,$R$15:R24,0)</f>
        <v>X1</v>
      </c>
      <c r="T24" s="514">
        <f t="shared" si="27"/>
        <v>302.54579999999999</v>
      </c>
      <c r="U24" s="515">
        <f t="shared" si="28"/>
        <v>33501.4542</v>
      </c>
      <c r="V24" s="516">
        <f t="shared" si="29"/>
        <v>6.2283195000000005</v>
      </c>
      <c r="W24">
        <f t="shared" si="30"/>
        <v>-33632.925300000003</v>
      </c>
      <c r="X24">
        <f>SUMIFS($W$15:W23,$E$15:E23,E24)</f>
        <v>33632.925300000003</v>
      </c>
      <c r="Y24" t="e">
        <f>SUMIF($S$15:S24,S24,$W$15:W24)/Q24</f>
        <v>#DIV/0!</v>
      </c>
      <c r="Z24" s="518">
        <f t="shared" si="31"/>
        <v>-131.47110000000248</v>
      </c>
      <c r="AA24" s="519">
        <f t="shared" si="32"/>
        <v>-3.9089998514046133E-3</v>
      </c>
      <c r="AB24" s="520">
        <f>IFERROR(IF(D24="",0,D24-INDEX($D$15:D24,MATCH(S24,$S$15:S24,0))),0)</f>
        <v>1</v>
      </c>
      <c r="AC24" s="521">
        <f t="shared" si="33"/>
        <v>-0.13032899347050464</v>
      </c>
      <c r="AD24" s="515">
        <f t="shared" si="34"/>
        <v>100876.32574999999</v>
      </c>
      <c r="AE24" s="512"/>
      <c r="AF24" s="531"/>
      <c r="AG24" s="961"/>
      <c r="AH24" s="961"/>
      <c r="AI24">
        <f t="shared" si="53"/>
        <v>-131.47110000000248</v>
      </c>
      <c r="AJ24">
        <f>SUMIFS($U$15:U24,$S$15:S24,S24,$W$15:W24,"&gt;0")</f>
        <v>33632.925300000003</v>
      </c>
      <c r="AK24" t="str">
        <f>IF(COUNTIF($E$15:E24,E24)=1,C24,"")</f>
        <v/>
      </c>
      <c r="AL24">
        <f t="shared" si="35"/>
        <v>-131.47110000000248</v>
      </c>
      <c r="AM24">
        <f t="shared" si="36"/>
        <v>42979</v>
      </c>
      <c r="AN24">
        <f t="shared" si="54"/>
        <v>1</v>
      </c>
      <c r="AO24">
        <f t="shared" si="37"/>
        <v>1</v>
      </c>
      <c r="AP24">
        <f t="shared" si="55"/>
        <v>1</v>
      </c>
      <c r="AR24">
        <f t="shared" si="56"/>
        <v>0.33340751707543242</v>
      </c>
      <c r="AS24">
        <f t="shared" si="57"/>
        <v>4</v>
      </c>
      <c r="AT24">
        <f t="shared" si="58"/>
        <v>-3.9089998514046133E-3</v>
      </c>
      <c r="AU24">
        <f>SUMIF(Dividends!$N$15:$N$274,C24,Dividends!$G$15:$G$274)</f>
        <v>0</v>
      </c>
      <c r="AV24">
        <f>SUMIF('Bank Transfers'!$P$15:$P$114,C24,'Bank Transfers'!$H$15:$H$114)</f>
        <v>0</v>
      </c>
      <c r="AW24">
        <f t="shared" si="59"/>
        <v>100876.32574999999</v>
      </c>
      <c r="AX24">
        <f t="shared" si="60"/>
        <v>100744.85464999999</v>
      </c>
      <c r="AY24">
        <f t="shared" si="61"/>
        <v>7.8747217564425487E-3</v>
      </c>
      <c r="AZ24">
        <f t="shared" si="38"/>
        <v>10</v>
      </c>
      <c r="BA24">
        <f t="shared" si="39"/>
        <v>-1</v>
      </c>
      <c r="BB24">
        <f t="shared" si="40"/>
        <v>-2</v>
      </c>
      <c r="BC24">
        <f t="shared" si="41"/>
        <v>-1216.7161000000051</v>
      </c>
      <c r="BD24">
        <f t="shared" si="62"/>
        <v>0</v>
      </c>
      <c r="BE24">
        <f t="shared" si="42"/>
        <v>0</v>
      </c>
      <c r="BF24">
        <f t="shared" si="43"/>
        <v>0</v>
      </c>
      <c r="BG24">
        <f t="shared" si="63"/>
        <v>-2</v>
      </c>
      <c r="BH24">
        <f>IFERROR(MAX($AX$14:AX24),"")</f>
        <v>101961.57075</v>
      </c>
      <c r="BI24">
        <f t="shared" si="44"/>
        <v>-1.1933085093238475E-2</v>
      </c>
      <c r="BJ24">
        <f t="shared" si="45"/>
        <v>22</v>
      </c>
      <c r="BK24">
        <f t="shared" si="64"/>
        <v>115171.49695</v>
      </c>
      <c r="BM24">
        <f t="shared" si="65"/>
        <v>10</v>
      </c>
      <c r="BO24">
        <f t="shared" si="71"/>
        <v>19</v>
      </c>
      <c r="BP24" t="str">
        <f t="shared" si="72"/>
        <v>SELL</v>
      </c>
      <c r="BQ24" t="str">
        <f t="shared" si="73"/>
        <v>L</v>
      </c>
      <c r="BR24">
        <f t="shared" si="74"/>
        <v>1</v>
      </c>
      <c r="BS24">
        <f t="shared" si="75"/>
        <v>9.9999999999999995E-7</v>
      </c>
      <c r="BT24" t="str">
        <f t="shared" si="76"/>
        <v>MRP</v>
      </c>
      <c r="BU24">
        <f t="shared" si="77"/>
        <v>0</v>
      </c>
      <c r="BV24">
        <f t="shared" si="78"/>
        <v>0</v>
      </c>
      <c r="BW24">
        <f t="shared" si="79"/>
        <v>0</v>
      </c>
      <c r="BX24" t="str">
        <f t="shared" si="80"/>
        <v>MRP1</v>
      </c>
      <c r="BY24">
        <f t="shared" si="81"/>
        <v>0</v>
      </c>
      <c r="BZ24">
        <f t="shared" si="82"/>
        <v>1.0000009999999999</v>
      </c>
    </row>
    <row r="25" spans="3:78" ht="20.100000000000001" customHeight="1">
      <c r="C25" s="503">
        <f t="shared" si="70"/>
        <v>11</v>
      </c>
      <c r="D25" s="510">
        <v>42986</v>
      </c>
      <c r="E25" s="506" t="s">
        <v>593</v>
      </c>
      <c r="F25" s="507" t="s">
        <v>12</v>
      </c>
      <c r="G25" s="508">
        <v>1.77</v>
      </c>
      <c r="H25" s="509">
        <v>18000</v>
      </c>
      <c r="I25" s="511"/>
      <c r="K25">
        <f t="shared" si="20"/>
        <v>31860</v>
      </c>
      <c r="L25">
        <f t="shared" si="21"/>
        <v>79.650000000000006</v>
      </c>
      <c r="M25">
        <f t="shared" si="22"/>
        <v>9.5579999999999998</v>
      </c>
      <c r="N25">
        <f t="shared" si="23"/>
        <v>4.7789999999999999</v>
      </c>
      <c r="O25">
        <f t="shared" si="24"/>
        <v>191.16</v>
      </c>
      <c r="P25">
        <f t="shared" si="25"/>
        <v>18000</v>
      </c>
      <c r="Q25">
        <f>SUMIF($E$15:E25,E25,$P$15:P25)</f>
        <v>18000</v>
      </c>
      <c r="R25">
        <f t="shared" si="26"/>
        <v>0</v>
      </c>
      <c r="S25" t="str">
        <f>E25&amp;COUNTIFS($E$15:E25,E25,$R$15:R25,0)</f>
        <v>APX1</v>
      </c>
      <c r="T25" s="514">
        <f t="shared" si="27"/>
        <v>93.986999999999995</v>
      </c>
      <c r="U25" s="515">
        <f t="shared" si="28"/>
        <v>31953.987000000001</v>
      </c>
      <c r="V25" s="516">
        <f t="shared" si="29"/>
        <v>1.7752215</v>
      </c>
      <c r="W25">
        <f t="shared" si="30"/>
        <v>31953.987000000001</v>
      </c>
      <c r="X25">
        <f>SUMIFS($W$15:W24,$E$15:E24,E25)</f>
        <v>0</v>
      </c>
      <c r="Y25">
        <f>SUMIF($S$15:S25,S25,$W$15:W25)/Q25</f>
        <v>1.7752215</v>
      </c>
      <c r="Z25" s="518">
        <f t="shared" si="31"/>
        <v>0</v>
      </c>
      <c r="AA25" s="519">
        <f t="shared" si="32"/>
        <v>0</v>
      </c>
      <c r="AB25" s="520">
        <f>IFERROR(IF(D25="",0,D25-INDEX($D$15:D25,MATCH(S25,$S$15:S25,0))),0)</f>
        <v>0</v>
      </c>
      <c r="AC25" s="521">
        <f t="shared" si="33"/>
        <v>0</v>
      </c>
      <c r="AD25" s="515">
        <f t="shared" si="34"/>
        <v>100744.85464999999</v>
      </c>
      <c r="AE25" s="512"/>
      <c r="AF25" s="531"/>
      <c r="AG25" s="961"/>
      <c r="AH25" s="961"/>
      <c r="AI25">
        <f t="shared" si="53"/>
        <v>0</v>
      </c>
      <c r="AJ25">
        <f>SUMIFS($U$15:U25,$S$15:S25,S25,$W$15:W25,"&gt;0")</f>
        <v>31953.987000000001</v>
      </c>
      <c r="AK25">
        <f>IF(COUNTIF($E$15:E25,E25)=1,C25,"")</f>
        <v>11</v>
      </c>
      <c r="AL25">
        <f t="shared" si="35"/>
        <v>-735.91200000000026</v>
      </c>
      <c r="AM25">
        <f t="shared" si="36"/>
        <v>42979</v>
      </c>
      <c r="AN25">
        <f t="shared" si="54"/>
        <v>0</v>
      </c>
      <c r="AO25">
        <f t="shared" si="37"/>
        <v>0</v>
      </c>
      <c r="AP25">
        <f t="shared" si="55"/>
        <v>0</v>
      </c>
      <c r="AR25" t="str">
        <f t="shared" si="56"/>
        <v/>
      </c>
      <c r="AS25">
        <f t="shared" si="57"/>
        <v>4</v>
      </c>
      <c r="AT25" t="str">
        <f t="shared" si="58"/>
        <v/>
      </c>
      <c r="AU25">
        <f>SUMIF(Dividends!$N$15:$N$274,C25,Dividends!$G$15:$G$274)</f>
        <v>0</v>
      </c>
      <c r="AV25">
        <f>SUMIF('Bank Transfers'!$P$15:$P$114,C25,'Bank Transfers'!$H$15:$H$114)</f>
        <v>0</v>
      </c>
      <c r="AW25">
        <f t="shared" si="59"/>
        <v>100744.85464999999</v>
      </c>
      <c r="AX25">
        <f t="shared" si="60"/>
        <v>100744.85464999999</v>
      </c>
      <c r="AY25">
        <f t="shared" si="61"/>
        <v>7.8747217564425487E-3</v>
      </c>
      <c r="AZ25" t="str">
        <f t="shared" si="38"/>
        <v/>
      </c>
      <c r="BA25">
        <f t="shared" si="39"/>
        <v>0</v>
      </c>
      <c r="BB25">
        <f t="shared" si="40"/>
        <v>-2</v>
      </c>
      <c r="BC25">
        <f t="shared" si="41"/>
        <v>-1216.7161000000051</v>
      </c>
      <c r="BD25">
        <f t="shared" si="62"/>
        <v>0</v>
      </c>
      <c r="BE25">
        <f t="shared" si="42"/>
        <v>0</v>
      </c>
      <c r="BF25">
        <f t="shared" si="43"/>
        <v>0</v>
      </c>
      <c r="BG25">
        <f t="shared" si="63"/>
        <v>-2</v>
      </c>
      <c r="BH25">
        <f>IFERROR(MAX($AX$14:AX25),"")</f>
        <v>101961.57075</v>
      </c>
      <c r="BI25">
        <f t="shared" si="44"/>
        <v>-1.1933085093238475E-2</v>
      </c>
      <c r="BJ25">
        <f t="shared" si="45"/>
        <v>26</v>
      </c>
      <c r="BK25">
        <f t="shared" si="64"/>
        <v>119797.26185</v>
      </c>
      <c r="BM25">
        <f t="shared" si="65"/>
        <v>11</v>
      </c>
      <c r="BO25">
        <f t="shared" si="71"/>
        <v>35</v>
      </c>
      <c r="BP25" t="str">
        <f t="shared" si="72"/>
        <v>BUY</v>
      </c>
      <c r="BQ25" t="str">
        <f t="shared" si="73"/>
        <v>L</v>
      </c>
      <c r="BR25">
        <f t="shared" si="74"/>
        <v>1</v>
      </c>
      <c r="BS25">
        <f t="shared" si="75"/>
        <v>1.1000000000000001E-6</v>
      </c>
      <c r="BT25" t="str">
        <f t="shared" si="76"/>
        <v>EDC</v>
      </c>
      <c r="BU25">
        <f t="shared" si="77"/>
        <v>0</v>
      </c>
      <c r="BV25">
        <f t="shared" si="78"/>
        <v>0</v>
      </c>
      <c r="BW25">
        <f t="shared" si="79"/>
        <v>0</v>
      </c>
      <c r="BX25" t="str">
        <f t="shared" si="80"/>
        <v>EDC1</v>
      </c>
      <c r="BY25">
        <f t="shared" si="81"/>
        <v>0</v>
      </c>
      <c r="BZ25">
        <f t="shared" si="82"/>
        <v>1.0000011</v>
      </c>
    </row>
    <row r="26" spans="3:78" ht="20.100000000000001" customHeight="1">
      <c r="C26" s="503">
        <f t="shared" si="70"/>
        <v>12</v>
      </c>
      <c r="D26" s="510">
        <v>42986</v>
      </c>
      <c r="E26" s="506" t="s">
        <v>593</v>
      </c>
      <c r="F26" s="507" t="s">
        <v>22</v>
      </c>
      <c r="G26" s="508">
        <v>1.75</v>
      </c>
      <c r="H26" s="509">
        <v>18000</v>
      </c>
      <c r="I26" s="511"/>
      <c r="K26">
        <f t="shared" si="20"/>
        <v>31500</v>
      </c>
      <c r="L26">
        <f t="shared" si="21"/>
        <v>78.75</v>
      </c>
      <c r="M26">
        <f t="shared" si="22"/>
        <v>9.4499999999999993</v>
      </c>
      <c r="N26">
        <f t="shared" si="23"/>
        <v>4.7249999999999996</v>
      </c>
      <c r="O26">
        <f t="shared" si="24"/>
        <v>189</v>
      </c>
      <c r="P26">
        <f t="shared" si="25"/>
        <v>-18000</v>
      </c>
      <c r="Q26">
        <f>SUMIF($E$15:E26,E26,$P$15:P26)</f>
        <v>0</v>
      </c>
      <c r="R26">
        <f t="shared" si="26"/>
        <v>18000</v>
      </c>
      <c r="S26" t="str">
        <f>E26&amp;COUNTIFS($E$15:E26,E26,$R$15:R26,0)</f>
        <v>APX1</v>
      </c>
      <c r="T26" s="514">
        <f t="shared" si="27"/>
        <v>281.92500000000001</v>
      </c>
      <c r="U26" s="515">
        <f t="shared" si="28"/>
        <v>31218.075000000001</v>
      </c>
      <c r="V26" s="516">
        <f t="shared" si="29"/>
        <v>1.7752215</v>
      </c>
      <c r="W26">
        <f t="shared" si="30"/>
        <v>-31953.987000000001</v>
      </c>
      <c r="X26">
        <f>SUMIFS($W$15:W25,$E$15:E25,E26)</f>
        <v>31953.987000000001</v>
      </c>
      <c r="Y26" t="e">
        <f>SUMIF($S$15:S26,S26,$W$15:W26)/Q26</f>
        <v>#DIV/0!</v>
      </c>
      <c r="Z26" s="518">
        <f t="shared" si="31"/>
        <v>-735.91200000000026</v>
      </c>
      <c r="AA26" s="519">
        <f t="shared" si="32"/>
        <v>-2.3030365506501591E-2</v>
      </c>
      <c r="AB26" s="520">
        <f>IFERROR(IF(D26="",0,D26-INDEX($D$15:D26,MATCH(S26,$S$15:S26,0))),0)</f>
        <v>0</v>
      </c>
      <c r="AC26" s="521">
        <f t="shared" si="33"/>
        <v>-0.73047105239930021</v>
      </c>
      <c r="AD26" s="515">
        <f t="shared" si="34"/>
        <v>100744.85464999999</v>
      </c>
      <c r="AE26" s="512"/>
      <c r="AF26" s="531"/>
      <c r="AG26" s="961"/>
      <c r="AH26" s="961"/>
      <c r="AI26">
        <f t="shared" si="53"/>
        <v>-735.91200000000026</v>
      </c>
      <c r="AJ26">
        <f>SUMIFS($U$15:U26,$S$15:S26,S26,$W$15:W26,"&gt;0")</f>
        <v>31953.987000000001</v>
      </c>
      <c r="AK26" t="str">
        <f>IF(COUNTIF($E$15:E26,E26)=1,C26,"")</f>
        <v/>
      </c>
      <c r="AL26">
        <f t="shared" si="35"/>
        <v>-735.91200000000026</v>
      </c>
      <c r="AM26">
        <f t="shared" si="36"/>
        <v>42979</v>
      </c>
      <c r="AN26">
        <f t="shared" si="54"/>
        <v>1</v>
      </c>
      <c r="AO26">
        <f t="shared" si="37"/>
        <v>1</v>
      </c>
      <c r="AP26">
        <f t="shared" si="55"/>
        <v>1</v>
      </c>
      <c r="AR26">
        <f t="shared" si="56"/>
        <v>0.31717735968761956</v>
      </c>
      <c r="AS26">
        <f t="shared" si="57"/>
        <v>5</v>
      </c>
      <c r="AT26">
        <f t="shared" si="58"/>
        <v>-2.3030365506501591E-2</v>
      </c>
      <c r="AU26">
        <f>SUMIF(Dividends!$N$15:$N$274,C26,Dividends!$G$15:$G$274)</f>
        <v>0</v>
      </c>
      <c r="AV26">
        <f>SUMIF('Bank Transfers'!$P$15:$P$114,C26,'Bank Transfers'!$H$15:$H$114)</f>
        <v>0</v>
      </c>
      <c r="AW26">
        <f t="shared" si="59"/>
        <v>100744.85464999999</v>
      </c>
      <c r="AX26">
        <f t="shared" si="60"/>
        <v>100008.94265</v>
      </c>
      <c r="AY26">
        <f t="shared" si="61"/>
        <v>5.7001123244959651E-4</v>
      </c>
      <c r="AZ26">
        <f t="shared" si="38"/>
        <v>12</v>
      </c>
      <c r="BA26">
        <f t="shared" si="39"/>
        <v>-1</v>
      </c>
      <c r="BB26">
        <f t="shared" si="40"/>
        <v>-3</v>
      </c>
      <c r="BC26">
        <f t="shared" si="41"/>
        <v>-1952.6281000000054</v>
      </c>
      <c r="BD26">
        <f t="shared" si="62"/>
        <v>0</v>
      </c>
      <c r="BE26">
        <f t="shared" si="42"/>
        <v>0</v>
      </c>
      <c r="BF26">
        <f t="shared" si="43"/>
        <v>-1952.6281000000054</v>
      </c>
      <c r="BG26">
        <f t="shared" si="63"/>
        <v>-3</v>
      </c>
      <c r="BH26">
        <f>IFERROR(MAX($AX$14:AX26),"")</f>
        <v>101961.57075</v>
      </c>
      <c r="BI26">
        <f t="shared" si="44"/>
        <v>-1.9150627884967159E-2</v>
      </c>
      <c r="BJ26">
        <f t="shared" si="45"/>
        <v>30</v>
      </c>
      <c r="BK26">
        <f t="shared" si="64"/>
        <v>128535.71535</v>
      </c>
      <c r="BM26">
        <f t="shared" si="65"/>
        <v>12</v>
      </c>
      <c r="BO26">
        <f t="shared" si="71"/>
        <v>43</v>
      </c>
      <c r="BP26" t="str">
        <f t="shared" si="72"/>
        <v>SELL</v>
      </c>
      <c r="BQ26" t="str">
        <f t="shared" si="73"/>
        <v>L</v>
      </c>
      <c r="BR26">
        <f t="shared" si="74"/>
        <v>1</v>
      </c>
      <c r="BS26">
        <f t="shared" si="75"/>
        <v>1.1999999999999999E-6</v>
      </c>
      <c r="BT26" t="str">
        <f t="shared" si="76"/>
        <v>EW</v>
      </c>
      <c r="BU26">
        <f t="shared" si="77"/>
        <v>0</v>
      </c>
      <c r="BV26">
        <f t="shared" si="78"/>
        <v>0</v>
      </c>
      <c r="BW26">
        <f t="shared" si="79"/>
        <v>0</v>
      </c>
      <c r="BX26" t="str">
        <f t="shared" si="80"/>
        <v>EW1</v>
      </c>
      <c r="BY26">
        <f t="shared" si="81"/>
        <v>0</v>
      </c>
      <c r="BZ26">
        <f t="shared" si="82"/>
        <v>1.0000012</v>
      </c>
    </row>
    <row r="27" spans="3:78" ht="20.100000000000001" customHeight="1">
      <c r="C27" s="503">
        <f t="shared" si="70"/>
        <v>13</v>
      </c>
      <c r="D27" s="510">
        <v>42986</v>
      </c>
      <c r="E27" s="506" t="s">
        <v>591</v>
      </c>
      <c r="F27" s="507" t="s">
        <v>12</v>
      </c>
      <c r="G27" s="508">
        <v>5.05</v>
      </c>
      <c r="H27" s="509">
        <v>6500</v>
      </c>
      <c r="I27" s="511"/>
      <c r="K27">
        <f t="shared" si="20"/>
        <v>32825</v>
      </c>
      <c r="L27">
        <f t="shared" si="21"/>
        <v>82.0625</v>
      </c>
      <c r="M27">
        <f t="shared" si="22"/>
        <v>9.8474999999999984</v>
      </c>
      <c r="N27">
        <f t="shared" si="23"/>
        <v>4.9237499999999992</v>
      </c>
      <c r="O27">
        <f t="shared" si="24"/>
        <v>196.95000000000002</v>
      </c>
      <c r="P27">
        <f t="shared" si="25"/>
        <v>6500</v>
      </c>
      <c r="Q27">
        <f>SUMIF($E$15:E27,E27,$P$15:P27)</f>
        <v>6500</v>
      </c>
      <c r="R27">
        <f t="shared" si="26"/>
        <v>0</v>
      </c>
      <c r="S27" t="str">
        <f>E27&amp;COUNTIFS($E$15:E27,E27,$R$15:R27,0)</f>
        <v>PXP2</v>
      </c>
      <c r="T27" s="514">
        <f t="shared" si="27"/>
        <v>96.833749999999995</v>
      </c>
      <c r="U27" s="515">
        <f t="shared" si="28"/>
        <v>32921.833749999998</v>
      </c>
      <c r="V27" s="516">
        <f t="shared" si="29"/>
        <v>5.0648974999999998</v>
      </c>
      <c r="W27">
        <f t="shared" si="30"/>
        <v>32921.833749999998</v>
      </c>
      <c r="X27">
        <f>SUMIFS($W$15:W26,$E$15:E26,E27)</f>
        <v>0</v>
      </c>
      <c r="Y27">
        <f>SUMIF($S$15:S27,S27,$W$15:W27)/Q27</f>
        <v>5.0648974999999998</v>
      </c>
      <c r="Z27" s="518">
        <f t="shared" si="31"/>
        <v>0</v>
      </c>
      <c r="AA27" s="519">
        <f t="shared" si="32"/>
        <v>0</v>
      </c>
      <c r="AB27" s="520">
        <f>IFERROR(IF(D27="",0,D27-INDEX($D$15:D27,MATCH(S27,$S$15:S27,0))),0)</f>
        <v>0</v>
      </c>
      <c r="AC27" s="521">
        <f t="shared" si="33"/>
        <v>0</v>
      </c>
      <c r="AD27" s="515">
        <f t="shared" si="34"/>
        <v>100008.94265</v>
      </c>
      <c r="AE27" s="512" t="s">
        <v>239</v>
      </c>
      <c r="AF27" s="531"/>
      <c r="AG27" s="961"/>
      <c r="AH27" s="961"/>
      <c r="AI27">
        <f t="shared" si="53"/>
        <v>0</v>
      </c>
      <c r="AJ27">
        <f>SUMIFS($U$15:U27,$S$15:S27,S27,$W$15:W27,"&gt;0")</f>
        <v>32921.833749999998</v>
      </c>
      <c r="AK27" t="str">
        <f>IF(COUNTIF($E$15:E27,E27)=1,C27,"")</f>
        <v/>
      </c>
      <c r="AL27">
        <f t="shared" si="35"/>
        <v>962.16575000000012</v>
      </c>
      <c r="AM27">
        <f t="shared" si="36"/>
        <v>42979</v>
      </c>
      <c r="AN27">
        <f t="shared" si="54"/>
        <v>0</v>
      </c>
      <c r="AO27">
        <f t="shared" si="37"/>
        <v>0</v>
      </c>
      <c r="AP27">
        <f t="shared" si="55"/>
        <v>0</v>
      </c>
      <c r="AR27" t="str">
        <f t="shared" si="56"/>
        <v/>
      </c>
      <c r="AS27">
        <f t="shared" si="57"/>
        <v>5</v>
      </c>
      <c r="AT27" t="str">
        <f t="shared" si="58"/>
        <v/>
      </c>
      <c r="AU27">
        <f>SUMIF(Dividends!$N$15:$N$274,C27,Dividends!$G$15:$G$274)</f>
        <v>0</v>
      </c>
      <c r="AV27">
        <f>SUMIF('Bank Transfers'!$P$15:$P$114,C27,'Bank Transfers'!$H$15:$H$114)</f>
        <v>0</v>
      </c>
      <c r="AW27">
        <f t="shared" si="59"/>
        <v>100008.94265</v>
      </c>
      <c r="AX27">
        <f t="shared" si="60"/>
        <v>100008.94265</v>
      </c>
      <c r="AY27">
        <f t="shared" si="61"/>
        <v>5.7001123244959651E-4</v>
      </c>
      <c r="AZ27" t="str">
        <f t="shared" si="38"/>
        <v/>
      </c>
      <c r="BA27">
        <f t="shared" si="39"/>
        <v>0</v>
      </c>
      <c r="BB27">
        <f t="shared" si="40"/>
        <v>-3</v>
      </c>
      <c r="BC27">
        <f t="shared" si="41"/>
        <v>-1952.6281000000054</v>
      </c>
      <c r="BD27">
        <f t="shared" si="62"/>
        <v>0</v>
      </c>
      <c r="BE27">
        <f t="shared" si="42"/>
        <v>0</v>
      </c>
      <c r="BF27">
        <f t="shared" si="43"/>
        <v>-1952.6281000000054</v>
      </c>
      <c r="BG27">
        <f t="shared" si="63"/>
        <v>-3</v>
      </c>
      <c r="BH27">
        <f>IFERROR(MAX($AX$14:AX27),"")</f>
        <v>101961.57075</v>
      </c>
      <c r="BI27">
        <f t="shared" si="44"/>
        <v>-1.9150627884967159E-2</v>
      </c>
      <c r="BJ27">
        <f t="shared" si="45"/>
        <v>31</v>
      </c>
      <c r="BK27">
        <f t="shared" si="64"/>
        <v>129289.71315</v>
      </c>
      <c r="BM27">
        <f t="shared" si="65"/>
        <v>13</v>
      </c>
      <c r="BO27" t="e">
        <f t="shared" si="71"/>
        <v>#NUM!</v>
      </c>
      <c r="BP27" t="e">
        <f t="shared" si="72"/>
        <v>#N/A</v>
      </c>
      <c r="BQ27" t="e">
        <f t="shared" si="73"/>
        <v>#N/A</v>
      </c>
      <c r="BR27">
        <f t="shared" si="74"/>
        <v>3</v>
      </c>
      <c r="BS27">
        <f t="shared" si="75"/>
        <v>1.2999999999999998E-6</v>
      </c>
      <c r="BT27" t="str">
        <f t="shared" si="76"/>
        <v/>
      </c>
      <c r="BU27">
        <f t="shared" si="77"/>
        <v>0</v>
      </c>
      <c r="BV27">
        <f t="shared" si="78"/>
        <v>0</v>
      </c>
      <c r="BW27">
        <f t="shared" si="79"/>
        <v>0</v>
      </c>
      <c r="BX27" t="str">
        <f t="shared" si="80"/>
        <v>3</v>
      </c>
      <c r="BY27">
        <f t="shared" si="81"/>
        <v>0</v>
      </c>
      <c r="BZ27" t="str">
        <f t="shared" si="82"/>
        <v/>
      </c>
    </row>
    <row r="28" spans="3:78" ht="20.100000000000001" customHeight="1">
      <c r="C28" s="503">
        <f t="shared" si="70"/>
        <v>14</v>
      </c>
      <c r="D28" s="510">
        <v>42989</v>
      </c>
      <c r="E28" s="506" t="s">
        <v>591</v>
      </c>
      <c r="F28" s="507" t="s">
        <v>22</v>
      </c>
      <c r="G28" s="508">
        <v>5.26</v>
      </c>
      <c r="H28" s="509">
        <v>6500</v>
      </c>
      <c r="I28" s="511"/>
      <c r="K28">
        <f t="shared" si="20"/>
        <v>34190</v>
      </c>
      <c r="L28">
        <f t="shared" si="21"/>
        <v>85.475000000000009</v>
      </c>
      <c r="M28">
        <f t="shared" si="22"/>
        <v>10.257</v>
      </c>
      <c r="N28">
        <f t="shared" si="23"/>
        <v>5.1284999999999998</v>
      </c>
      <c r="O28">
        <f t="shared" si="24"/>
        <v>205.14000000000001</v>
      </c>
      <c r="P28">
        <f t="shared" si="25"/>
        <v>-6500</v>
      </c>
      <c r="Q28">
        <f>SUMIF($E$15:E28,E28,$P$15:P28)</f>
        <v>0</v>
      </c>
      <c r="R28">
        <f t="shared" si="26"/>
        <v>6500</v>
      </c>
      <c r="S28" t="str">
        <f>E28&amp;COUNTIFS($E$15:E28,E28,$R$15:R28,0)</f>
        <v>PXP2</v>
      </c>
      <c r="T28" s="514">
        <f t="shared" si="27"/>
        <v>306.00050000000005</v>
      </c>
      <c r="U28" s="515">
        <f t="shared" si="28"/>
        <v>33883.999499999998</v>
      </c>
      <c r="V28" s="516">
        <f t="shared" si="29"/>
        <v>5.0648974999999998</v>
      </c>
      <c r="W28">
        <f t="shared" si="30"/>
        <v>-32921.833749999998</v>
      </c>
      <c r="X28">
        <f>SUMIFS($W$15:W27,$E$15:E27,E28)</f>
        <v>32921.833749999998</v>
      </c>
      <c r="Y28" t="e">
        <f>SUMIF($S$15:S28,S28,$W$15:W28)/Q28</f>
        <v>#DIV/0!</v>
      </c>
      <c r="Z28" s="518">
        <f t="shared" si="31"/>
        <v>962.16575000000012</v>
      </c>
      <c r="AA28" s="519">
        <f t="shared" si="32"/>
        <v>2.9225764193648543E-2</v>
      </c>
      <c r="AB28" s="520">
        <f>IFERROR(IF(D28="",0,D28-INDEX($D$15:D28,MATCH(S28,$S$15:S28,0))),0)</f>
        <v>3</v>
      </c>
      <c r="AC28" s="521">
        <f t="shared" si="33"/>
        <v>0.96207971457840447</v>
      </c>
      <c r="AD28" s="515">
        <f t="shared" si="34"/>
        <v>100008.94265</v>
      </c>
      <c r="AE28" s="512" t="s">
        <v>239</v>
      </c>
      <c r="AF28" s="531"/>
      <c r="AG28" s="961"/>
      <c r="AH28" s="961"/>
      <c r="AI28">
        <f t="shared" si="53"/>
        <v>962.16575000000012</v>
      </c>
      <c r="AJ28">
        <f>SUMIFS($U$15:U28,$S$15:S28,S28,$W$15:W28,"&gt;0")</f>
        <v>32921.833749999998</v>
      </c>
      <c r="AK28" t="str">
        <f>IF(COUNTIF($E$15:E28,E28)=1,C28,"")</f>
        <v/>
      </c>
      <c r="AL28">
        <f t="shared" si="35"/>
        <v>962.16575000000012</v>
      </c>
      <c r="AM28">
        <f t="shared" si="36"/>
        <v>42979</v>
      </c>
      <c r="AN28">
        <f t="shared" si="54"/>
        <v>2</v>
      </c>
      <c r="AO28">
        <f t="shared" si="37"/>
        <v>2</v>
      </c>
      <c r="AP28">
        <f t="shared" si="55"/>
        <v>2</v>
      </c>
      <c r="AR28">
        <f t="shared" si="56"/>
        <v>0.32918889928889772</v>
      </c>
      <c r="AS28">
        <f t="shared" si="57"/>
        <v>6</v>
      </c>
      <c r="AT28">
        <f t="shared" si="58"/>
        <v>2.9225764193648543E-2</v>
      </c>
      <c r="AU28">
        <f>SUMIF(Dividends!$N$15:$N$274,C28,Dividends!$G$15:$G$274)</f>
        <v>0</v>
      </c>
      <c r="AV28">
        <f>SUMIF('Bank Transfers'!$P$15:$P$114,C28,'Bank Transfers'!$H$15:$H$114)</f>
        <v>0</v>
      </c>
      <c r="AW28">
        <f t="shared" si="59"/>
        <v>100008.94265</v>
      </c>
      <c r="AX28">
        <f t="shared" si="60"/>
        <v>100971.1084</v>
      </c>
      <c r="AY28">
        <f t="shared" si="61"/>
        <v>1.0190808378233607E-2</v>
      </c>
      <c r="AZ28">
        <f t="shared" si="38"/>
        <v>14</v>
      </c>
      <c r="BA28">
        <f t="shared" si="39"/>
        <v>1</v>
      </c>
      <c r="BB28">
        <f t="shared" si="40"/>
        <v>0</v>
      </c>
      <c r="BC28">
        <f t="shared" si="41"/>
        <v>0</v>
      </c>
      <c r="BD28">
        <f t="shared" si="62"/>
        <v>1</v>
      </c>
      <c r="BE28">
        <f t="shared" si="42"/>
        <v>962.16575000000012</v>
      </c>
      <c r="BF28">
        <f t="shared" si="43"/>
        <v>0</v>
      </c>
      <c r="BG28">
        <f t="shared" si="63"/>
        <v>1</v>
      </c>
      <c r="BH28">
        <f>IFERROR(MAX($AX$14:AX28),"")</f>
        <v>101961.57075</v>
      </c>
      <c r="BI28">
        <f t="shared" si="44"/>
        <v>-9.7140750452787781E-3</v>
      </c>
      <c r="BJ28">
        <f t="shared" si="45"/>
        <v>32</v>
      </c>
      <c r="BK28">
        <f t="shared" si="64"/>
        <v>138379.19745000001</v>
      </c>
      <c r="BM28">
        <f t="shared" si="65"/>
        <v>14</v>
      </c>
      <c r="BO28" t="e">
        <f t="shared" si="71"/>
        <v>#NUM!</v>
      </c>
      <c r="BP28" t="e">
        <f t="shared" si="72"/>
        <v>#N/A</v>
      </c>
      <c r="BQ28" t="e">
        <f t="shared" si="73"/>
        <v>#N/A</v>
      </c>
      <c r="BR28">
        <f t="shared" si="74"/>
        <v>3</v>
      </c>
      <c r="BS28">
        <f t="shared" si="75"/>
        <v>1.3999999999999997E-6</v>
      </c>
      <c r="BT28" t="str">
        <f t="shared" si="76"/>
        <v/>
      </c>
      <c r="BU28">
        <f t="shared" si="77"/>
        <v>0</v>
      </c>
      <c r="BV28">
        <f t="shared" si="78"/>
        <v>0</v>
      </c>
      <c r="BW28">
        <f t="shared" si="79"/>
        <v>0</v>
      </c>
      <c r="BX28" t="str">
        <f t="shared" si="80"/>
        <v>3</v>
      </c>
      <c r="BY28">
        <f t="shared" si="81"/>
        <v>0</v>
      </c>
      <c r="BZ28" t="str">
        <f t="shared" si="82"/>
        <v/>
      </c>
    </row>
    <row r="29" spans="3:78" ht="20.100000000000001" customHeight="1">
      <c r="C29" s="503">
        <f t="shared" si="70"/>
        <v>15</v>
      </c>
      <c r="D29" s="510">
        <v>42991</v>
      </c>
      <c r="E29" s="506" t="s">
        <v>594</v>
      </c>
      <c r="F29" s="507" t="s">
        <v>12</v>
      </c>
      <c r="G29" s="508">
        <v>15.9</v>
      </c>
      <c r="H29" s="509">
        <v>2100</v>
      </c>
      <c r="I29" s="511"/>
      <c r="K29">
        <f t="shared" si="20"/>
        <v>33390</v>
      </c>
      <c r="L29">
        <f t="shared" si="21"/>
        <v>83.475000000000009</v>
      </c>
      <c r="M29">
        <f t="shared" si="22"/>
        <v>10.016999999999999</v>
      </c>
      <c r="N29">
        <f t="shared" si="23"/>
        <v>5.0084999999999997</v>
      </c>
      <c r="O29">
        <f t="shared" si="24"/>
        <v>200.34</v>
      </c>
      <c r="P29">
        <f t="shared" si="25"/>
        <v>2100</v>
      </c>
      <c r="Q29">
        <f>SUMIF($E$15:E29,E29,$P$15:P29)</f>
        <v>2100</v>
      </c>
      <c r="R29">
        <f t="shared" si="26"/>
        <v>0</v>
      </c>
      <c r="S29" t="str">
        <f>E29&amp;COUNTIFS($E$15:E29,E29,$R$15:R29,0)</f>
        <v>IMI1</v>
      </c>
      <c r="T29" s="514">
        <f t="shared" si="27"/>
        <v>98.500500000000002</v>
      </c>
      <c r="U29" s="515">
        <f t="shared" si="28"/>
        <v>33488.500500000002</v>
      </c>
      <c r="V29" s="516">
        <f t="shared" si="29"/>
        <v>15.946905000000001</v>
      </c>
      <c r="W29">
        <f t="shared" si="30"/>
        <v>33488.500500000002</v>
      </c>
      <c r="X29">
        <f>SUMIFS($W$15:W28,$E$15:E28,E29)</f>
        <v>0</v>
      </c>
      <c r="Y29">
        <f>SUMIF($S$15:S29,S29,$W$15:W29)/Q29</f>
        <v>15.946905000000001</v>
      </c>
      <c r="Z29" s="518">
        <f t="shared" si="31"/>
        <v>0</v>
      </c>
      <c r="AA29" s="519">
        <f t="shared" si="32"/>
        <v>0</v>
      </c>
      <c r="AB29" s="520">
        <f>IFERROR(IF(D29="",0,D29-INDEX($D$15:D29,MATCH(S29,$S$15:S29,0))),0)</f>
        <v>0</v>
      </c>
      <c r="AC29" s="521">
        <f t="shared" si="33"/>
        <v>0</v>
      </c>
      <c r="AD29" s="515">
        <f t="shared" si="34"/>
        <v>100971.1084</v>
      </c>
      <c r="AE29" s="512"/>
      <c r="AF29" s="531"/>
      <c r="AG29" s="961"/>
      <c r="AH29" s="961"/>
      <c r="AI29">
        <f t="shared" si="53"/>
        <v>0</v>
      </c>
      <c r="AJ29">
        <f>SUMIFS($U$15:U29,$S$15:S29,S29,$W$15:W29,"&gt;0")</f>
        <v>33488.500500000002</v>
      </c>
      <c r="AK29">
        <f>IF(COUNTIF($E$15:E29,E29)=1,C29,"")</f>
        <v>15</v>
      </c>
      <c r="AL29">
        <f t="shared" si="35"/>
        <v>4625.7648999999947</v>
      </c>
      <c r="AM29">
        <f t="shared" si="36"/>
        <v>42979</v>
      </c>
      <c r="AN29">
        <f t="shared" si="54"/>
        <v>0</v>
      </c>
      <c r="AO29">
        <f t="shared" si="37"/>
        <v>0</v>
      </c>
      <c r="AP29">
        <f t="shared" si="55"/>
        <v>0</v>
      </c>
      <c r="AR29" t="str">
        <f t="shared" si="56"/>
        <v/>
      </c>
      <c r="AS29">
        <f t="shared" si="57"/>
        <v>6</v>
      </c>
      <c r="AT29" t="str">
        <f t="shared" si="58"/>
        <v/>
      </c>
      <c r="AU29">
        <f>SUMIF(Dividends!$N$15:$N$274,C29,Dividends!$G$15:$G$274)</f>
        <v>0</v>
      </c>
      <c r="AV29">
        <f>SUMIF('Bank Transfers'!$P$15:$P$114,C29,'Bank Transfers'!$H$15:$H$114)</f>
        <v>0</v>
      </c>
      <c r="AW29">
        <f t="shared" si="59"/>
        <v>100971.1084</v>
      </c>
      <c r="AX29">
        <f t="shared" si="60"/>
        <v>100971.1084</v>
      </c>
      <c r="AY29">
        <f t="shared" si="61"/>
        <v>1.0190808378233607E-2</v>
      </c>
      <c r="AZ29" t="str">
        <f t="shared" si="38"/>
        <v/>
      </c>
      <c r="BA29">
        <f t="shared" si="39"/>
        <v>0</v>
      </c>
      <c r="BB29">
        <f t="shared" si="40"/>
        <v>0</v>
      </c>
      <c r="BC29">
        <f t="shared" si="41"/>
        <v>0</v>
      </c>
      <c r="BD29">
        <f t="shared" si="62"/>
        <v>1</v>
      </c>
      <c r="BE29">
        <f t="shared" si="42"/>
        <v>962.16575000000012</v>
      </c>
      <c r="BF29">
        <f t="shared" si="43"/>
        <v>0</v>
      </c>
      <c r="BG29">
        <f t="shared" si="63"/>
        <v>1</v>
      </c>
      <c r="BH29">
        <f>IFERROR(MAX($AX$14:AX29),"")</f>
        <v>101961.57075</v>
      </c>
      <c r="BI29">
        <f t="shared" si="44"/>
        <v>-9.7140750452787781E-3</v>
      </c>
      <c r="BJ29">
        <f t="shared" si="45"/>
        <v>36</v>
      </c>
      <c r="BK29">
        <f t="shared" si="64"/>
        <v>135189.28245</v>
      </c>
      <c r="BM29">
        <f t="shared" si="65"/>
        <v>15</v>
      </c>
      <c r="BO29" t="e">
        <f t="shared" si="71"/>
        <v>#NUM!</v>
      </c>
      <c r="BP29" t="e">
        <f t="shared" si="72"/>
        <v>#N/A</v>
      </c>
      <c r="BQ29" t="e">
        <f t="shared" si="73"/>
        <v>#N/A</v>
      </c>
      <c r="BR29">
        <f t="shared" si="74"/>
        <v>3</v>
      </c>
      <c r="BS29">
        <f t="shared" si="75"/>
        <v>1.4999999999999996E-6</v>
      </c>
      <c r="BT29" t="str">
        <f t="shared" si="76"/>
        <v/>
      </c>
      <c r="BU29">
        <f t="shared" si="77"/>
        <v>0</v>
      </c>
      <c r="BV29">
        <f t="shared" si="78"/>
        <v>0</v>
      </c>
      <c r="BW29">
        <f t="shared" si="79"/>
        <v>0</v>
      </c>
      <c r="BX29" t="str">
        <f t="shared" si="80"/>
        <v>3</v>
      </c>
      <c r="BY29">
        <f t="shared" si="81"/>
        <v>0</v>
      </c>
      <c r="BZ29" t="str">
        <f t="shared" si="82"/>
        <v/>
      </c>
    </row>
    <row r="30" spans="3:78" ht="20.100000000000001" customHeight="1">
      <c r="C30" s="503">
        <f t="shared" si="70"/>
        <v>16</v>
      </c>
      <c r="D30" s="510">
        <v>42991</v>
      </c>
      <c r="E30" s="506" t="s">
        <v>588</v>
      </c>
      <c r="F30" s="507" t="s">
        <v>22</v>
      </c>
      <c r="G30" s="508">
        <v>9.31</v>
      </c>
      <c r="H30" s="509">
        <v>3600</v>
      </c>
      <c r="I30" s="511"/>
      <c r="K30">
        <f t="shared" si="20"/>
        <v>33516</v>
      </c>
      <c r="L30">
        <f t="shared" si="21"/>
        <v>83.79</v>
      </c>
      <c r="M30">
        <f t="shared" si="22"/>
        <v>10.054799999999998</v>
      </c>
      <c r="N30">
        <f t="shared" si="23"/>
        <v>5.0273999999999992</v>
      </c>
      <c r="O30">
        <f t="shared" si="24"/>
        <v>201.096</v>
      </c>
      <c r="P30">
        <f t="shared" si="25"/>
        <v>-3600</v>
      </c>
      <c r="Q30">
        <f>SUMIF($E$15:E30,E30,$P$15:P30)</f>
        <v>0</v>
      </c>
      <c r="R30">
        <f t="shared" si="26"/>
        <v>3600</v>
      </c>
      <c r="S30" t="str">
        <f>E30&amp;COUNTIFS($E$15:E30,E30,$R$15:R30,0)</f>
        <v>WLCON1</v>
      </c>
      <c r="T30" s="514">
        <f t="shared" si="27"/>
        <v>299.96820000000002</v>
      </c>
      <c r="U30" s="515">
        <f t="shared" si="28"/>
        <v>33216.031799999997</v>
      </c>
      <c r="V30" s="516">
        <f t="shared" si="29"/>
        <v>9.1268449999999994</v>
      </c>
      <c r="W30">
        <f t="shared" si="30"/>
        <v>-32856.642</v>
      </c>
      <c r="X30">
        <f>SUMIFS($W$15:W29,$E$15:E29,E30)</f>
        <v>32856.642</v>
      </c>
      <c r="Y30" t="e">
        <f>SUMIF($S$15:S30,S30,$W$15:W30)/Q30</f>
        <v>#DIV/0!</v>
      </c>
      <c r="Z30" s="518">
        <f t="shared" si="31"/>
        <v>359.38979999999719</v>
      </c>
      <c r="AA30" s="519">
        <f t="shared" si="32"/>
        <v>1.0938117169733814E-2</v>
      </c>
      <c r="AB30" s="520">
        <f>IFERROR(IF(D30="",0,D30-INDEX($D$15:D30,MATCH(S30,$S$15:S30,0))),0)</f>
        <v>9</v>
      </c>
      <c r="AC30" s="521">
        <f t="shared" si="33"/>
        <v>0.3559333018077448</v>
      </c>
      <c r="AD30" s="515">
        <f t="shared" si="34"/>
        <v>100971.1084</v>
      </c>
      <c r="AE30" s="512" t="s">
        <v>51</v>
      </c>
      <c r="AF30" s="531"/>
      <c r="AG30" s="961"/>
      <c r="AH30" s="961"/>
      <c r="AI30">
        <f t="shared" si="53"/>
        <v>359.38979999999719</v>
      </c>
      <c r="AJ30">
        <f>SUMIFS($U$15:U30,$S$15:S30,S30,$W$15:W30,"&gt;0")</f>
        <v>32856.642</v>
      </c>
      <c r="AK30" t="str">
        <f>IF(COUNTIF($E$15:E30,E30)=1,C30,"")</f>
        <v/>
      </c>
      <c r="AL30">
        <f t="shared" si="35"/>
        <v>359.38979999999719</v>
      </c>
      <c r="AM30">
        <f t="shared" si="36"/>
        <v>42979</v>
      </c>
      <c r="AN30">
        <f t="shared" si="54"/>
        <v>2</v>
      </c>
      <c r="AO30">
        <f t="shared" si="37"/>
        <v>2</v>
      </c>
      <c r="AP30">
        <f t="shared" si="55"/>
        <v>2</v>
      </c>
      <c r="AR30">
        <f t="shared" si="56"/>
        <v>0.32540637139326484</v>
      </c>
      <c r="AS30">
        <f t="shared" si="57"/>
        <v>7</v>
      </c>
      <c r="AT30">
        <f t="shared" si="58"/>
        <v>1.0938117169733814E-2</v>
      </c>
      <c r="AU30">
        <f>SUMIF(Dividends!$N$15:$N$274,C30,Dividends!$G$15:$G$274)</f>
        <v>0</v>
      </c>
      <c r="AV30">
        <f>SUMIF('Bank Transfers'!$P$15:$P$114,C30,'Bank Transfers'!$H$15:$H$114)</f>
        <v>0</v>
      </c>
      <c r="AW30">
        <f t="shared" si="59"/>
        <v>100971.1084</v>
      </c>
      <c r="AX30">
        <f t="shared" si="60"/>
        <v>101330.4982</v>
      </c>
      <c r="AY30">
        <f t="shared" si="61"/>
        <v>1.3750141396311033E-2</v>
      </c>
      <c r="AZ30">
        <f t="shared" si="38"/>
        <v>16</v>
      </c>
      <c r="BA30">
        <f t="shared" si="39"/>
        <v>1</v>
      </c>
      <c r="BB30">
        <f t="shared" si="40"/>
        <v>0</v>
      </c>
      <c r="BC30">
        <f t="shared" si="41"/>
        <v>0</v>
      </c>
      <c r="BD30">
        <f t="shared" si="62"/>
        <v>2</v>
      </c>
      <c r="BE30">
        <f t="shared" si="42"/>
        <v>1321.5555499999973</v>
      </c>
      <c r="BF30">
        <f t="shared" si="43"/>
        <v>0</v>
      </c>
      <c r="BG30">
        <f t="shared" si="63"/>
        <v>2</v>
      </c>
      <c r="BH30">
        <f>IFERROR(MAX($AX$14:AX30),"")</f>
        <v>101961.57075</v>
      </c>
      <c r="BI30">
        <f t="shared" si="44"/>
        <v>-6.1893176552500016E-3</v>
      </c>
      <c r="BJ30">
        <f t="shared" si="45"/>
        <v>37</v>
      </c>
      <c r="BK30">
        <f t="shared" si="64"/>
        <v>134481.00284999999</v>
      </c>
      <c r="BM30">
        <f t="shared" si="65"/>
        <v>16</v>
      </c>
      <c r="BO30" t="e">
        <f t="shared" si="71"/>
        <v>#NUM!</v>
      </c>
      <c r="BP30" t="e">
        <f t="shared" si="72"/>
        <v>#N/A</v>
      </c>
      <c r="BQ30" t="e">
        <f t="shared" si="73"/>
        <v>#N/A</v>
      </c>
      <c r="BR30">
        <f t="shared" si="74"/>
        <v>3</v>
      </c>
      <c r="BS30">
        <f t="shared" si="75"/>
        <v>1.5999999999999995E-6</v>
      </c>
      <c r="BT30" t="str">
        <f t="shared" si="76"/>
        <v/>
      </c>
      <c r="BU30">
        <f t="shared" si="77"/>
        <v>0</v>
      </c>
      <c r="BV30">
        <f t="shared" si="78"/>
        <v>0</v>
      </c>
      <c r="BW30">
        <f t="shared" si="79"/>
        <v>0</v>
      </c>
      <c r="BX30" t="str">
        <f t="shared" si="80"/>
        <v>3</v>
      </c>
      <c r="BY30">
        <f t="shared" si="81"/>
        <v>0</v>
      </c>
      <c r="BZ30" t="str">
        <f t="shared" si="82"/>
        <v/>
      </c>
    </row>
    <row r="31" spans="3:78" ht="20.100000000000001" customHeight="1">
      <c r="C31" s="503">
        <f t="shared" si="70"/>
        <v>17</v>
      </c>
      <c r="D31" s="510">
        <v>42992</v>
      </c>
      <c r="E31" s="506" t="s">
        <v>595</v>
      </c>
      <c r="F31" s="507" t="s">
        <v>12</v>
      </c>
      <c r="G31" s="508">
        <v>5.35</v>
      </c>
      <c r="H31" s="509">
        <v>6300</v>
      </c>
      <c r="I31" s="511"/>
      <c r="K31">
        <f t="shared" si="20"/>
        <v>33705</v>
      </c>
      <c r="L31">
        <f t="shared" si="21"/>
        <v>84.262500000000003</v>
      </c>
      <c r="M31">
        <f t="shared" si="22"/>
        <v>10.111499999999999</v>
      </c>
      <c r="N31">
        <f t="shared" si="23"/>
        <v>5.0557499999999997</v>
      </c>
      <c r="O31">
        <f t="shared" si="24"/>
        <v>202.23000000000002</v>
      </c>
      <c r="P31">
        <f t="shared" si="25"/>
        <v>6300</v>
      </c>
      <c r="Q31">
        <f>SUMIF($E$15:E31,E31,$P$15:P31)</f>
        <v>6300</v>
      </c>
      <c r="R31">
        <f t="shared" si="26"/>
        <v>0</v>
      </c>
      <c r="S31" t="str">
        <f>E31&amp;COUNTIFS($E$15:E31,E31,$R$15:R31,0)</f>
        <v>MEG1</v>
      </c>
      <c r="T31" s="514">
        <f t="shared" si="27"/>
        <v>99.429749999999999</v>
      </c>
      <c r="U31" s="515">
        <f t="shared" si="28"/>
        <v>33804.429750000003</v>
      </c>
      <c r="V31" s="516">
        <f t="shared" si="29"/>
        <v>5.3657825000000008</v>
      </c>
      <c r="W31">
        <f t="shared" si="30"/>
        <v>33804.429750000003</v>
      </c>
      <c r="X31">
        <f>SUMIFS($W$15:W30,$E$15:E30,E31)</f>
        <v>0</v>
      </c>
      <c r="Y31">
        <f>SUMIF($S$15:S31,S31,$W$15:W31)/Q31</f>
        <v>5.3657825000000008</v>
      </c>
      <c r="Z31" s="518">
        <f t="shared" si="31"/>
        <v>0</v>
      </c>
      <c r="AA31" s="519">
        <f t="shared" si="32"/>
        <v>0</v>
      </c>
      <c r="AB31" s="520">
        <f>IFERROR(IF(D31="",0,D31-INDEX($D$15:D31,MATCH(S31,$S$15:S31,0))),0)</f>
        <v>0</v>
      </c>
      <c r="AC31" s="521">
        <f t="shared" si="33"/>
        <v>0</v>
      </c>
      <c r="AD31" s="515">
        <f t="shared" si="34"/>
        <v>101330.4982</v>
      </c>
      <c r="AE31" s="512"/>
      <c r="AF31" s="531"/>
      <c r="AG31" s="961"/>
      <c r="AH31" s="961"/>
      <c r="AI31">
        <f t="shared" si="53"/>
        <v>0</v>
      </c>
      <c r="AJ31">
        <f>SUMIFS($U$15:U31,$S$15:S31,S31,$W$15:W31,"&gt;0")</f>
        <v>33804.429750000003</v>
      </c>
      <c r="AK31">
        <f>IF(COUNTIF($E$15:E31,E31)=1,C31,"")</f>
        <v>17</v>
      </c>
      <c r="AL31">
        <f t="shared" si="35"/>
        <v>-213.78105000000505</v>
      </c>
      <c r="AM31">
        <f t="shared" si="36"/>
        <v>42979</v>
      </c>
      <c r="AN31">
        <f t="shared" si="54"/>
        <v>0</v>
      </c>
      <c r="AO31">
        <f t="shared" si="37"/>
        <v>0</v>
      </c>
      <c r="AP31">
        <f t="shared" si="55"/>
        <v>0</v>
      </c>
      <c r="AR31" t="str">
        <f t="shared" si="56"/>
        <v/>
      </c>
      <c r="AS31">
        <f t="shared" si="57"/>
        <v>7</v>
      </c>
      <c r="AT31" t="str">
        <f t="shared" si="58"/>
        <v/>
      </c>
      <c r="AU31">
        <f>SUMIF(Dividends!$N$15:$N$274,C31,Dividends!$G$15:$G$274)</f>
        <v>0</v>
      </c>
      <c r="AV31">
        <f>SUMIF('Bank Transfers'!$P$15:$P$114,C31,'Bank Transfers'!$H$15:$H$114)</f>
        <v>0</v>
      </c>
      <c r="AW31">
        <f t="shared" si="59"/>
        <v>101330.4982</v>
      </c>
      <c r="AX31">
        <f t="shared" si="60"/>
        <v>101330.4982</v>
      </c>
      <c r="AY31">
        <f t="shared" si="61"/>
        <v>1.3750141396311033E-2</v>
      </c>
      <c r="AZ31" t="str">
        <f t="shared" si="38"/>
        <v/>
      </c>
      <c r="BA31">
        <f t="shared" si="39"/>
        <v>0</v>
      </c>
      <c r="BB31">
        <f t="shared" si="40"/>
        <v>0</v>
      </c>
      <c r="BC31">
        <f t="shared" si="41"/>
        <v>0</v>
      </c>
      <c r="BD31">
        <f t="shared" si="62"/>
        <v>2</v>
      </c>
      <c r="BE31">
        <f t="shared" si="42"/>
        <v>1321.5555499999973</v>
      </c>
      <c r="BF31">
        <f t="shared" si="43"/>
        <v>0</v>
      </c>
      <c r="BG31">
        <f t="shared" si="63"/>
        <v>2</v>
      </c>
      <c r="BH31">
        <f>IFERROR(MAX($AX$14:AX31),"")</f>
        <v>101961.57075</v>
      </c>
      <c r="BI31">
        <f t="shared" si="44"/>
        <v>-6.1893176552500016E-3</v>
      </c>
      <c r="BJ31">
        <f t="shared" si="45"/>
        <v>38</v>
      </c>
      <c r="BK31">
        <f t="shared" si="64"/>
        <v>143596.35884999999</v>
      </c>
      <c r="BM31">
        <f t="shared" si="65"/>
        <v>17</v>
      </c>
      <c r="BO31" t="e">
        <f t="shared" si="71"/>
        <v>#NUM!</v>
      </c>
      <c r="BP31" t="e">
        <f t="shared" si="72"/>
        <v>#N/A</v>
      </c>
      <c r="BQ31" t="e">
        <f t="shared" si="73"/>
        <v>#N/A</v>
      </c>
      <c r="BR31">
        <f t="shared" si="74"/>
        <v>3</v>
      </c>
      <c r="BS31">
        <f t="shared" si="75"/>
        <v>1.6999999999999994E-6</v>
      </c>
      <c r="BT31" t="str">
        <f t="shared" si="76"/>
        <v/>
      </c>
      <c r="BU31">
        <f t="shared" si="77"/>
        <v>0</v>
      </c>
      <c r="BV31">
        <f t="shared" si="78"/>
        <v>0</v>
      </c>
      <c r="BW31">
        <f t="shared" si="79"/>
        <v>0</v>
      </c>
      <c r="BX31" t="str">
        <f t="shared" si="80"/>
        <v>3</v>
      </c>
      <c r="BY31">
        <f t="shared" si="81"/>
        <v>0</v>
      </c>
      <c r="BZ31" t="str">
        <f t="shared" si="82"/>
        <v/>
      </c>
    </row>
    <row r="32" spans="3:78" ht="20.100000000000001" customHeight="1">
      <c r="C32" s="503">
        <f t="shared" si="70"/>
        <v>18</v>
      </c>
      <c r="D32" s="510">
        <v>42993</v>
      </c>
      <c r="E32" s="506" t="s">
        <v>595</v>
      </c>
      <c r="F32" s="507" t="s">
        <v>22</v>
      </c>
      <c r="G32" s="508">
        <v>5.38</v>
      </c>
      <c r="H32" s="509">
        <v>6300</v>
      </c>
      <c r="I32" s="511"/>
      <c r="K32">
        <f t="shared" si="20"/>
        <v>33894</v>
      </c>
      <c r="L32">
        <f t="shared" si="21"/>
        <v>84.734999999999999</v>
      </c>
      <c r="M32">
        <f t="shared" si="22"/>
        <v>10.168199999999999</v>
      </c>
      <c r="N32">
        <f t="shared" si="23"/>
        <v>5.0840999999999994</v>
      </c>
      <c r="O32">
        <f t="shared" si="24"/>
        <v>203.364</v>
      </c>
      <c r="P32">
        <f t="shared" si="25"/>
        <v>-6300</v>
      </c>
      <c r="Q32">
        <f>SUMIF($E$15:E32,E32,$P$15:P32)</f>
        <v>0</v>
      </c>
      <c r="R32">
        <f t="shared" si="26"/>
        <v>6300</v>
      </c>
      <c r="S32" t="str">
        <f>E32&amp;COUNTIFS($E$15:E32,E32,$R$15:R32,0)</f>
        <v>MEG1</v>
      </c>
      <c r="T32" s="514">
        <f t="shared" si="27"/>
        <v>303.35130000000004</v>
      </c>
      <c r="U32" s="515">
        <f t="shared" si="28"/>
        <v>33590.648699999998</v>
      </c>
      <c r="V32" s="516">
        <f t="shared" si="29"/>
        <v>5.3657825000000008</v>
      </c>
      <c r="W32">
        <f t="shared" si="30"/>
        <v>-33804.429750000003</v>
      </c>
      <c r="X32">
        <f>SUMIFS($W$15:W31,$E$15:E31,E32)</f>
        <v>33804.429750000003</v>
      </c>
      <c r="Y32" t="e">
        <f>SUMIF($S$15:S32,S32,$W$15:W32)/Q32</f>
        <v>#DIV/0!</v>
      </c>
      <c r="Z32" s="518">
        <f t="shared" si="31"/>
        <v>-213.78105000000505</v>
      </c>
      <c r="AA32" s="519">
        <f t="shared" si="32"/>
        <v>-6.324054320129599E-3</v>
      </c>
      <c r="AB32" s="520">
        <f>IFERROR(IF(D32="",0,D32-INDEX($D$15:D32,MATCH(S32,$S$15:S32,0))),0)</f>
        <v>1</v>
      </c>
      <c r="AC32" s="521">
        <f t="shared" si="33"/>
        <v>-0.21097404414025181</v>
      </c>
      <c r="AD32" s="515">
        <f t="shared" si="34"/>
        <v>101330.4982</v>
      </c>
      <c r="AE32" s="512"/>
      <c r="AF32" s="531"/>
      <c r="AG32" s="961"/>
      <c r="AH32" s="961"/>
      <c r="AI32">
        <f t="shared" si="53"/>
        <v>-213.78105000000505</v>
      </c>
      <c r="AJ32">
        <f>SUMIFS($U$15:U32,$S$15:S32,S32,$W$15:W32,"&gt;0")</f>
        <v>33804.429750000003</v>
      </c>
      <c r="AK32" t="str">
        <f>IF(COUNTIF($E$15:E32,E32)=1,C32,"")</f>
        <v/>
      </c>
      <c r="AL32">
        <f t="shared" si="35"/>
        <v>-213.78105000000505</v>
      </c>
      <c r="AM32">
        <f t="shared" si="36"/>
        <v>42979</v>
      </c>
      <c r="AN32">
        <f t="shared" si="54"/>
        <v>1</v>
      </c>
      <c r="AO32">
        <f t="shared" si="37"/>
        <v>1</v>
      </c>
      <c r="AP32">
        <f t="shared" si="55"/>
        <v>1</v>
      </c>
      <c r="AR32">
        <f t="shared" si="56"/>
        <v>0.33360567993338852</v>
      </c>
      <c r="AS32">
        <f t="shared" si="57"/>
        <v>8</v>
      </c>
      <c r="AT32">
        <f t="shared" si="58"/>
        <v>-6.324054320129599E-3</v>
      </c>
      <c r="AU32">
        <f>SUMIF(Dividends!$N$15:$N$274,C32,Dividends!$G$15:$G$274)</f>
        <v>0</v>
      </c>
      <c r="AV32">
        <f>SUMIF('Bank Transfers'!$P$15:$P$114,C32,'Bank Transfers'!$H$15:$H$114)</f>
        <v>0</v>
      </c>
      <c r="AW32">
        <f t="shared" si="59"/>
        <v>101330.4982</v>
      </c>
      <c r="AX32">
        <f t="shared" si="60"/>
        <v>101116.71715</v>
      </c>
      <c r="AY32">
        <f t="shared" si="61"/>
        <v>1.1640400954908481E-2</v>
      </c>
      <c r="AZ32">
        <f t="shared" si="38"/>
        <v>18</v>
      </c>
      <c r="BA32">
        <f t="shared" si="39"/>
        <v>-1</v>
      </c>
      <c r="BB32">
        <f t="shared" si="40"/>
        <v>-1</v>
      </c>
      <c r="BC32">
        <f t="shared" si="41"/>
        <v>-213.78105000000505</v>
      </c>
      <c r="BD32">
        <f t="shared" si="62"/>
        <v>0</v>
      </c>
      <c r="BE32">
        <f t="shared" si="42"/>
        <v>0</v>
      </c>
      <c r="BF32">
        <f t="shared" si="43"/>
        <v>0</v>
      </c>
      <c r="BG32">
        <f t="shared" si="63"/>
        <v>-1</v>
      </c>
      <c r="BH32">
        <f>IFERROR(MAX($AX$14:AX32),"")</f>
        <v>101961.57075</v>
      </c>
      <c r="BI32">
        <f t="shared" si="44"/>
        <v>-8.2860002428905514E-3</v>
      </c>
      <c r="BJ32">
        <f t="shared" si="45"/>
        <v>41</v>
      </c>
      <c r="BK32">
        <f t="shared" si="64"/>
        <v>142474.50915</v>
      </c>
      <c r="BM32">
        <f t="shared" si="65"/>
        <v>18</v>
      </c>
      <c r="BO32" t="e">
        <f t="shared" si="71"/>
        <v>#NUM!</v>
      </c>
      <c r="BP32" t="e">
        <f t="shared" si="72"/>
        <v>#N/A</v>
      </c>
      <c r="BQ32" t="e">
        <f t="shared" si="73"/>
        <v>#N/A</v>
      </c>
      <c r="BR32">
        <f t="shared" si="74"/>
        <v>3</v>
      </c>
      <c r="BS32">
        <f t="shared" si="75"/>
        <v>1.7999999999999993E-6</v>
      </c>
      <c r="BT32" t="str">
        <f t="shared" si="76"/>
        <v/>
      </c>
      <c r="BU32">
        <f t="shared" si="77"/>
        <v>0</v>
      </c>
      <c r="BV32">
        <f t="shared" si="78"/>
        <v>0</v>
      </c>
      <c r="BW32">
        <f t="shared" si="79"/>
        <v>0</v>
      </c>
      <c r="BX32" t="str">
        <f t="shared" si="80"/>
        <v>3</v>
      </c>
      <c r="BY32">
        <f t="shared" si="81"/>
        <v>0</v>
      </c>
      <c r="BZ32" t="str">
        <f t="shared" si="82"/>
        <v/>
      </c>
    </row>
    <row r="33" spans="3:78" ht="20.100000000000001" customHeight="1">
      <c r="C33" s="503">
        <f t="shared" si="70"/>
        <v>19</v>
      </c>
      <c r="D33" s="510">
        <v>42993</v>
      </c>
      <c r="E33" s="506" t="s">
        <v>596</v>
      </c>
      <c r="F33" s="507" t="s">
        <v>12</v>
      </c>
      <c r="G33" s="508">
        <v>8.5</v>
      </c>
      <c r="H33" s="509">
        <v>3900</v>
      </c>
      <c r="I33" s="511"/>
      <c r="K33">
        <f t="shared" si="20"/>
        <v>33150</v>
      </c>
      <c r="L33">
        <f t="shared" si="21"/>
        <v>82.875</v>
      </c>
      <c r="M33">
        <f t="shared" si="22"/>
        <v>9.9449999999999985</v>
      </c>
      <c r="N33">
        <f t="shared" si="23"/>
        <v>4.9724999999999993</v>
      </c>
      <c r="O33">
        <f t="shared" si="24"/>
        <v>198.9</v>
      </c>
      <c r="P33">
        <f t="shared" si="25"/>
        <v>3900</v>
      </c>
      <c r="Q33">
        <f>SUMIF($E$15:E33,E33,$P$15:P33)</f>
        <v>3900</v>
      </c>
      <c r="R33">
        <f t="shared" si="26"/>
        <v>0</v>
      </c>
      <c r="S33" t="str">
        <f>E33&amp;COUNTIFS($E$15:E33,E33,$R$15:R33,0)</f>
        <v>MRP1</v>
      </c>
      <c r="T33" s="514">
        <f t="shared" si="27"/>
        <v>97.79249999999999</v>
      </c>
      <c r="U33" s="515">
        <f t="shared" si="28"/>
        <v>33247.792500000003</v>
      </c>
      <c r="V33" s="516">
        <f t="shared" si="29"/>
        <v>8.5250750000000011</v>
      </c>
      <c r="W33">
        <f t="shared" si="30"/>
        <v>33247.792500000003</v>
      </c>
      <c r="X33">
        <f>SUMIFS($W$15:W32,$E$15:E32,E33)</f>
        <v>0</v>
      </c>
      <c r="Y33">
        <f>SUMIF($S$15:S33,S33,$W$15:W33)/Q33</f>
        <v>8.5250750000000011</v>
      </c>
      <c r="Z33" s="518">
        <f t="shared" si="31"/>
        <v>0</v>
      </c>
      <c r="AA33" s="519">
        <f t="shared" si="32"/>
        <v>0</v>
      </c>
      <c r="AB33" s="520">
        <f>IFERROR(IF(D33="",0,D33-INDEX($D$15:D33,MATCH(S33,$S$15:S33,0))),0)</f>
        <v>0</v>
      </c>
      <c r="AC33" s="521">
        <f t="shared" si="33"/>
        <v>0</v>
      </c>
      <c r="AD33" s="515">
        <f t="shared" si="34"/>
        <v>101116.71715</v>
      </c>
      <c r="AE33" s="512"/>
      <c r="AF33" s="531"/>
      <c r="AG33" s="961"/>
      <c r="AH33" s="961"/>
      <c r="AI33">
        <f t="shared" si="53"/>
        <v>0</v>
      </c>
      <c r="AJ33">
        <f>SUMIFS($U$15:U33,$S$15:S33,S33,$W$15:W33,"&gt;0")</f>
        <v>33247.792500000003</v>
      </c>
      <c r="AK33">
        <f>IF(COUNTIF($E$15:E33,E33)=1,C33,"")</f>
        <v>19</v>
      </c>
      <c r="AL33">
        <f t="shared" si="35"/>
        <v>-1012.9002000000037</v>
      </c>
      <c r="AM33">
        <f t="shared" si="36"/>
        <v>42979</v>
      </c>
      <c r="AN33">
        <f t="shared" si="54"/>
        <v>0</v>
      </c>
      <c r="AO33">
        <f t="shared" si="37"/>
        <v>0</v>
      </c>
      <c r="AP33">
        <f t="shared" si="55"/>
        <v>0</v>
      </c>
      <c r="AR33" t="str">
        <f t="shared" si="56"/>
        <v/>
      </c>
      <c r="AS33">
        <f t="shared" si="57"/>
        <v>8</v>
      </c>
      <c r="AT33" t="str">
        <f t="shared" si="58"/>
        <v/>
      </c>
      <c r="AU33">
        <f>SUMIF(Dividends!$N$15:$N$274,C33,Dividends!$G$15:$G$274)</f>
        <v>0</v>
      </c>
      <c r="AV33">
        <f>SUMIF('Bank Transfers'!$P$15:$P$114,C33,'Bank Transfers'!$H$15:$H$114)</f>
        <v>0</v>
      </c>
      <c r="AW33">
        <f t="shared" si="59"/>
        <v>101116.71715</v>
      </c>
      <c r="AX33">
        <f t="shared" si="60"/>
        <v>101116.71715</v>
      </c>
      <c r="AY33">
        <f t="shared" si="61"/>
        <v>1.1640400954908481E-2</v>
      </c>
      <c r="AZ33" t="str">
        <f t="shared" si="38"/>
        <v/>
      </c>
      <c r="BA33">
        <f t="shared" si="39"/>
        <v>0</v>
      </c>
      <c r="BB33">
        <f t="shared" si="40"/>
        <v>-1</v>
      </c>
      <c r="BC33">
        <f t="shared" si="41"/>
        <v>-213.78105000000505</v>
      </c>
      <c r="BD33">
        <f t="shared" si="62"/>
        <v>0</v>
      </c>
      <c r="BE33">
        <f t="shared" si="42"/>
        <v>0</v>
      </c>
      <c r="BF33">
        <f t="shared" si="43"/>
        <v>0</v>
      </c>
      <c r="BG33">
        <f t="shared" si="63"/>
        <v>-1</v>
      </c>
      <c r="BH33">
        <f>IFERROR(MAX($AX$14:AX33),"")</f>
        <v>101961.57075</v>
      </c>
      <c r="BI33">
        <f t="shared" si="44"/>
        <v>-8.2860002428905514E-3</v>
      </c>
      <c r="BJ33">
        <f t="shared" si="45"/>
        <v>44</v>
      </c>
      <c r="BK33">
        <f t="shared" si="64"/>
        <v>140388.67235000001</v>
      </c>
      <c r="BM33">
        <f t="shared" si="65"/>
        <v>19</v>
      </c>
      <c r="BO33" t="e">
        <f t="shared" si="71"/>
        <v>#NUM!</v>
      </c>
      <c r="BP33" t="e">
        <f t="shared" si="72"/>
        <v>#N/A</v>
      </c>
      <c r="BQ33" t="e">
        <f t="shared" si="73"/>
        <v>#N/A</v>
      </c>
      <c r="BR33">
        <f t="shared" si="74"/>
        <v>3</v>
      </c>
      <c r="BS33">
        <f t="shared" si="75"/>
        <v>1.8999999999999992E-6</v>
      </c>
      <c r="BT33" t="str">
        <f t="shared" si="76"/>
        <v/>
      </c>
      <c r="BU33">
        <f t="shared" si="77"/>
        <v>0</v>
      </c>
      <c r="BV33">
        <f t="shared" si="78"/>
        <v>0</v>
      </c>
      <c r="BW33">
        <f t="shared" si="79"/>
        <v>0</v>
      </c>
      <c r="BX33" t="str">
        <f t="shared" si="80"/>
        <v>3</v>
      </c>
      <c r="BY33">
        <f t="shared" si="81"/>
        <v>0</v>
      </c>
      <c r="BZ33" t="str">
        <f t="shared" si="82"/>
        <v/>
      </c>
    </row>
    <row r="34" spans="3:78" ht="20.100000000000001" customHeight="1">
      <c r="C34" s="503">
        <f t="shared" si="70"/>
        <v>20</v>
      </c>
      <c r="D34" s="510">
        <v>42997</v>
      </c>
      <c r="E34" s="506" t="s">
        <v>596</v>
      </c>
      <c r="F34" s="507" t="s">
        <v>22</v>
      </c>
      <c r="G34" s="508">
        <v>8.34</v>
      </c>
      <c r="H34" s="509">
        <v>3900</v>
      </c>
      <c r="I34" s="511"/>
      <c r="K34">
        <f t="shared" si="20"/>
        <v>32526</v>
      </c>
      <c r="L34">
        <f t="shared" si="21"/>
        <v>81.314999999999998</v>
      </c>
      <c r="M34">
        <f t="shared" si="22"/>
        <v>9.7577999999999996</v>
      </c>
      <c r="N34">
        <f t="shared" si="23"/>
        <v>4.8788999999999998</v>
      </c>
      <c r="O34">
        <f t="shared" si="24"/>
        <v>195.15600000000001</v>
      </c>
      <c r="P34">
        <f t="shared" si="25"/>
        <v>-3900</v>
      </c>
      <c r="Q34">
        <f>SUMIF($E$15:E34,E34,$P$15:P34)</f>
        <v>0</v>
      </c>
      <c r="R34">
        <f t="shared" si="26"/>
        <v>3900</v>
      </c>
      <c r="S34" t="str">
        <f>E34&amp;COUNTIFS($E$15:E34,E34,$R$15:R34,0)</f>
        <v>MRP1</v>
      </c>
      <c r="T34" s="514">
        <f t="shared" si="27"/>
        <v>291.10770000000002</v>
      </c>
      <c r="U34" s="515">
        <f t="shared" si="28"/>
        <v>32234.8923</v>
      </c>
      <c r="V34" s="516">
        <f t="shared" si="29"/>
        <v>8.5250750000000011</v>
      </c>
      <c r="W34">
        <f t="shared" si="30"/>
        <v>-33247.792500000003</v>
      </c>
      <c r="X34">
        <f>SUMIFS($W$15:W33,$E$15:E33,E34)</f>
        <v>33247.792500000003</v>
      </c>
      <c r="Y34" t="e">
        <f>SUMIF($S$15:S34,S34,$W$15:W34)/Q34</f>
        <v>#DIV/0!</v>
      </c>
      <c r="Z34" s="518">
        <f t="shared" si="31"/>
        <v>-1012.9002000000037</v>
      </c>
      <c r="AA34" s="519">
        <f t="shared" si="32"/>
        <v>-3.0465186523285826E-2</v>
      </c>
      <c r="AB34" s="520">
        <f>IFERROR(IF(D34="",0,D34-INDEX($D$15:D34,MATCH(S34,$S$15:S34,0))),0)</f>
        <v>4</v>
      </c>
      <c r="AC34" s="521">
        <f t="shared" si="33"/>
        <v>-1.0017138892053159</v>
      </c>
      <c r="AD34" s="515">
        <f t="shared" si="34"/>
        <v>101116.71715</v>
      </c>
      <c r="AE34" s="512"/>
      <c r="AF34" s="531"/>
      <c r="AG34" s="961"/>
      <c r="AH34" s="961"/>
      <c r="AI34">
        <f t="shared" si="53"/>
        <v>-1012.9002000000037</v>
      </c>
      <c r="AJ34">
        <f>SUMIFS($U$15:U34,$S$15:S34,S34,$W$15:W34,"&gt;0")</f>
        <v>33247.792500000003</v>
      </c>
      <c r="AK34" t="str">
        <f>IF(COUNTIF($E$15:E34,E34)=1,C34,"")</f>
        <v/>
      </c>
      <c r="AL34">
        <f t="shared" si="35"/>
        <v>-1012.9002000000037</v>
      </c>
      <c r="AM34">
        <f t="shared" si="36"/>
        <v>42979</v>
      </c>
      <c r="AN34">
        <f t="shared" si="54"/>
        <v>1</v>
      </c>
      <c r="AO34">
        <f t="shared" si="37"/>
        <v>1</v>
      </c>
      <c r="AP34">
        <f t="shared" si="55"/>
        <v>1</v>
      </c>
      <c r="AR34">
        <f t="shared" si="56"/>
        <v>0.32880609099165164</v>
      </c>
      <c r="AS34">
        <f t="shared" si="57"/>
        <v>9</v>
      </c>
      <c r="AT34">
        <f t="shared" si="58"/>
        <v>-3.0465186523285826E-2</v>
      </c>
      <c r="AU34">
        <f>SUMIF(Dividends!$N$15:$N$274,C34,Dividends!$G$15:$G$274)</f>
        <v>0</v>
      </c>
      <c r="AV34">
        <f>SUMIF('Bank Transfers'!$P$15:$P$114,C34,'Bank Transfers'!$H$15:$H$114)</f>
        <v>0</v>
      </c>
      <c r="AW34">
        <f t="shared" si="59"/>
        <v>101116.71715</v>
      </c>
      <c r="AX34">
        <f t="shared" si="60"/>
        <v>100103.81694999999</v>
      </c>
      <c r="AY34">
        <f t="shared" si="61"/>
        <v>1.6232620628553462E-3</v>
      </c>
      <c r="AZ34">
        <f t="shared" si="38"/>
        <v>20</v>
      </c>
      <c r="BA34">
        <f t="shared" si="39"/>
        <v>-1</v>
      </c>
      <c r="BB34">
        <f t="shared" si="40"/>
        <v>-2</v>
      </c>
      <c r="BC34">
        <f t="shared" si="41"/>
        <v>-1226.6812500000087</v>
      </c>
      <c r="BD34">
        <f t="shared" si="62"/>
        <v>0</v>
      </c>
      <c r="BE34">
        <f t="shared" si="42"/>
        <v>0</v>
      </c>
      <c r="BF34">
        <f t="shared" si="43"/>
        <v>0</v>
      </c>
      <c r="BG34">
        <f t="shared" si="63"/>
        <v>-2</v>
      </c>
      <c r="BH34">
        <f>IFERROR(MAX($AX$14:AX34),"")</f>
        <v>101961.57075</v>
      </c>
      <c r="BI34">
        <f t="shared" si="44"/>
        <v>-1.8220137119651092E-2</v>
      </c>
      <c r="BJ34">
        <f t="shared" si="45"/>
        <v>45</v>
      </c>
      <c r="BK34">
        <f t="shared" si="64"/>
        <v>139834.84635000001</v>
      </c>
      <c r="BM34">
        <f t="shared" si="65"/>
        <v>20</v>
      </c>
      <c r="BO34" t="e">
        <f t="shared" si="71"/>
        <v>#NUM!</v>
      </c>
      <c r="BP34" t="e">
        <f t="shared" si="72"/>
        <v>#N/A</v>
      </c>
      <c r="BQ34" t="e">
        <f t="shared" si="73"/>
        <v>#N/A</v>
      </c>
      <c r="BR34">
        <f t="shared" si="74"/>
        <v>3</v>
      </c>
      <c r="BS34">
        <f t="shared" si="75"/>
        <v>1.9999999999999991E-6</v>
      </c>
      <c r="BT34" t="str">
        <f t="shared" si="76"/>
        <v/>
      </c>
      <c r="BU34">
        <f t="shared" si="77"/>
        <v>0</v>
      </c>
      <c r="BV34">
        <f t="shared" si="78"/>
        <v>0</v>
      </c>
      <c r="BW34">
        <f t="shared" si="79"/>
        <v>0</v>
      </c>
      <c r="BX34" t="str">
        <f t="shared" si="80"/>
        <v>3</v>
      </c>
      <c r="BY34">
        <f t="shared" si="81"/>
        <v>0</v>
      </c>
      <c r="BZ34" t="str">
        <f t="shared" si="82"/>
        <v/>
      </c>
    </row>
    <row r="35" spans="3:78" ht="20.100000000000001" customHeight="1">
      <c r="C35" s="503">
        <f t="shared" si="70"/>
        <v>21</v>
      </c>
      <c r="D35" s="510">
        <v>42998</v>
      </c>
      <c r="E35" s="506" t="s">
        <v>591</v>
      </c>
      <c r="F35" s="507" t="s">
        <v>12</v>
      </c>
      <c r="G35" s="508">
        <v>5.5</v>
      </c>
      <c r="H35" s="509">
        <v>6000</v>
      </c>
      <c r="I35" s="511"/>
      <c r="K35">
        <f t="shared" si="20"/>
        <v>33000</v>
      </c>
      <c r="L35">
        <f t="shared" si="21"/>
        <v>82.5</v>
      </c>
      <c r="M35">
        <f t="shared" si="22"/>
        <v>9.8999999999999986</v>
      </c>
      <c r="N35">
        <f t="shared" si="23"/>
        <v>4.9499999999999993</v>
      </c>
      <c r="O35">
        <f t="shared" si="24"/>
        <v>198</v>
      </c>
      <c r="P35">
        <f t="shared" si="25"/>
        <v>6000</v>
      </c>
      <c r="Q35">
        <f>SUMIF($E$15:E35,E35,$P$15:P35)</f>
        <v>6000</v>
      </c>
      <c r="R35">
        <f t="shared" si="26"/>
        <v>0</v>
      </c>
      <c r="S35" t="str">
        <f>E35&amp;COUNTIFS($E$15:E35,E35,$R$15:R35,0)</f>
        <v>PXP3</v>
      </c>
      <c r="T35" s="514">
        <f t="shared" si="27"/>
        <v>97.350000000000009</v>
      </c>
      <c r="U35" s="515">
        <f t="shared" si="28"/>
        <v>33097.35</v>
      </c>
      <c r="V35" s="516">
        <f t="shared" si="29"/>
        <v>5.5162249999999995</v>
      </c>
      <c r="W35">
        <f t="shared" si="30"/>
        <v>33097.35</v>
      </c>
      <c r="X35">
        <f>SUMIFS($W$15:W34,$E$15:E34,E35)</f>
        <v>0</v>
      </c>
      <c r="Y35">
        <f>SUMIF($S$15:S35,S35,$W$15:W35)/Q35</f>
        <v>5.5162249999999995</v>
      </c>
      <c r="Z35" s="518">
        <f t="shared" si="31"/>
        <v>0</v>
      </c>
      <c r="AA35" s="519">
        <f t="shared" si="32"/>
        <v>0</v>
      </c>
      <c r="AB35" s="520">
        <f>IFERROR(IF(D35="",0,D35-INDEX($D$15:D35,MATCH(S35,$S$15:S35,0))),0)</f>
        <v>0</v>
      </c>
      <c r="AC35" s="521">
        <f t="shared" si="33"/>
        <v>0</v>
      </c>
      <c r="AD35" s="515">
        <f t="shared" si="34"/>
        <v>100103.81694999999</v>
      </c>
      <c r="AE35" s="512" t="s">
        <v>239</v>
      </c>
      <c r="AF35" s="531"/>
      <c r="AG35" s="961"/>
      <c r="AH35" s="961"/>
      <c r="AI35">
        <f t="shared" si="53"/>
        <v>0</v>
      </c>
      <c r="AJ35">
        <f>SUMIFS($U$15:U35,$S$15:S35,S35,$W$15:W35,"&gt;0")</f>
        <v>33097.35</v>
      </c>
      <c r="AK35" t="str">
        <f>IF(COUNTIF($E$15:E35,E35)=1,C35,"")</f>
        <v/>
      </c>
      <c r="AL35">
        <f t="shared" si="35"/>
        <v>15067.68</v>
      </c>
      <c r="AM35">
        <f t="shared" si="36"/>
        <v>42979</v>
      </c>
      <c r="AN35">
        <f t="shared" si="54"/>
        <v>0</v>
      </c>
      <c r="AO35">
        <f t="shared" si="37"/>
        <v>0</v>
      </c>
      <c r="AP35">
        <f t="shared" si="55"/>
        <v>0</v>
      </c>
      <c r="AR35" t="str">
        <f t="shared" si="56"/>
        <v/>
      </c>
      <c r="AS35">
        <f t="shared" si="57"/>
        <v>9</v>
      </c>
      <c r="AT35" t="str">
        <f t="shared" si="58"/>
        <v/>
      </c>
      <c r="AU35">
        <f>SUMIF(Dividends!$N$15:$N$274,C35,Dividends!$G$15:$G$274)</f>
        <v>0</v>
      </c>
      <c r="AV35">
        <f>SUMIF('Bank Transfers'!$P$15:$P$114,C35,'Bank Transfers'!$H$15:$H$114)</f>
        <v>0</v>
      </c>
      <c r="AW35">
        <f t="shared" si="59"/>
        <v>100103.81694999999</v>
      </c>
      <c r="AX35">
        <f t="shared" si="60"/>
        <v>100103.81694999999</v>
      </c>
      <c r="AY35">
        <f t="shared" si="61"/>
        <v>1.6232620628553462E-3</v>
      </c>
      <c r="AZ35" t="str">
        <f t="shared" si="38"/>
        <v/>
      </c>
      <c r="BA35">
        <f t="shared" si="39"/>
        <v>0</v>
      </c>
      <c r="BB35">
        <f t="shared" si="40"/>
        <v>-2</v>
      </c>
      <c r="BC35">
        <f t="shared" si="41"/>
        <v>-1226.6812500000087</v>
      </c>
      <c r="BD35">
        <f t="shared" si="62"/>
        <v>0</v>
      </c>
      <c r="BE35">
        <f t="shared" si="42"/>
        <v>0</v>
      </c>
      <c r="BF35">
        <f t="shared" si="43"/>
        <v>0</v>
      </c>
      <c r="BG35">
        <f t="shared" si="63"/>
        <v>-2</v>
      </c>
      <c r="BH35">
        <f>IFERROR(MAX($AX$14:AX35),"")</f>
        <v>101961.57075</v>
      </c>
      <c r="BI35">
        <f t="shared" si="44"/>
        <v>-1.8220137119651092E-2</v>
      </c>
      <c r="BJ35">
        <f t="shared" si="45"/>
        <v>47</v>
      </c>
      <c r="BK35">
        <f t="shared" si="64"/>
        <v>144486.53485</v>
      </c>
      <c r="BM35">
        <f t="shared" si="65"/>
        <v>21</v>
      </c>
      <c r="BO35" t="e">
        <f t="shared" si="71"/>
        <v>#NUM!</v>
      </c>
      <c r="BP35" t="e">
        <f t="shared" si="72"/>
        <v>#N/A</v>
      </c>
      <c r="BQ35" t="e">
        <f t="shared" si="73"/>
        <v>#N/A</v>
      </c>
      <c r="BR35">
        <f t="shared" si="74"/>
        <v>3</v>
      </c>
      <c r="BS35">
        <f t="shared" si="75"/>
        <v>2.099999999999999E-6</v>
      </c>
      <c r="BT35" t="str">
        <f t="shared" si="76"/>
        <v/>
      </c>
      <c r="BU35">
        <f t="shared" si="77"/>
        <v>0</v>
      </c>
      <c r="BV35">
        <f t="shared" si="78"/>
        <v>0</v>
      </c>
      <c r="BW35">
        <f t="shared" si="79"/>
        <v>0</v>
      </c>
      <c r="BX35" t="str">
        <f t="shared" si="80"/>
        <v>3</v>
      </c>
      <c r="BY35">
        <f t="shared" si="81"/>
        <v>0</v>
      </c>
      <c r="BZ35" t="str">
        <f t="shared" si="82"/>
        <v/>
      </c>
    </row>
    <row r="36" spans="3:78" ht="20.100000000000001" customHeight="1">
      <c r="C36" s="503">
        <f t="shared" si="70"/>
        <v>22</v>
      </c>
      <c r="D36" s="510">
        <v>43003</v>
      </c>
      <c r="E36" s="506" t="s">
        <v>591</v>
      </c>
      <c r="F36" s="507" t="s">
        <v>22</v>
      </c>
      <c r="G36" s="508">
        <v>8.1</v>
      </c>
      <c r="H36" s="509">
        <v>6000</v>
      </c>
      <c r="I36" s="511"/>
      <c r="K36">
        <f t="shared" si="20"/>
        <v>48600</v>
      </c>
      <c r="L36">
        <f t="shared" si="21"/>
        <v>121.5</v>
      </c>
      <c r="M36">
        <f t="shared" si="22"/>
        <v>14.579999999999998</v>
      </c>
      <c r="N36">
        <f t="shared" si="23"/>
        <v>7.2899999999999991</v>
      </c>
      <c r="O36">
        <f t="shared" si="24"/>
        <v>291.60000000000002</v>
      </c>
      <c r="P36">
        <f t="shared" si="25"/>
        <v>-6000</v>
      </c>
      <c r="Q36">
        <f>SUMIF($E$15:E36,E36,$P$15:P36)</f>
        <v>0</v>
      </c>
      <c r="R36">
        <f t="shared" si="26"/>
        <v>6000</v>
      </c>
      <c r="S36" t="str">
        <f>E36&amp;COUNTIFS($E$15:E36,E36,$R$15:R36,0)</f>
        <v>PXP3</v>
      </c>
      <c r="T36" s="514">
        <f t="shared" si="27"/>
        <v>434.97</v>
      </c>
      <c r="U36" s="515">
        <f t="shared" si="28"/>
        <v>48165.03</v>
      </c>
      <c r="V36" s="516">
        <f t="shared" si="29"/>
        <v>5.5162249999999995</v>
      </c>
      <c r="W36">
        <f t="shared" si="30"/>
        <v>-33097.35</v>
      </c>
      <c r="X36">
        <f>SUMIFS($W$15:W35,$E$15:E35,E36)</f>
        <v>33097.35</v>
      </c>
      <c r="Y36" t="e">
        <f>SUMIF($S$15:S36,S36,$W$15:W36)/Q36</f>
        <v>#DIV/0!</v>
      </c>
      <c r="Z36" s="518">
        <f t="shared" si="31"/>
        <v>15067.68</v>
      </c>
      <c r="AA36" s="519">
        <f t="shared" si="32"/>
        <v>0.45525336620605578</v>
      </c>
      <c r="AB36" s="520">
        <f>IFERROR(IF(D36="",0,D36-INDEX($D$15:D36,MATCH(S36,$S$15:S36,0))),0)</f>
        <v>5</v>
      </c>
      <c r="AC36" s="521">
        <f t="shared" si="33"/>
        <v>15.052053417229862</v>
      </c>
      <c r="AD36" s="515">
        <f t="shared" si="34"/>
        <v>100103.81694999999</v>
      </c>
      <c r="AE36" s="512" t="s">
        <v>239</v>
      </c>
      <c r="AF36" s="531"/>
      <c r="AG36" s="961"/>
      <c r="AH36" s="961"/>
      <c r="AI36">
        <f t="shared" si="53"/>
        <v>15067.68</v>
      </c>
      <c r="AJ36">
        <f>SUMIFS($U$15:U36,$S$15:S36,S36,$W$15:W36,"&gt;0")</f>
        <v>33097.35</v>
      </c>
      <c r="AK36" t="str">
        <f>IF(COUNTIF($E$15:E36,E36)=1,C36,"")</f>
        <v/>
      </c>
      <c r="AL36">
        <f t="shared" si="35"/>
        <v>15067.68</v>
      </c>
      <c r="AM36">
        <f t="shared" si="36"/>
        <v>42979</v>
      </c>
      <c r="AN36">
        <f t="shared" si="54"/>
        <v>2</v>
      </c>
      <c r="AO36">
        <f t="shared" si="37"/>
        <v>2</v>
      </c>
      <c r="AP36">
        <f t="shared" si="55"/>
        <v>2</v>
      </c>
      <c r="AR36">
        <f t="shared" si="56"/>
        <v>0.33063024975892291</v>
      </c>
      <c r="AS36">
        <f t="shared" si="57"/>
        <v>10</v>
      </c>
      <c r="AT36">
        <f t="shared" si="58"/>
        <v>0.45525336620605578</v>
      </c>
      <c r="AU36">
        <f>SUMIF(Dividends!$N$15:$N$274,C36,Dividends!$G$15:$G$274)</f>
        <v>0</v>
      </c>
      <c r="AV36">
        <f>SUMIF('Bank Transfers'!$P$15:$P$114,C36,'Bank Transfers'!$H$15:$H$114)</f>
        <v>0</v>
      </c>
      <c r="AW36">
        <f t="shared" si="59"/>
        <v>100103.81694999999</v>
      </c>
      <c r="AX36">
        <f t="shared" si="60"/>
        <v>115171.49695</v>
      </c>
      <c r="AY36">
        <f t="shared" si="61"/>
        <v>0.15214379623515395</v>
      </c>
      <c r="AZ36">
        <f t="shared" si="38"/>
        <v>22</v>
      </c>
      <c r="BA36">
        <f t="shared" si="39"/>
        <v>1</v>
      </c>
      <c r="BB36">
        <f t="shared" si="40"/>
        <v>0</v>
      </c>
      <c r="BC36">
        <f t="shared" si="41"/>
        <v>0</v>
      </c>
      <c r="BD36">
        <f t="shared" si="62"/>
        <v>1</v>
      </c>
      <c r="BE36">
        <f t="shared" si="42"/>
        <v>15067.68</v>
      </c>
      <c r="BF36">
        <f t="shared" si="43"/>
        <v>0</v>
      </c>
      <c r="BG36">
        <f t="shared" si="63"/>
        <v>1</v>
      </c>
      <c r="BH36">
        <f>IFERROR(MAX($AX$14:AX36),"")</f>
        <v>115171.49695</v>
      </c>
      <c r="BI36">
        <f t="shared" si="44"/>
        <v>0</v>
      </c>
      <c r="BJ36" t="e">
        <f t="shared" si="45"/>
        <v>#NUM!</v>
      </c>
      <c r="BK36">
        <f t="shared" si="64"/>
        <v>144486.53485</v>
      </c>
      <c r="BM36" t="str">
        <f t="shared" si="65"/>
        <v/>
      </c>
      <c r="BO36" t="e">
        <f t="shared" si="71"/>
        <v>#NUM!</v>
      </c>
      <c r="BP36" t="e">
        <f t="shared" si="72"/>
        <v>#N/A</v>
      </c>
      <c r="BQ36" t="e">
        <f t="shared" si="73"/>
        <v>#N/A</v>
      </c>
      <c r="BR36">
        <f t="shared" si="74"/>
        <v>3</v>
      </c>
      <c r="BS36">
        <f t="shared" si="75"/>
        <v>2.1999999999999988E-6</v>
      </c>
      <c r="BT36" t="str">
        <f t="shared" si="76"/>
        <v/>
      </c>
      <c r="BU36">
        <f t="shared" si="77"/>
        <v>0</v>
      </c>
      <c r="BV36">
        <f t="shared" si="78"/>
        <v>0</v>
      </c>
      <c r="BW36">
        <f t="shared" si="79"/>
        <v>0</v>
      </c>
      <c r="BX36" t="str">
        <f t="shared" si="80"/>
        <v>3</v>
      </c>
      <c r="BY36">
        <f t="shared" si="81"/>
        <v>0</v>
      </c>
      <c r="BZ36" t="str">
        <f t="shared" si="82"/>
        <v/>
      </c>
    </row>
    <row r="37" spans="3:78" ht="20.100000000000001" customHeight="1">
      <c r="C37" s="503">
        <f t="shared" si="70"/>
        <v>23</v>
      </c>
      <c r="D37" s="510">
        <v>43003</v>
      </c>
      <c r="E37" s="506" t="s">
        <v>593</v>
      </c>
      <c r="F37" s="507" t="s">
        <v>12</v>
      </c>
      <c r="G37" s="508">
        <v>1.88</v>
      </c>
      <c r="H37" s="509">
        <v>20000</v>
      </c>
      <c r="I37" s="511"/>
      <c r="K37">
        <f t="shared" si="20"/>
        <v>37600</v>
      </c>
      <c r="L37">
        <f t="shared" si="21"/>
        <v>94</v>
      </c>
      <c r="M37">
        <f t="shared" si="22"/>
        <v>11.28</v>
      </c>
      <c r="N37">
        <f t="shared" si="23"/>
        <v>5.64</v>
      </c>
      <c r="O37">
        <f t="shared" si="24"/>
        <v>225.6</v>
      </c>
      <c r="P37">
        <f t="shared" si="25"/>
        <v>20000</v>
      </c>
      <c r="Q37">
        <f>SUMIF($E$15:E37,E37,$P$15:P37)</f>
        <v>20000</v>
      </c>
      <c r="R37">
        <f t="shared" si="26"/>
        <v>0</v>
      </c>
      <c r="S37" t="str">
        <f>E37&amp;COUNTIFS($E$15:E37,E37,$R$15:R37,0)</f>
        <v>APX2</v>
      </c>
      <c r="T37" s="514">
        <f t="shared" si="27"/>
        <v>110.92</v>
      </c>
      <c r="U37" s="515">
        <f t="shared" si="28"/>
        <v>37710.92</v>
      </c>
      <c r="V37" s="516">
        <f t="shared" si="29"/>
        <v>1.8855459999999999</v>
      </c>
      <c r="W37">
        <f t="shared" si="30"/>
        <v>37710.92</v>
      </c>
      <c r="X37">
        <f>SUMIFS($W$15:W36,$E$15:E36,E37)</f>
        <v>0</v>
      </c>
      <c r="Y37">
        <f>SUMIF($S$15:S37,S37,$W$15:W37)/Q37</f>
        <v>1.8855459999999999</v>
      </c>
      <c r="Z37" s="518">
        <f t="shared" si="31"/>
        <v>0</v>
      </c>
      <c r="AA37" s="519">
        <f t="shared" si="32"/>
        <v>0</v>
      </c>
      <c r="AB37" s="520">
        <f>IFERROR(IF(D37="",0,D37-INDEX($D$15:D37,MATCH(S37,$S$15:S37,0))),0)</f>
        <v>0</v>
      </c>
      <c r="AC37" s="521">
        <f t="shared" si="33"/>
        <v>0</v>
      </c>
      <c r="AD37" s="515">
        <f t="shared" si="34"/>
        <v>115171.49695</v>
      </c>
      <c r="AE37" s="512"/>
      <c r="AF37" s="531"/>
      <c r="AG37" s="961"/>
      <c r="AH37" s="961"/>
      <c r="AI37">
        <f t="shared" si="53"/>
        <v>0</v>
      </c>
      <c r="AJ37">
        <f>SUMIFS($U$15:U37,$S$15:S37,S37,$W$15:W37,"&gt;0")</f>
        <v>37710.92</v>
      </c>
      <c r="AK37" t="str">
        <f>IF(COUNTIF($E$15:E37,E37)=1,C37,"")</f>
        <v/>
      </c>
      <c r="AL37">
        <f t="shared" si="35"/>
        <v>8738.4535000000033</v>
      </c>
      <c r="AM37">
        <f t="shared" si="36"/>
        <v>42979</v>
      </c>
      <c r="AN37">
        <f t="shared" si="54"/>
        <v>0</v>
      </c>
      <c r="AO37">
        <f t="shared" si="37"/>
        <v>0</v>
      </c>
      <c r="AP37">
        <f t="shared" si="55"/>
        <v>0</v>
      </c>
      <c r="AR37" t="str">
        <f t="shared" si="56"/>
        <v/>
      </c>
      <c r="AS37">
        <f t="shared" si="57"/>
        <v>10</v>
      </c>
      <c r="AT37" t="str">
        <f t="shared" si="58"/>
        <v/>
      </c>
      <c r="AU37">
        <f>SUMIF(Dividends!$N$15:$N$274,C37,Dividends!$G$15:$G$274)</f>
        <v>0</v>
      </c>
      <c r="AV37">
        <f>SUMIF('Bank Transfers'!$P$15:$P$114,C37,'Bank Transfers'!$H$15:$H$114)</f>
        <v>0</v>
      </c>
      <c r="AW37">
        <f t="shared" si="59"/>
        <v>115171.49695</v>
      </c>
      <c r="AX37">
        <f t="shared" si="60"/>
        <v>115171.49695</v>
      </c>
      <c r="AY37">
        <f t="shared" si="61"/>
        <v>0.15214379623515395</v>
      </c>
      <c r="AZ37" t="str">
        <f t="shared" si="38"/>
        <v/>
      </c>
      <c r="BA37">
        <f t="shared" si="39"/>
        <v>0</v>
      </c>
      <c r="BB37">
        <f t="shared" si="40"/>
        <v>0</v>
      </c>
      <c r="BC37">
        <f t="shared" si="41"/>
        <v>0</v>
      </c>
      <c r="BD37">
        <f t="shared" si="62"/>
        <v>1</v>
      </c>
      <c r="BE37">
        <f t="shared" si="42"/>
        <v>15067.68</v>
      </c>
      <c r="BF37">
        <f t="shared" si="43"/>
        <v>0</v>
      </c>
      <c r="BG37">
        <f t="shared" si="63"/>
        <v>1</v>
      </c>
      <c r="BH37">
        <f>IFERROR(MAX($AX$14:AX37),"")</f>
        <v>115171.49695</v>
      </c>
      <c r="BI37">
        <f t="shared" si="44"/>
        <v>0</v>
      </c>
      <c r="BJ37" t="e">
        <f t="shared" si="45"/>
        <v>#NUM!</v>
      </c>
      <c r="BK37">
        <f t="shared" si="64"/>
        <v>144486.53485</v>
      </c>
      <c r="BM37" t="str">
        <f t="shared" si="65"/>
        <v/>
      </c>
      <c r="BO37" t="e">
        <f t="shared" si="71"/>
        <v>#NUM!</v>
      </c>
      <c r="BP37" t="e">
        <f t="shared" si="72"/>
        <v>#N/A</v>
      </c>
      <c r="BQ37" t="e">
        <f t="shared" si="73"/>
        <v>#N/A</v>
      </c>
      <c r="BR37">
        <f t="shared" si="74"/>
        <v>3</v>
      </c>
      <c r="BS37">
        <f t="shared" si="75"/>
        <v>2.2999999999999987E-6</v>
      </c>
      <c r="BT37" t="str">
        <f t="shared" si="76"/>
        <v/>
      </c>
      <c r="BU37">
        <f t="shared" si="77"/>
        <v>0</v>
      </c>
      <c r="BV37">
        <f t="shared" si="78"/>
        <v>0</v>
      </c>
      <c r="BW37">
        <f t="shared" si="79"/>
        <v>0</v>
      </c>
      <c r="BX37" t="str">
        <f t="shared" si="80"/>
        <v>3</v>
      </c>
      <c r="BY37">
        <f t="shared" si="81"/>
        <v>0</v>
      </c>
      <c r="BZ37" t="str">
        <f t="shared" si="82"/>
        <v/>
      </c>
    </row>
    <row r="38" spans="3:78" ht="20.100000000000001" customHeight="1">
      <c r="C38" s="503">
        <f t="shared" si="70"/>
        <v>24</v>
      </c>
      <c r="D38" s="510">
        <v>43003</v>
      </c>
      <c r="E38" s="506" t="s">
        <v>592</v>
      </c>
      <c r="F38" s="507" t="s">
        <v>12</v>
      </c>
      <c r="G38" s="508">
        <v>15.08</v>
      </c>
      <c r="H38" s="509">
        <v>300</v>
      </c>
      <c r="I38" s="511"/>
      <c r="K38">
        <f t="shared" si="20"/>
        <v>4524</v>
      </c>
      <c r="L38">
        <f t="shared" si="21"/>
        <v>20</v>
      </c>
      <c r="M38">
        <f t="shared" si="22"/>
        <v>2.4</v>
      </c>
      <c r="N38">
        <f t="shared" si="23"/>
        <v>0.67859999999999998</v>
      </c>
      <c r="O38">
        <f t="shared" si="24"/>
        <v>27.144000000000002</v>
      </c>
      <c r="P38">
        <f t="shared" si="25"/>
        <v>300</v>
      </c>
      <c r="Q38">
        <f>SUMIF($E$15:E38,E38,$P$15:P38)</f>
        <v>3400</v>
      </c>
      <c r="R38">
        <f t="shared" si="26"/>
        <v>3100</v>
      </c>
      <c r="S38" t="str">
        <f>E38&amp;COUNTIFS($E$15:E38,E38,$R$15:R38,0)</f>
        <v>MAC1</v>
      </c>
      <c r="T38" s="514">
        <f t="shared" si="27"/>
        <v>23.078599999999998</v>
      </c>
      <c r="U38" s="515">
        <f t="shared" si="28"/>
        <v>4547.0785999999998</v>
      </c>
      <c r="V38" s="516">
        <f t="shared" si="29"/>
        <v>11.122038264705882</v>
      </c>
      <c r="W38">
        <f t="shared" si="30"/>
        <v>4547.0785999999998</v>
      </c>
      <c r="X38">
        <f>SUMIFS($W$15:W37,$E$15:E37,E38)</f>
        <v>33267.851499999997</v>
      </c>
      <c r="Y38">
        <f>SUMIF($S$15:S38,S38,$W$15:W38)/Q38</f>
        <v>11.122038264705882</v>
      </c>
      <c r="Z38" s="518">
        <f t="shared" si="31"/>
        <v>0</v>
      </c>
      <c r="AA38" s="519">
        <f t="shared" si="32"/>
        <v>0</v>
      </c>
      <c r="AB38" s="520">
        <f>IFERROR(IF(D38="",0,D38-INDEX($D$15:D38,MATCH(S38,$S$15:S38,0))),0)</f>
        <v>19</v>
      </c>
      <c r="AC38" s="521">
        <f t="shared" si="33"/>
        <v>0</v>
      </c>
      <c r="AD38" s="515">
        <f t="shared" si="34"/>
        <v>115171.49695</v>
      </c>
      <c r="AE38" s="512"/>
      <c r="AF38" s="531"/>
      <c r="AG38" s="961"/>
      <c r="AH38" s="961"/>
      <c r="AI38">
        <f t="shared" si="53"/>
        <v>0</v>
      </c>
      <c r="AJ38">
        <f>SUMIFS($U$15:U38,$S$15:S38,S38,$W$15:W38,"&gt;0")</f>
        <v>37814.930099999998</v>
      </c>
      <c r="AK38" t="str">
        <f>IF(COUNTIF($E$15:E38,E38)=1,C38,"")</f>
        <v/>
      </c>
      <c r="AL38">
        <f t="shared" si="35"/>
        <v>9089.4843000000037</v>
      </c>
      <c r="AM38">
        <f t="shared" si="36"/>
        <v>42979</v>
      </c>
      <c r="AN38">
        <f t="shared" si="54"/>
        <v>0</v>
      </c>
      <c r="AO38">
        <f t="shared" si="37"/>
        <v>0</v>
      </c>
      <c r="AP38">
        <f t="shared" si="55"/>
        <v>0</v>
      </c>
      <c r="AR38" t="str">
        <f t="shared" si="56"/>
        <v/>
      </c>
      <c r="AS38">
        <f t="shared" si="57"/>
        <v>10</v>
      </c>
      <c r="AT38" t="str">
        <f t="shared" si="58"/>
        <v/>
      </c>
      <c r="AU38">
        <f>SUMIF(Dividends!$N$15:$N$274,C38,Dividends!$G$15:$G$274)</f>
        <v>0</v>
      </c>
      <c r="AV38">
        <f>SUMIF('Bank Transfers'!$P$15:$P$114,C38,'Bank Transfers'!$H$15:$H$114)</f>
        <v>0</v>
      </c>
      <c r="AW38">
        <f t="shared" si="59"/>
        <v>115171.49695</v>
      </c>
      <c r="AX38">
        <f t="shared" si="60"/>
        <v>115171.49695</v>
      </c>
      <c r="AY38">
        <f t="shared" si="61"/>
        <v>0.15214379623515395</v>
      </c>
      <c r="AZ38" t="str">
        <f t="shared" si="38"/>
        <v/>
      </c>
      <c r="BA38">
        <f t="shared" si="39"/>
        <v>0</v>
      </c>
      <c r="BB38">
        <f t="shared" si="40"/>
        <v>0</v>
      </c>
      <c r="BC38">
        <f t="shared" si="41"/>
        <v>0</v>
      </c>
      <c r="BD38">
        <f t="shared" si="62"/>
        <v>1</v>
      </c>
      <c r="BE38">
        <f t="shared" si="42"/>
        <v>15067.68</v>
      </c>
      <c r="BF38">
        <f t="shared" si="43"/>
        <v>0</v>
      </c>
      <c r="BG38">
        <f t="shared" si="63"/>
        <v>1</v>
      </c>
      <c r="BH38">
        <f>IFERROR(MAX($AX$14:AX38),"")</f>
        <v>115171.49695</v>
      </c>
      <c r="BI38">
        <f t="shared" si="44"/>
        <v>0</v>
      </c>
      <c r="BJ38" t="e">
        <f t="shared" si="45"/>
        <v>#NUM!</v>
      </c>
      <c r="BK38">
        <f t="shared" si="64"/>
        <v>144486.53485</v>
      </c>
      <c r="BM38" t="str">
        <f t="shared" si="65"/>
        <v/>
      </c>
      <c r="BO38" t="e">
        <f t="shared" si="71"/>
        <v>#NUM!</v>
      </c>
      <c r="BP38" t="e">
        <f t="shared" si="72"/>
        <v>#N/A</v>
      </c>
      <c r="BQ38" t="e">
        <f t="shared" si="73"/>
        <v>#N/A</v>
      </c>
      <c r="BR38">
        <f t="shared" si="74"/>
        <v>3</v>
      </c>
      <c r="BS38">
        <f t="shared" si="75"/>
        <v>2.3999999999999986E-6</v>
      </c>
      <c r="BT38" t="str">
        <f t="shared" si="76"/>
        <v/>
      </c>
      <c r="BU38">
        <f t="shared" si="77"/>
        <v>0</v>
      </c>
      <c r="BV38">
        <f t="shared" si="78"/>
        <v>0</v>
      </c>
      <c r="BW38">
        <f t="shared" si="79"/>
        <v>0</v>
      </c>
      <c r="BX38" t="str">
        <f t="shared" si="80"/>
        <v>3</v>
      </c>
      <c r="BY38">
        <f t="shared" si="81"/>
        <v>0</v>
      </c>
      <c r="BZ38" t="str">
        <f t="shared" si="82"/>
        <v/>
      </c>
    </row>
    <row r="39" spans="3:78" ht="20.100000000000001" customHeight="1">
      <c r="C39" s="503">
        <f t="shared" si="70"/>
        <v>25</v>
      </c>
      <c r="D39" s="510">
        <v>43003</v>
      </c>
      <c r="E39" s="506" t="s">
        <v>594</v>
      </c>
      <c r="F39" s="507" t="s">
        <v>12</v>
      </c>
      <c r="G39" s="508">
        <v>19.02</v>
      </c>
      <c r="H39" s="509">
        <v>200</v>
      </c>
      <c r="I39" s="511"/>
      <c r="K39">
        <f t="shared" si="20"/>
        <v>3804</v>
      </c>
      <c r="L39">
        <f t="shared" si="21"/>
        <v>20</v>
      </c>
      <c r="M39">
        <f t="shared" si="22"/>
        <v>2.4</v>
      </c>
      <c r="N39">
        <f t="shared" si="23"/>
        <v>0.5706</v>
      </c>
      <c r="O39">
        <f t="shared" si="24"/>
        <v>22.824000000000002</v>
      </c>
      <c r="P39">
        <f t="shared" si="25"/>
        <v>200</v>
      </c>
      <c r="Q39">
        <f>SUMIF($E$15:E39,E39,$P$15:P39)</f>
        <v>2300</v>
      </c>
      <c r="R39">
        <f t="shared" si="26"/>
        <v>2100</v>
      </c>
      <c r="S39" t="str">
        <f>E39&amp;COUNTIFS($E$15:E39,E39,$R$15:R39,0)</f>
        <v>IMI1</v>
      </c>
      <c r="T39" s="514">
        <f t="shared" si="27"/>
        <v>22.970599999999997</v>
      </c>
      <c r="U39" s="515">
        <f t="shared" si="28"/>
        <v>3826.9706000000001</v>
      </c>
      <c r="V39" s="516">
        <f t="shared" si="29"/>
        <v>16.22411786956522</v>
      </c>
      <c r="W39">
        <f t="shared" si="30"/>
        <v>3826.9706000000001</v>
      </c>
      <c r="X39">
        <f>SUMIFS($W$15:W38,$E$15:E38,E39)</f>
        <v>33488.500500000002</v>
      </c>
      <c r="Y39">
        <f>SUMIF($S$15:S39,S39,$W$15:W39)/Q39</f>
        <v>16.22411786956522</v>
      </c>
      <c r="Z39" s="518">
        <f t="shared" si="31"/>
        <v>0</v>
      </c>
      <c r="AA39" s="519">
        <f t="shared" si="32"/>
        <v>0</v>
      </c>
      <c r="AB39" s="520">
        <f>IFERROR(IF(D39="",0,D39-INDEX($D$15:D39,MATCH(S39,$S$15:S39,0))),0)</f>
        <v>12</v>
      </c>
      <c r="AC39" s="521">
        <f t="shared" si="33"/>
        <v>0</v>
      </c>
      <c r="AD39" s="515">
        <f t="shared" si="34"/>
        <v>115171.49695</v>
      </c>
      <c r="AE39" s="512" t="s">
        <v>51</v>
      </c>
      <c r="AF39" s="531"/>
      <c r="AG39" s="961"/>
      <c r="AH39" s="961"/>
      <c r="AI39">
        <f t="shared" si="53"/>
        <v>0</v>
      </c>
      <c r="AJ39">
        <f>SUMIFS($U$15:U39,$S$15:S39,S39,$W$15:W39,"&gt;0")</f>
        <v>37315.471100000002</v>
      </c>
      <c r="AK39" t="str">
        <f>IF(COUNTIF($E$15:E39,E39)=1,C39,"")</f>
        <v/>
      </c>
      <c r="AL39">
        <f t="shared" si="35"/>
        <v>4625.7648999999947</v>
      </c>
      <c r="AM39">
        <f t="shared" si="36"/>
        <v>42979</v>
      </c>
      <c r="AN39">
        <f t="shared" si="54"/>
        <v>0</v>
      </c>
      <c r="AO39">
        <f t="shared" si="37"/>
        <v>0</v>
      </c>
      <c r="AP39">
        <f t="shared" si="55"/>
        <v>0</v>
      </c>
      <c r="AR39" t="str">
        <f t="shared" si="56"/>
        <v/>
      </c>
      <c r="AS39">
        <f t="shared" si="57"/>
        <v>10</v>
      </c>
      <c r="AT39" t="str">
        <f t="shared" si="58"/>
        <v/>
      </c>
      <c r="AU39">
        <f>SUMIF(Dividends!$N$15:$N$274,C39,Dividends!$G$15:$G$274)</f>
        <v>0</v>
      </c>
      <c r="AV39">
        <f>SUMIF('Bank Transfers'!$P$15:$P$114,C39,'Bank Transfers'!$H$15:$H$114)</f>
        <v>0</v>
      </c>
      <c r="AW39">
        <f t="shared" si="59"/>
        <v>115171.49695</v>
      </c>
      <c r="AX39">
        <f t="shared" si="60"/>
        <v>115171.49695</v>
      </c>
      <c r="AY39">
        <f t="shared" si="61"/>
        <v>0.15214379623515395</v>
      </c>
      <c r="AZ39" t="str">
        <f t="shared" si="38"/>
        <v/>
      </c>
      <c r="BA39">
        <f t="shared" si="39"/>
        <v>0</v>
      </c>
      <c r="BB39">
        <f t="shared" si="40"/>
        <v>0</v>
      </c>
      <c r="BC39">
        <f t="shared" si="41"/>
        <v>0</v>
      </c>
      <c r="BD39">
        <f t="shared" si="62"/>
        <v>1</v>
      </c>
      <c r="BE39">
        <f t="shared" si="42"/>
        <v>15067.68</v>
      </c>
      <c r="BF39">
        <f t="shared" si="43"/>
        <v>0</v>
      </c>
      <c r="BG39">
        <f t="shared" si="63"/>
        <v>1</v>
      </c>
      <c r="BH39">
        <f>IFERROR(MAX($AX$14:AX39),"")</f>
        <v>115171.49695</v>
      </c>
      <c r="BI39">
        <f t="shared" si="44"/>
        <v>0</v>
      </c>
      <c r="BJ39" t="e">
        <f t="shared" si="45"/>
        <v>#NUM!</v>
      </c>
      <c r="BK39">
        <f t="shared" si="64"/>
        <v>144486.53485</v>
      </c>
      <c r="BM39" t="str">
        <f t="shared" si="65"/>
        <v/>
      </c>
      <c r="BO39" t="e">
        <f t="shared" si="71"/>
        <v>#NUM!</v>
      </c>
      <c r="BP39" t="e">
        <f t="shared" si="72"/>
        <v>#N/A</v>
      </c>
      <c r="BQ39" t="e">
        <f t="shared" si="73"/>
        <v>#N/A</v>
      </c>
      <c r="BR39">
        <f t="shared" si="74"/>
        <v>3</v>
      </c>
      <c r="BS39">
        <f t="shared" si="75"/>
        <v>2.4999999999999985E-6</v>
      </c>
      <c r="BT39" t="str">
        <f t="shared" si="76"/>
        <v/>
      </c>
      <c r="BU39">
        <f t="shared" si="77"/>
        <v>0</v>
      </c>
      <c r="BV39">
        <f t="shared" si="78"/>
        <v>0</v>
      </c>
      <c r="BW39">
        <f t="shared" si="79"/>
        <v>0</v>
      </c>
      <c r="BX39" t="str">
        <f t="shared" si="80"/>
        <v>3</v>
      </c>
      <c r="BY39">
        <f t="shared" si="81"/>
        <v>0</v>
      </c>
      <c r="BZ39" t="str">
        <f t="shared" si="82"/>
        <v/>
      </c>
    </row>
    <row r="40" spans="3:78" ht="20.100000000000001" customHeight="1">
      <c r="C40" s="503">
        <f t="shared" si="70"/>
        <v>26</v>
      </c>
      <c r="D40" s="510">
        <v>43003</v>
      </c>
      <c r="E40" s="506" t="s">
        <v>594</v>
      </c>
      <c r="F40" s="507" t="s">
        <v>22</v>
      </c>
      <c r="G40" s="508">
        <v>18.399999999999999</v>
      </c>
      <c r="H40" s="509">
        <v>2300</v>
      </c>
      <c r="I40" s="511"/>
      <c r="K40">
        <f t="shared" si="20"/>
        <v>42320</v>
      </c>
      <c r="L40">
        <f t="shared" si="21"/>
        <v>105.8</v>
      </c>
      <c r="M40">
        <f t="shared" si="22"/>
        <v>12.696</v>
      </c>
      <c r="N40">
        <f t="shared" si="23"/>
        <v>6.3479999999999999</v>
      </c>
      <c r="O40">
        <f t="shared" si="24"/>
        <v>253.92000000000002</v>
      </c>
      <c r="P40">
        <f t="shared" si="25"/>
        <v>-2300</v>
      </c>
      <c r="Q40">
        <f>SUMIF($E$15:E40,E40,$P$15:P40)</f>
        <v>0</v>
      </c>
      <c r="R40">
        <f t="shared" si="26"/>
        <v>2300</v>
      </c>
      <c r="S40" t="str">
        <f>E40&amp;COUNTIFS($E$15:E40,E40,$R$15:R40,0)</f>
        <v>IMI1</v>
      </c>
      <c r="T40" s="514">
        <f t="shared" si="27"/>
        <v>378.76400000000001</v>
      </c>
      <c r="U40" s="515">
        <f t="shared" si="28"/>
        <v>41941.235999999997</v>
      </c>
      <c r="V40" s="516">
        <f t="shared" si="29"/>
        <v>16.22411786956522</v>
      </c>
      <c r="W40">
        <f t="shared" si="30"/>
        <v>-37315.471100000002</v>
      </c>
      <c r="X40">
        <f>SUMIFS($W$15:W39,$E$15:E39,E40)</f>
        <v>37315.471100000002</v>
      </c>
      <c r="Y40" t="e">
        <f>SUMIF($S$15:S40,S40,$W$15:W40)/Q40</f>
        <v>#DIV/0!</v>
      </c>
      <c r="Z40" s="518">
        <f t="shared" si="31"/>
        <v>4625.7648999999947</v>
      </c>
      <c r="AA40" s="519">
        <f t="shared" si="32"/>
        <v>0.12396372774186935</v>
      </c>
      <c r="AB40" s="520">
        <f>IFERROR(IF(D40="",0,D40-INDEX($D$15:D40,MATCH(S40,$S$15:S40,0))),0)</f>
        <v>12</v>
      </c>
      <c r="AC40" s="521">
        <f t="shared" si="33"/>
        <v>4.0164146707307289</v>
      </c>
      <c r="AD40" s="515">
        <f t="shared" si="34"/>
        <v>115171.49695</v>
      </c>
      <c r="AE40" s="512" t="s">
        <v>51</v>
      </c>
      <c r="AF40" s="531"/>
      <c r="AG40" s="961"/>
      <c r="AH40" s="961"/>
      <c r="AI40">
        <f t="shared" si="53"/>
        <v>4625.7648999999947</v>
      </c>
      <c r="AJ40">
        <f>SUMIFS($U$15:U40,$S$15:S40,S40,$W$15:W40,"&gt;0")</f>
        <v>37315.471100000002</v>
      </c>
      <c r="AK40" t="str">
        <f>IF(COUNTIF($E$15:E40,E40)=1,C40,"")</f>
        <v/>
      </c>
      <c r="AL40">
        <f t="shared" si="35"/>
        <v>4625.7648999999947</v>
      </c>
      <c r="AM40">
        <f t="shared" si="36"/>
        <v>42979</v>
      </c>
      <c r="AN40">
        <f t="shared" si="54"/>
        <v>2</v>
      </c>
      <c r="AO40">
        <f t="shared" si="37"/>
        <v>2</v>
      </c>
      <c r="AP40">
        <f t="shared" si="55"/>
        <v>2</v>
      </c>
      <c r="AR40">
        <f t="shared" si="56"/>
        <v>0.32399918459165256</v>
      </c>
      <c r="AS40">
        <f t="shared" si="57"/>
        <v>11</v>
      </c>
      <c r="AT40">
        <f t="shared" si="58"/>
        <v>0.12396372774186935</v>
      </c>
      <c r="AU40">
        <f>SUMIF(Dividends!$N$15:$N$274,C40,Dividends!$G$15:$G$274)</f>
        <v>0</v>
      </c>
      <c r="AV40">
        <f>SUMIF('Bank Transfers'!$P$15:$P$114,C40,'Bank Transfers'!$H$15:$H$114)</f>
        <v>0</v>
      </c>
      <c r="AW40">
        <f t="shared" si="59"/>
        <v>115171.49695</v>
      </c>
      <c r="AX40">
        <f t="shared" si="60"/>
        <v>119797.26185</v>
      </c>
      <c r="AY40">
        <f t="shared" si="61"/>
        <v>0.19230794294246123</v>
      </c>
      <c r="AZ40">
        <f t="shared" si="38"/>
        <v>26</v>
      </c>
      <c r="BA40">
        <f t="shared" si="39"/>
        <v>1</v>
      </c>
      <c r="BB40">
        <f t="shared" si="40"/>
        <v>0</v>
      </c>
      <c r="BC40">
        <f t="shared" si="41"/>
        <v>0</v>
      </c>
      <c r="BD40">
        <f t="shared" si="62"/>
        <v>2</v>
      </c>
      <c r="BE40">
        <f t="shared" si="42"/>
        <v>19693.444899999995</v>
      </c>
      <c r="BF40">
        <f t="shared" si="43"/>
        <v>0</v>
      </c>
      <c r="BG40">
        <f t="shared" si="63"/>
        <v>2</v>
      </c>
      <c r="BH40">
        <f>IFERROR(MAX($AX$14:AX40),"")</f>
        <v>119797.26185</v>
      </c>
      <c r="BI40">
        <f t="shared" si="44"/>
        <v>0</v>
      </c>
      <c r="BJ40" t="e">
        <f t="shared" si="45"/>
        <v>#NUM!</v>
      </c>
      <c r="BK40">
        <f t="shared" si="64"/>
        <v>144486.53485</v>
      </c>
      <c r="BM40" t="str">
        <f t="shared" si="65"/>
        <v/>
      </c>
      <c r="BO40" t="e">
        <f t="shared" si="71"/>
        <v>#NUM!</v>
      </c>
      <c r="BP40" t="e">
        <f t="shared" si="72"/>
        <v>#N/A</v>
      </c>
      <c r="BQ40" t="e">
        <f t="shared" si="73"/>
        <v>#N/A</v>
      </c>
      <c r="BR40">
        <f t="shared" si="74"/>
        <v>3</v>
      </c>
      <c r="BS40">
        <f t="shared" si="75"/>
        <v>2.5999999999999984E-6</v>
      </c>
      <c r="BT40" t="str">
        <f t="shared" si="76"/>
        <v/>
      </c>
      <c r="BU40">
        <f t="shared" si="77"/>
        <v>0</v>
      </c>
      <c r="BV40">
        <f t="shared" si="78"/>
        <v>0</v>
      </c>
      <c r="BW40">
        <f t="shared" si="79"/>
        <v>0</v>
      </c>
      <c r="BX40" t="str">
        <f t="shared" si="80"/>
        <v>3</v>
      </c>
      <c r="BY40">
        <f t="shared" si="81"/>
        <v>0</v>
      </c>
      <c r="BZ40" t="str">
        <f t="shared" si="82"/>
        <v/>
      </c>
    </row>
    <row r="41" spans="3:78" ht="20.100000000000001" customHeight="1">
      <c r="C41" s="503">
        <f t="shared" si="70"/>
        <v>27</v>
      </c>
      <c r="D41" s="510">
        <v>43003</v>
      </c>
      <c r="E41" s="506" t="s">
        <v>591</v>
      </c>
      <c r="F41" s="507" t="s">
        <v>12</v>
      </c>
      <c r="G41" s="508">
        <v>9.3800000000000008</v>
      </c>
      <c r="H41" s="509">
        <v>4000</v>
      </c>
      <c r="I41" s="511"/>
      <c r="K41">
        <f t="shared" si="20"/>
        <v>37520</v>
      </c>
      <c r="L41">
        <f t="shared" si="21"/>
        <v>93.8</v>
      </c>
      <c r="M41">
        <f t="shared" si="22"/>
        <v>11.255999999999998</v>
      </c>
      <c r="N41">
        <f t="shared" si="23"/>
        <v>5.6279999999999992</v>
      </c>
      <c r="O41">
        <f t="shared" si="24"/>
        <v>225.12</v>
      </c>
      <c r="P41">
        <f t="shared" si="25"/>
        <v>4000</v>
      </c>
      <c r="Q41">
        <f>SUMIF($E$15:E41,E41,$P$15:P41)</f>
        <v>4000</v>
      </c>
      <c r="R41">
        <f t="shared" si="26"/>
        <v>0</v>
      </c>
      <c r="S41" t="str">
        <f>E41&amp;COUNTIFS($E$15:E41,E41,$R$15:R41,0)</f>
        <v>PXP4</v>
      </c>
      <c r="T41" s="514">
        <f t="shared" si="27"/>
        <v>110.684</v>
      </c>
      <c r="U41" s="515">
        <f t="shared" si="28"/>
        <v>37630.684000000001</v>
      </c>
      <c r="V41" s="516">
        <f t="shared" si="29"/>
        <v>9.4076710000000006</v>
      </c>
      <c r="W41">
        <f t="shared" si="30"/>
        <v>37630.684000000001</v>
      </c>
      <c r="X41">
        <f>SUMIFS($W$15:W40,$E$15:E40,E41)</f>
        <v>0</v>
      </c>
      <c r="Y41">
        <f>SUMIF($S$15:S41,S41,$W$15:W41)/Q41</f>
        <v>9.4076710000000006</v>
      </c>
      <c r="Z41" s="518">
        <f t="shared" si="31"/>
        <v>0</v>
      </c>
      <c r="AA41" s="519">
        <f t="shared" si="32"/>
        <v>0</v>
      </c>
      <c r="AB41" s="520">
        <f>IFERROR(IF(D41="",0,D41-INDEX($D$15:D41,MATCH(S41,$S$15:S41,0))),0)</f>
        <v>0</v>
      </c>
      <c r="AC41" s="521">
        <f t="shared" si="33"/>
        <v>0</v>
      </c>
      <c r="AD41" s="515">
        <f t="shared" si="34"/>
        <v>119797.26185</v>
      </c>
      <c r="AE41" s="512" t="s">
        <v>239</v>
      </c>
      <c r="AF41" s="531"/>
      <c r="AG41" s="961"/>
      <c r="AH41" s="961"/>
      <c r="AI41">
        <f t="shared" si="53"/>
        <v>0</v>
      </c>
      <c r="AJ41">
        <f>SUMIFS($U$15:U41,$S$15:S41,S41,$W$15:W41,"&gt;0")</f>
        <v>37630.684000000001</v>
      </c>
      <c r="AK41" t="str">
        <f>IF(COUNTIF($E$15:E41,E41)=1,C41,"")</f>
        <v/>
      </c>
      <c r="AL41">
        <f t="shared" si="35"/>
        <v>753.99779999999737</v>
      </c>
      <c r="AM41">
        <f t="shared" si="36"/>
        <v>42979</v>
      </c>
      <c r="AN41">
        <f t="shared" si="54"/>
        <v>0</v>
      </c>
      <c r="AO41">
        <f t="shared" si="37"/>
        <v>0</v>
      </c>
      <c r="AP41">
        <f t="shared" si="55"/>
        <v>0</v>
      </c>
      <c r="AR41" t="str">
        <f t="shared" si="56"/>
        <v/>
      </c>
      <c r="AS41">
        <f t="shared" si="57"/>
        <v>11</v>
      </c>
      <c r="AT41" t="str">
        <f t="shared" si="58"/>
        <v/>
      </c>
      <c r="AU41">
        <f>SUMIF(Dividends!$N$15:$N$274,C41,Dividends!$G$15:$G$274)</f>
        <v>0</v>
      </c>
      <c r="AV41">
        <f>SUMIF('Bank Transfers'!$P$15:$P$114,C41,'Bank Transfers'!$H$15:$H$114)</f>
        <v>0</v>
      </c>
      <c r="AW41">
        <f t="shared" si="59"/>
        <v>119797.26185</v>
      </c>
      <c r="AX41">
        <f t="shared" si="60"/>
        <v>119797.26185</v>
      </c>
      <c r="AY41">
        <f t="shared" si="61"/>
        <v>0.19230794294246123</v>
      </c>
      <c r="AZ41" t="str">
        <f t="shared" si="38"/>
        <v/>
      </c>
      <c r="BA41">
        <f t="shared" si="39"/>
        <v>0</v>
      </c>
      <c r="BB41">
        <f t="shared" si="40"/>
        <v>0</v>
      </c>
      <c r="BC41">
        <f t="shared" si="41"/>
        <v>0</v>
      </c>
      <c r="BD41">
        <f t="shared" si="62"/>
        <v>2</v>
      </c>
      <c r="BE41">
        <f t="shared" si="42"/>
        <v>19693.444899999995</v>
      </c>
      <c r="BF41">
        <f t="shared" si="43"/>
        <v>0</v>
      </c>
      <c r="BG41">
        <f t="shared" si="63"/>
        <v>2</v>
      </c>
      <c r="BH41">
        <f>IFERROR(MAX($AX$14:AX41),"")</f>
        <v>119797.26185</v>
      </c>
      <c r="BI41">
        <f t="shared" si="44"/>
        <v>0</v>
      </c>
      <c r="BJ41" t="e">
        <f t="shared" si="45"/>
        <v>#NUM!</v>
      </c>
      <c r="BK41">
        <f t="shared" si="64"/>
        <v>144486.53485</v>
      </c>
      <c r="BM41" t="str">
        <f t="shared" si="65"/>
        <v/>
      </c>
      <c r="BO41" t="e">
        <f t="shared" si="71"/>
        <v>#NUM!</v>
      </c>
      <c r="BP41" t="e">
        <f t="shared" si="72"/>
        <v>#N/A</v>
      </c>
      <c r="BQ41" t="e">
        <f t="shared" si="73"/>
        <v>#N/A</v>
      </c>
      <c r="BR41">
        <f t="shared" si="74"/>
        <v>3</v>
      </c>
      <c r="BS41">
        <f t="shared" si="75"/>
        <v>2.6999999999999983E-6</v>
      </c>
      <c r="BT41" t="str">
        <f t="shared" si="76"/>
        <v/>
      </c>
      <c r="BU41">
        <f t="shared" si="77"/>
        <v>0</v>
      </c>
      <c r="BV41">
        <f t="shared" si="78"/>
        <v>0</v>
      </c>
      <c r="BW41">
        <f t="shared" si="79"/>
        <v>0</v>
      </c>
      <c r="BX41" t="str">
        <f t="shared" si="80"/>
        <v>3</v>
      </c>
      <c r="BY41">
        <f t="shared" si="81"/>
        <v>0</v>
      </c>
      <c r="BZ41" t="str">
        <f t="shared" si="82"/>
        <v/>
      </c>
    </row>
    <row r="42" spans="3:78" ht="20.100000000000001" customHeight="1">
      <c r="C42" s="503">
        <f t="shared" si="70"/>
        <v>28</v>
      </c>
      <c r="D42" s="510">
        <v>43003</v>
      </c>
      <c r="E42" s="506" t="s">
        <v>593</v>
      </c>
      <c r="F42" s="507" t="s">
        <v>12</v>
      </c>
      <c r="G42" s="508">
        <v>2.02</v>
      </c>
      <c r="H42" s="509">
        <v>1000</v>
      </c>
      <c r="I42" s="511"/>
      <c r="K42">
        <f t="shared" si="20"/>
        <v>2020</v>
      </c>
      <c r="L42">
        <f t="shared" si="21"/>
        <v>20</v>
      </c>
      <c r="M42">
        <f t="shared" si="22"/>
        <v>2.4</v>
      </c>
      <c r="N42">
        <f t="shared" si="23"/>
        <v>0.30299999999999999</v>
      </c>
      <c r="O42">
        <f t="shared" si="24"/>
        <v>12.120000000000001</v>
      </c>
      <c r="P42">
        <f t="shared" si="25"/>
        <v>1000</v>
      </c>
      <c r="Q42">
        <f>SUMIF($E$15:E42,E42,$P$15:P42)</f>
        <v>21000</v>
      </c>
      <c r="R42">
        <f t="shared" si="26"/>
        <v>20000</v>
      </c>
      <c r="S42" t="str">
        <f>E42&amp;COUNTIFS($E$15:E42,E42,$R$15:R42,0)</f>
        <v>APX2</v>
      </c>
      <c r="T42" s="514">
        <f t="shared" si="27"/>
        <v>22.702999999999999</v>
      </c>
      <c r="U42" s="515">
        <f t="shared" si="28"/>
        <v>2042.703</v>
      </c>
      <c r="V42" s="516">
        <f t="shared" si="29"/>
        <v>1.8930296666666666</v>
      </c>
      <c r="W42">
        <f t="shared" si="30"/>
        <v>2042.703</v>
      </c>
      <c r="X42">
        <f>SUMIFS($W$15:W41,$E$15:E41,E42)</f>
        <v>37710.92</v>
      </c>
      <c r="Y42">
        <f>SUMIF($S$15:S42,S42,$W$15:W42)/Q42</f>
        <v>1.8930296666666666</v>
      </c>
      <c r="Z42" s="518">
        <f t="shared" si="31"/>
        <v>0</v>
      </c>
      <c r="AA42" s="519">
        <f t="shared" si="32"/>
        <v>0</v>
      </c>
      <c r="AB42" s="520">
        <f>IFERROR(IF(D42="",0,D42-INDEX($D$15:D42,MATCH(S42,$S$15:S42,0))),0)</f>
        <v>0</v>
      </c>
      <c r="AC42" s="521">
        <f t="shared" si="33"/>
        <v>0</v>
      </c>
      <c r="AD42" s="515">
        <f t="shared" si="34"/>
        <v>119797.26185</v>
      </c>
      <c r="AE42" s="512"/>
      <c r="AF42" s="531"/>
      <c r="AG42" s="961"/>
      <c r="AH42" s="961"/>
      <c r="AI42">
        <f t="shared" si="53"/>
        <v>0</v>
      </c>
      <c r="AJ42">
        <f>SUMIFS($U$15:U42,$S$15:S42,S42,$W$15:W42,"&gt;0")</f>
        <v>39753.623</v>
      </c>
      <c r="AK42" t="str">
        <f>IF(COUNTIF($E$15:E42,E42)=1,C42,"")</f>
        <v/>
      </c>
      <c r="AL42">
        <f t="shared" si="35"/>
        <v>8738.4535000000033</v>
      </c>
      <c r="AM42">
        <f t="shared" si="36"/>
        <v>42979</v>
      </c>
      <c r="AN42">
        <f t="shared" si="54"/>
        <v>0</v>
      </c>
      <c r="AO42">
        <f t="shared" si="37"/>
        <v>0</v>
      </c>
      <c r="AP42">
        <f t="shared" si="55"/>
        <v>0</v>
      </c>
      <c r="AR42" t="str">
        <f t="shared" si="56"/>
        <v/>
      </c>
      <c r="AS42">
        <f t="shared" si="57"/>
        <v>11</v>
      </c>
      <c r="AT42" t="str">
        <f t="shared" si="58"/>
        <v/>
      </c>
      <c r="AU42">
        <f>SUMIF(Dividends!$N$15:$N$274,C42,Dividends!$G$15:$G$274)</f>
        <v>0</v>
      </c>
      <c r="AV42">
        <f>SUMIF('Bank Transfers'!$P$15:$P$114,C42,'Bank Transfers'!$H$15:$H$114)</f>
        <v>0</v>
      </c>
      <c r="AW42">
        <f t="shared" si="59"/>
        <v>119797.26185</v>
      </c>
      <c r="AX42">
        <f t="shared" si="60"/>
        <v>119797.26185</v>
      </c>
      <c r="AY42">
        <f t="shared" si="61"/>
        <v>0.19230794294246123</v>
      </c>
      <c r="AZ42" t="str">
        <f t="shared" si="38"/>
        <v/>
      </c>
      <c r="BA42">
        <f t="shared" si="39"/>
        <v>0</v>
      </c>
      <c r="BB42">
        <f t="shared" si="40"/>
        <v>0</v>
      </c>
      <c r="BC42">
        <f t="shared" si="41"/>
        <v>0</v>
      </c>
      <c r="BD42">
        <f t="shared" si="62"/>
        <v>2</v>
      </c>
      <c r="BE42">
        <f t="shared" si="42"/>
        <v>19693.444899999995</v>
      </c>
      <c r="BF42">
        <f t="shared" si="43"/>
        <v>0</v>
      </c>
      <c r="BG42">
        <f t="shared" si="63"/>
        <v>2</v>
      </c>
      <c r="BH42">
        <f>IFERROR(MAX($AX$14:AX42),"")</f>
        <v>119797.26185</v>
      </c>
      <c r="BI42">
        <f t="shared" si="44"/>
        <v>0</v>
      </c>
      <c r="BJ42" t="e">
        <f t="shared" si="45"/>
        <v>#NUM!</v>
      </c>
      <c r="BK42">
        <f t="shared" si="64"/>
        <v>144486.53485</v>
      </c>
      <c r="BM42" t="str">
        <f t="shared" si="65"/>
        <v/>
      </c>
      <c r="BO42" t="e">
        <f t="shared" si="71"/>
        <v>#NUM!</v>
      </c>
      <c r="BP42" t="e">
        <f t="shared" si="72"/>
        <v>#N/A</v>
      </c>
      <c r="BQ42" t="e">
        <f t="shared" si="73"/>
        <v>#N/A</v>
      </c>
      <c r="BR42">
        <f t="shared" si="74"/>
        <v>3</v>
      </c>
      <c r="BS42">
        <f t="shared" si="75"/>
        <v>2.7999999999999982E-6</v>
      </c>
      <c r="BT42" t="str">
        <f t="shared" si="76"/>
        <v/>
      </c>
      <c r="BU42">
        <f t="shared" si="77"/>
        <v>0</v>
      </c>
      <c r="BV42">
        <f t="shared" si="78"/>
        <v>0</v>
      </c>
      <c r="BW42">
        <f t="shared" si="79"/>
        <v>0</v>
      </c>
      <c r="BX42" t="str">
        <f t="shared" si="80"/>
        <v>3</v>
      </c>
      <c r="BY42">
        <f t="shared" si="81"/>
        <v>0</v>
      </c>
      <c r="BZ42" t="str">
        <f t="shared" si="82"/>
        <v/>
      </c>
    </row>
    <row r="43" spans="3:78" ht="20.100000000000001" customHeight="1">
      <c r="C43" s="503">
        <f t="shared" si="70"/>
        <v>29</v>
      </c>
      <c r="D43" s="510">
        <v>43003</v>
      </c>
      <c r="E43" s="506" t="s">
        <v>591</v>
      </c>
      <c r="F43" s="507" t="s">
        <v>12</v>
      </c>
      <c r="G43" s="508">
        <v>9.84</v>
      </c>
      <c r="H43" s="509">
        <v>200</v>
      </c>
      <c r="I43" s="511"/>
      <c r="K43">
        <f t="shared" si="20"/>
        <v>1968</v>
      </c>
      <c r="L43">
        <f t="shared" si="21"/>
        <v>20</v>
      </c>
      <c r="M43">
        <f t="shared" si="22"/>
        <v>2.4</v>
      </c>
      <c r="N43">
        <f t="shared" si="23"/>
        <v>0.29519999999999996</v>
      </c>
      <c r="O43">
        <f t="shared" si="24"/>
        <v>11.808</v>
      </c>
      <c r="P43">
        <f t="shared" si="25"/>
        <v>200</v>
      </c>
      <c r="Q43">
        <f>SUMIF($E$15:E43,E43,$P$15:P43)</f>
        <v>4200</v>
      </c>
      <c r="R43">
        <f t="shared" si="26"/>
        <v>4000</v>
      </c>
      <c r="S43" t="str">
        <f>E43&amp;COUNTIFS($E$15:E43,E43,$R$15:R43,0)</f>
        <v>PXP4</v>
      </c>
      <c r="T43" s="514">
        <f t="shared" si="27"/>
        <v>22.6952</v>
      </c>
      <c r="U43" s="515">
        <f t="shared" si="28"/>
        <v>1990.6952000000001</v>
      </c>
      <c r="V43" s="516">
        <f t="shared" si="29"/>
        <v>9.4336617142857158</v>
      </c>
      <c r="W43">
        <f t="shared" si="30"/>
        <v>1990.6952000000001</v>
      </c>
      <c r="X43">
        <f>SUMIFS($W$15:W42,$E$15:E42,E43)</f>
        <v>37630.684000000001</v>
      </c>
      <c r="Y43">
        <f>SUMIF($S$15:S43,S43,$W$15:W43)/Q43</f>
        <v>9.4336617142857158</v>
      </c>
      <c r="Z43" s="518">
        <f t="shared" si="31"/>
        <v>0</v>
      </c>
      <c r="AA43" s="519">
        <f t="shared" si="32"/>
        <v>0</v>
      </c>
      <c r="AB43" s="520">
        <f>IFERROR(IF(D43="",0,D43-INDEX($D$15:D43,MATCH(S43,$S$15:S43,0))),0)</f>
        <v>0</v>
      </c>
      <c r="AC43" s="521">
        <f t="shared" si="33"/>
        <v>0</v>
      </c>
      <c r="AD43" s="515">
        <f t="shared" si="34"/>
        <v>119797.26185</v>
      </c>
      <c r="AE43" s="512" t="s">
        <v>239</v>
      </c>
      <c r="AF43" s="531"/>
      <c r="AG43" s="961"/>
      <c r="AH43" s="961"/>
      <c r="AI43">
        <f t="shared" si="53"/>
        <v>0</v>
      </c>
      <c r="AJ43">
        <f>SUMIFS($U$15:U43,$S$15:S43,S43,$W$15:W43,"&gt;0")</f>
        <v>39621.379200000003</v>
      </c>
      <c r="AK43" t="str">
        <f>IF(COUNTIF($E$15:E43,E43)=1,C43,"")</f>
        <v/>
      </c>
      <c r="AL43">
        <f t="shared" si="35"/>
        <v>753.99779999999737</v>
      </c>
      <c r="AM43">
        <f t="shared" si="36"/>
        <v>42979</v>
      </c>
      <c r="AN43">
        <f t="shared" si="54"/>
        <v>0</v>
      </c>
      <c r="AO43">
        <f t="shared" si="37"/>
        <v>0</v>
      </c>
      <c r="AP43">
        <f t="shared" si="55"/>
        <v>0</v>
      </c>
      <c r="AR43" t="str">
        <f t="shared" si="56"/>
        <v/>
      </c>
      <c r="AS43">
        <f t="shared" si="57"/>
        <v>11</v>
      </c>
      <c r="AT43" t="str">
        <f t="shared" si="58"/>
        <v/>
      </c>
      <c r="AU43">
        <f>SUMIF(Dividends!$N$15:$N$274,C43,Dividends!$G$15:$G$274)</f>
        <v>0</v>
      </c>
      <c r="AV43">
        <f>SUMIF('Bank Transfers'!$P$15:$P$114,C43,'Bank Transfers'!$H$15:$H$114)</f>
        <v>0</v>
      </c>
      <c r="AW43">
        <f t="shared" si="59"/>
        <v>119797.26185</v>
      </c>
      <c r="AX43">
        <f t="shared" si="60"/>
        <v>119797.26185</v>
      </c>
      <c r="AY43">
        <f t="shared" si="61"/>
        <v>0.19230794294246123</v>
      </c>
      <c r="AZ43" t="str">
        <f t="shared" si="38"/>
        <v/>
      </c>
      <c r="BA43">
        <f t="shared" si="39"/>
        <v>0</v>
      </c>
      <c r="BB43">
        <f t="shared" si="40"/>
        <v>0</v>
      </c>
      <c r="BC43">
        <f t="shared" si="41"/>
        <v>0</v>
      </c>
      <c r="BD43">
        <f t="shared" si="62"/>
        <v>2</v>
      </c>
      <c r="BE43">
        <f t="shared" si="42"/>
        <v>19693.444899999995</v>
      </c>
      <c r="BF43">
        <f t="shared" si="43"/>
        <v>0</v>
      </c>
      <c r="BG43">
        <f t="shared" si="63"/>
        <v>2</v>
      </c>
      <c r="BH43">
        <f>IFERROR(MAX($AX$14:AX43),"")</f>
        <v>119797.26185</v>
      </c>
      <c r="BI43">
        <f t="shared" si="44"/>
        <v>0</v>
      </c>
      <c r="BJ43" t="e">
        <f t="shared" si="45"/>
        <v>#NUM!</v>
      </c>
      <c r="BK43">
        <f t="shared" si="64"/>
        <v>144486.53485</v>
      </c>
      <c r="BM43" t="str">
        <f t="shared" si="65"/>
        <v/>
      </c>
      <c r="BO43" t="e">
        <f t="shared" si="71"/>
        <v>#NUM!</v>
      </c>
      <c r="BP43" t="e">
        <f t="shared" si="72"/>
        <v>#N/A</v>
      </c>
      <c r="BQ43" t="e">
        <f t="shared" si="73"/>
        <v>#N/A</v>
      </c>
      <c r="BR43">
        <f t="shared" si="74"/>
        <v>3</v>
      </c>
      <c r="BS43">
        <f t="shared" si="75"/>
        <v>2.8999999999999981E-6</v>
      </c>
      <c r="BT43" t="str">
        <f t="shared" si="76"/>
        <v/>
      </c>
      <c r="BU43">
        <f t="shared" si="77"/>
        <v>0</v>
      </c>
      <c r="BV43">
        <f t="shared" si="78"/>
        <v>0</v>
      </c>
      <c r="BW43">
        <f t="shared" si="79"/>
        <v>0</v>
      </c>
      <c r="BX43" t="str">
        <f t="shared" si="80"/>
        <v>3</v>
      </c>
      <c r="BY43">
        <f t="shared" si="81"/>
        <v>0</v>
      </c>
      <c r="BZ43" t="str">
        <f t="shared" si="82"/>
        <v/>
      </c>
    </row>
    <row r="44" spans="3:78" ht="20.100000000000001" customHeight="1">
      <c r="C44" s="503">
        <f t="shared" si="70"/>
        <v>30</v>
      </c>
      <c r="D44" s="510">
        <v>43004</v>
      </c>
      <c r="E44" s="506" t="s">
        <v>593</v>
      </c>
      <c r="F44" s="507" t="s">
        <v>22</v>
      </c>
      <c r="G44" s="508">
        <v>2.33</v>
      </c>
      <c r="H44" s="509">
        <v>21000</v>
      </c>
      <c r="I44" s="511"/>
      <c r="K44">
        <f t="shared" si="20"/>
        <v>48930</v>
      </c>
      <c r="L44">
        <f t="shared" si="21"/>
        <v>122.325</v>
      </c>
      <c r="M44">
        <f t="shared" si="22"/>
        <v>14.678999999999998</v>
      </c>
      <c r="N44">
        <f t="shared" si="23"/>
        <v>7.3394999999999992</v>
      </c>
      <c r="O44">
        <f t="shared" si="24"/>
        <v>293.58</v>
      </c>
      <c r="P44">
        <f t="shared" si="25"/>
        <v>-21000</v>
      </c>
      <c r="Q44">
        <f>SUMIF($E$15:E44,E44,$P$15:P44)</f>
        <v>0</v>
      </c>
      <c r="R44">
        <f t="shared" si="26"/>
        <v>21000</v>
      </c>
      <c r="S44" t="str">
        <f>E44&amp;COUNTIFS($E$15:E44,E44,$R$15:R44,0)</f>
        <v>APX2</v>
      </c>
      <c r="T44" s="514">
        <f t="shared" si="27"/>
        <v>437.92349999999999</v>
      </c>
      <c r="U44" s="515">
        <f t="shared" si="28"/>
        <v>48492.076500000003</v>
      </c>
      <c r="V44" s="516">
        <f t="shared" si="29"/>
        <v>1.8930296666666666</v>
      </c>
      <c r="W44">
        <f t="shared" si="30"/>
        <v>-39753.623</v>
      </c>
      <c r="X44">
        <f>SUMIFS($W$15:W43,$E$15:E43,E44)</f>
        <v>39753.623</v>
      </c>
      <c r="Y44" t="e">
        <f>SUMIF($S$15:S44,S44,$W$15:W44)/Q44</f>
        <v>#DIV/0!</v>
      </c>
      <c r="Z44" s="518">
        <f t="shared" si="31"/>
        <v>8738.4535000000033</v>
      </c>
      <c r="AA44" s="519">
        <f t="shared" si="32"/>
        <v>0.21981527318906263</v>
      </c>
      <c r="AB44" s="520">
        <f>IFERROR(IF(D44="",0,D44-INDEX($D$15:D44,MATCH(S44,$S$15:S44,0))),0)</f>
        <v>1</v>
      </c>
      <c r="AC44" s="521">
        <f t="shared" si="33"/>
        <v>7.2943683061317008</v>
      </c>
      <c r="AD44" s="515">
        <f t="shared" si="34"/>
        <v>119797.26185</v>
      </c>
      <c r="AE44" s="512"/>
      <c r="AF44" s="531"/>
      <c r="AG44" s="961"/>
      <c r="AH44" s="961"/>
      <c r="AI44">
        <f t="shared" si="53"/>
        <v>8738.4535000000033</v>
      </c>
      <c r="AJ44">
        <f>SUMIFS($U$15:U44,$S$15:S44,S44,$W$15:W44,"&gt;0")</f>
        <v>39753.623</v>
      </c>
      <c r="AK44" t="str">
        <f>IF(COUNTIF($E$15:E44,E44)=1,C44,"")</f>
        <v/>
      </c>
      <c r="AL44">
        <f t="shared" si="35"/>
        <v>8738.4535000000033</v>
      </c>
      <c r="AM44">
        <f t="shared" si="36"/>
        <v>42979</v>
      </c>
      <c r="AN44">
        <f t="shared" si="54"/>
        <v>2</v>
      </c>
      <c r="AO44">
        <f t="shared" si="37"/>
        <v>2</v>
      </c>
      <c r="AP44">
        <f t="shared" si="55"/>
        <v>2</v>
      </c>
      <c r="AR44">
        <f t="shared" si="56"/>
        <v>0.33184083163583594</v>
      </c>
      <c r="AS44">
        <f t="shared" si="57"/>
        <v>12</v>
      </c>
      <c r="AT44">
        <f t="shared" si="58"/>
        <v>0.21981527318906263</v>
      </c>
      <c r="AU44">
        <f>SUMIF(Dividends!$N$15:$N$274,C44,Dividends!$G$15:$G$274)</f>
        <v>0</v>
      </c>
      <c r="AV44">
        <f>SUMIF('Bank Transfers'!$P$15:$P$114,C44,'Bank Transfers'!$H$15:$H$114)</f>
        <v>0</v>
      </c>
      <c r="AW44">
        <f t="shared" si="59"/>
        <v>119797.26185</v>
      </c>
      <c r="AX44">
        <f t="shared" si="60"/>
        <v>128535.71535</v>
      </c>
      <c r="AY44">
        <f t="shared" si="61"/>
        <v>0.26525162600377827</v>
      </c>
      <c r="AZ44">
        <f t="shared" si="38"/>
        <v>30</v>
      </c>
      <c r="BA44">
        <f t="shared" si="39"/>
        <v>1</v>
      </c>
      <c r="BB44">
        <f t="shared" si="40"/>
        <v>0</v>
      </c>
      <c r="BC44">
        <f t="shared" si="41"/>
        <v>0</v>
      </c>
      <c r="BD44">
        <f t="shared" si="62"/>
        <v>3</v>
      </c>
      <c r="BE44">
        <f t="shared" si="42"/>
        <v>28431.898399999998</v>
      </c>
      <c r="BF44">
        <f t="shared" si="43"/>
        <v>0</v>
      </c>
      <c r="BG44">
        <f t="shared" si="63"/>
        <v>3</v>
      </c>
      <c r="BH44">
        <f>IFERROR(MAX($AX$14:AX44),"")</f>
        <v>128535.71535</v>
      </c>
      <c r="BI44">
        <f t="shared" si="44"/>
        <v>0</v>
      </c>
      <c r="BJ44" t="e">
        <f t="shared" si="45"/>
        <v>#NUM!</v>
      </c>
      <c r="BK44">
        <f t="shared" si="64"/>
        <v>144486.53485</v>
      </c>
      <c r="BM44" t="str">
        <f t="shared" si="65"/>
        <v/>
      </c>
      <c r="BO44" t="e">
        <f t="shared" si="71"/>
        <v>#NUM!</v>
      </c>
      <c r="BP44" t="e">
        <f t="shared" si="72"/>
        <v>#N/A</v>
      </c>
      <c r="BQ44" t="e">
        <f t="shared" si="73"/>
        <v>#N/A</v>
      </c>
      <c r="BR44">
        <f t="shared" si="74"/>
        <v>3</v>
      </c>
      <c r="BS44">
        <f t="shared" si="75"/>
        <v>2.999999999999998E-6</v>
      </c>
      <c r="BT44" t="str">
        <f t="shared" si="76"/>
        <v/>
      </c>
      <c r="BU44">
        <f t="shared" si="77"/>
        <v>0</v>
      </c>
      <c r="BV44">
        <f t="shared" si="78"/>
        <v>0</v>
      </c>
      <c r="BW44">
        <f t="shared" si="79"/>
        <v>0</v>
      </c>
      <c r="BX44" t="str">
        <f t="shared" si="80"/>
        <v>3</v>
      </c>
      <c r="BY44">
        <f t="shared" si="81"/>
        <v>0</v>
      </c>
      <c r="BZ44" t="str">
        <f t="shared" si="82"/>
        <v/>
      </c>
    </row>
    <row r="45" spans="3:78" ht="20.100000000000001" customHeight="1">
      <c r="C45" s="503">
        <f t="shared" si="70"/>
        <v>31</v>
      </c>
      <c r="D45" s="510">
        <v>43004</v>
      </c>
      <c r="E45" s="506" t="s">
        <v>591</v>
      </c>
      <c r="F45" s="507" t="s">
        <v>22</v>
      </c>
      <c r="G45" s="508">
        <v>9.6999999999999993</v>
      </c>
      <c r="H45" s="509">
        <v>4200</v>
      </c>
      <c r="I45" s="511"/>
      <c r="K45">
        <f t="shared" si="20"/>
        <v>40740</v>
      </c>
      <c r="L45">
        <f t="shared" si="21"/>
        <v>101.85000000000001</v>
      </c>
      <c r="M45">
        <f t="shared" si="22"/>
        <v>12.222</v>
      </c>
      <c r="N45">
        <f t="shared" si="23"/>
        <v>6.1109999999999998</v>
      </c>
      <c r="O45">
        <f t="shared" si="24"/>
        <v>244.44</v>
      </c>
      <c r="P45">
        <f t="shared" si="25"/>
        <v>-4200</v>
      </c>
      <c r="Q45">
        <f>SUMIF($E$15:E45,E45,$P$15:P45)</f>
        <v>0</v>
      </c>
      <c r="R45">
        <f t="shared" si="26"/>
        <v>4200</v>
      </c>
      <c r="S45" t="str">
        <f>E45&amp;COUNTIFS($E$15:E45,E45,$R$15:R45,0)</f>
        <v>PXP4</v>
      </c>
      <c r="T45" s="514">
        <f t="shared" si="27"/>
        <v>364.62299999999999</v>
      </c>
      <c r="U45" s="515">
        <f t="shared" si="28"/>
        <v>40375.377</v>
      </c>
      <c r="V45" s="516">
        <f t="shared" si="29"/>
        <v>9.4336617142857158</v>
      </c>
      <c r="W45">
        <f t="shared" si="30"/>
        <v>-39621.379200000003</v>
      </c>
      <c r="X45">
        <f>SUMIFS($W$15:W44,$E$15:E44,E45)</f>
        <v>39621.379200000003</v>
      </c>
      <c r="Y45" t="e">
        <f>SUMIF($S$15:S45,S45,$W$15:W45)/Q45</f>
        <v>#DIV/0!</v>
      </c>
      <c r="Z45" s="518">
        <f t="shared" si="31"/>
        <v>753.99779999999737</v>
      </c>
      <c r="AA45" s="519">
        <f t="shared" si="32"/>
        <v>1.9030074551266436E-2</v>
      </c>
      <c r="AB45" s="520">
        <f>IFERROR(IF(D45="",0,D45-INDEX($D$15:D45,MATCH(S45,$S$15:S45,0))),0)</f>
        <v>1</v>
      </c>
      <c r="AC45" s="521">
        <f t="shared" si="33"/>
        <v>0.6293948529008031</v>
      </c>
      <c r="AD45" s="515">
        <f t="shared" si="34"/>
        <v>128535.71535</v>
      </c>
      <c r="AE45" s="512" t="s">
        <v>239</v>
      </c>
      <c r="AF45" s="531"/>
      <c r="AG45" s="961"/>
      <c r="AH45" s="961"/>
      <c r="AI45">
        <f t="shared" si="53"/>
        <v>753.99779999999737</v>
      </c>
      <c r="AJ45">
        <f>SUMIFS($U$15:U45,$S$15:S45,S45,$W$15:W45,"&gt;0")</f>
        <v>39621.379200000003</v>
      </c>
      <c r="AK45" t="str">
        <f>IF(COUNTIF($E$15:E45,E45)=1,C45,"")</f>
        <v/>
      </c>
      <c r="AL45">
        <f t="shared" si="35"/>
        <v>753.99779999999737</v>
      </c>
      <c r="AM45">
        <f t="shared" si="36"/>
        <v>42979</v>
      </c>
      <c r="AN45">
        <f t="shared" si="54"/>
        <v>2</v>
      </c>
      <c r="AO45">
        <f t="shared" si="37"/>
        <v>2</v>
      </c>
      <c r="AP45">
        <f t="shared" si="55"/>
        <v>2</v>
      </c>
      <c r="AR45">
        <f t="shared" si="56"/>
        <v>0.3082519056443716</v>
      </c>
      <c r="AS45">
        <f t="shared" si="57"/>
        <v>13</v>
      </c>
      <c r="AT45">
        <f t="shared" si="58"/>
        <v>1.9030074551266436E-2</v>
      </c>
      <c r="AU45">
        <f>SUMIF(Dividends!$N$15:$N$274,C45,Dividends!$G$15:$G$274)</f>
        <v>0</v>
      </c>
      <c r="AV45">
        <f>SUMIF('Bank Transfers'!$P$15:$P$114,C45,'Bank Transfers'!$H$15:$H$114)</f>
        <v>0</v>
      </c>
      <c r="AW45">
        <f t="shared" si="59"/>
        <v>128535.71535</v>
      </c>
      <c r="AX45">
        <f t="shared" si="60"/>
        <v>129289.71315</v>
      </c>
      <c r="AY45">
        <f t="shared" si="61"/>
        <v>0.27111768274876069</v>
      </c>
      <c r="AZ45">
        <f t="shared" si="38"/>
        <v>31</v>
      </c>
      <c r="BA45">
        <f t="shared" si="39"/>
        <v>1</v>
      </c>
      <c r="BB45">
        <f t="shared" si="40"/>
        <v>0</v>
      </c>
      <c r="BC45">
        <f t="shared" si="41"/>
        <v>0</v>
      </c>
      <c r="BD45">
        <f t="shared" si="62"/>
        <v>4</v>
      </c>
      <c r="BE45">
        <f t="shared" si="42"/>
        <v>29185.896199999996</v>
      </c>
      <c r="BF45">
        <f t="shared" si="43"/>
        <v>0</v>
      </c>
      <c r="BG45">
        <f t="shared" si="63"/>
        <v>4</v>
      </c>
      <c r="BH45">
        <f>IFERROR(MAX($AX$14:AX45),"")</f>
        <v>129289.71315</v>
      </c>
      <c r="BI45">
        <f t="shared" si="44"/>
        <v>0</v>
      </c>
      <c r="BJ45" t="e">
        <f t="shared" si="45"/>
        <v>#NUM!</v>
      </c>
      <c r="BK45">
        <f t="shared" si="64"/>
        <v>144486.53485</v>
      </c>
      <c r="BM45" t="str">
        <f t="shared" si="65"/>
        <v/>
      </c>
      <c r="BO45" t="e">
        <f t="shared" si="71"/>
        <v>#NUM!</v>
      </c>
      <c r="BP45" t="e">
        <f t="shared" si="72"/>
        <v>#N/A</v>
      </c>
      <c r="BQ45" t="e">
        <f t="shared" si="73"/>
        <v>#N/A</v>
      </c>
      <c r="BR45">
        <f t="shared" si="74"/>
        <v>3</v>
      </c>
      <c r="BS45">
        <f t="shared" si="75"/>
        <v>3.0999999999999978E-6</v>
      </c>
      <c r="BT45" t="str">
        <f t="shared" si="76"/>
        <v/>
      </c>
      <c r="BU45">
        <f t="shared" si="77"/>
        <v>0</v>
      </c>
      <c r="BV45">
        <f t="shared" si="78"/>
        <v>0</v>
      </c>
      <c r="BW45">
        <f t="shared" si="79"/>
        <v>0</v>
      </c>
      <c r="BX45" t="str">
        <f t="shared" si="80"/>
        <v>3</v>
      </c>
      <c r="BY45">
        <f t="shared" si="81"/>
        <v>0</v>
      </c>
      <c r="BZ45" t="str">
        <f t="shared" si="82"/>
        <v/>
      </c>
    </row>
    <row r="46" spans="3:78" ht="20.100000000000001" customHeight="1">
      <c r="C46" s="503">
        <f t="shared" si="70"/>
        <v>32</v>
      </c>
      <c r="D46" s="510">
        <v>43004</v>
      </c>
      <c r="E46" s="506" t="s">
        <v>592</v>
      </c>
      <c r="F46" s="507" t="s">
        <v>22</v>
      </c>
      <c r="G46" s="508">
        <v>13.92</v>
      </c>
      <c r="H46" s="509">
        <v>3400</v>
      </c>
      <c r="I46" s="511"/>
      <c r="K46">
        <f t="shared" si="20"/>
        <v>47328</v>
      </c>
      <c r="L46">
        <f t="shared" si="21"/>
        <v>118.32000000000001</v>
      </c>
      <c r="M46">
        <f t="shared" si="22"/>
        <v>14.198399999999999</v>
      </c>
      <c r="N46">
        <f t="shared" si="23"/>
        <v>7.0991999999999997</v>
      </c>
      <c r="O46">
        <f t="shared" si="24"/>
        <v>283.96800000000002</v>
      </c>
      <c r="P46">
        <f t="shared" si="25"/>
        <v>-3400</v>
      </c>
      <c r="Q46">
        <f>SUMIF($E$15:E46,E46,$P$15:P46)</f>
        <v>0</v>
      </c>
      <c r="R46">
        <f t="shared" si="26"/>
        <v>3400</v>
      </c>
      <c r="S46" t="str">
        <f>E46&amp;COUNTIFS($E$15:E46,E46,$R$15:R46,0)</f>
        <v>MAC1</v>
      </c>
      <c r="T46" s="514">
        <f t="shared" si="27"/>
        <v>423.5856</v>
      </c>
      <c r="U46" s="515">
        <f t="shared" si="28"/>
        <v>46904.414400000001</v>
      </c>
      <c r="V46" s="516">
        <f t="shared" si="29"/>
        <v>11.122038264705882</v>
      </c>
      <c r="W46">
        <f t="shared" si="30"/>
        <v>-37814.930099999998</v>
      </c>
      <c r="X46">
        <f>SUMIFS($W$15:W45,$E$15:E45,E46)</f>
        <v>37814.930099999998</v>
      </c>
      <c r="Y46" t="e">
        <f>SUMIF($S$15:S46,S46,$W$15:W46)/Q46</f>
        <v>#DIV/0!</v>
      </c>
      <c r="Z46" s="518">
        <f t="shared" si="31"/>
        <v>9089.4843000000037</v>
      </c>
      <c r="AA46" s="519">
        <f t="shared" si="32"/>
        <v>0.24036760813687197</v>
      </c>
      <c r="AB46" s="520">
        <f>IFERROR(IF(D46="",0,D46-INDEX($D$15:D46,MATCH(S46,$S$15:S46,0))),0)</f>
        <v>20</v>
      </c>
      <c r="AC46" s="521">
        <f t="shared" si="33"/>
        <v>7.0715631645644415</v>
      </c>
      <c r="AD46" s="515">
        <f t="shared" si="34"/>
        <v>129289.71315</v>
      </c>
      <c r="AE46" s="512"/>
      <c r="AF46" s="531"/>
      <c r="AG46" s="961"/>
      <c r="AH46" s="961"/>
      <c r="AI46">
        <f t="shared" si="53"/>
        <v>9089.4843000000037</v>
      </c>
      <c r="AJ46">
        <f>SUMIFS($U$15:U46,$S$15:S46,S46,$W$15:W46,"&gt;0")</f>
        <v>37814.930099999998</v>
      </c>
      <c r="AK46" t="str">
        <f>IF(COUNTIF($E$15:E46,E46)=1,C46,"")</f>
        <v/>
      </c>
      <c r="AL46">
        <f t="shared" si="35"/>
        <v>9089.4843000000037</v>
      </c>
      <c r="AM46">
        <f t="shared" si="36"/>
        <v>42979</v>
      </c>
      <c r="AN46">
        <f t="shared" si="54"/>
        <v>2</v>
      </c>
      <c r="AO46">
        <f t="shared" si="37"/>
        <v>2</v>
      </c>
      <c r="AP46">
        <f t="shared" si="55"/>
        <v>2</v>
      </c>
      <c r="AR46">
        <f t="shared" si="56"/>
        <v>0.29248212544278507</v>
      </c>
      <c r="AS46">
        <f t="shared" si="57"/>
        <v>14</v>
      </c>
      <c r="AT46">
        <f t="shared" si="58"/>
        <v>0.24036760813687197</v>
      </c>
      <c r="AU46">
        <f>SUMIF(Dividends!$N$15:$N$274,C46,Dividends!$G$15:$G$274)</f>
        <v>0</v>
      </c>
      <c r="AV46">
        <f>SUMIF('Bank Transfers'!$P$15:$P$114,C46,'Bank Transfers'!$H$15:$H$114)</f>
        <v>0</v>
      </c>
      <c r="AW46">
        <f t="shared" si="59"/>
        <v>129289.71315</v>
      </c>
      <c r="AX46">
        <f t="shared" si="60"/>
        <v>138379.19745000001</v>
      </c>
      <c r="AY46">
        <f t="shared" si="61"/>
        <v>0.3414209116642315</v>
      </c>
      <c r="AZ46">
        <f t="shared" si="38"/>
        <v>32</v>
      </c>
      <c r="BA46">
        <f t="shared" si="39"/>
        <v>1</v>
      </c>
      <c r="BB46">
        <f t="shared" si="40"/>
        <v>0</v>
      </c>
      <c r="BC46">
        <f t="shared" si="41"/>
        <v>0</v>
      </c>
      <c r="BD46">
        <f t="shared" si="62"/>
        <v>5</v>
      </c>
      <c r="BE46">
        <f t="shared" si="42"/>
        <v>38275.380499999999</v>
      </c>
      <c r="BF46">
        <f t="shared" si="43"/>
        <v>38275.380499999999</v>
      </c>
      <c r="BG46">
        <f t="shared" si="63"/>
        <v>5</v>
      </c>
      <c r="BH46">
        <f>IFERROR(MAX($AX$14:AX46),"")</f>
        <v>138379.19745000001</v>
      </c>
      <c r="BI46">
        <f t="shared" si="44"/>
        <v>0</v>
      </c>
      <c r="BJ46" t="e">
        <f t="shared" si="45"/>
        <v>#NUM!</v>
      </c>
      <c r="BK46">
        <f t="shared" si="64"/>
        <v>144486.53485</v>
      </c>
      <c r="BM46" t="str">
        <f t="shared" si="65"/>
        <v/>
      </c>
      <c r="BO46" t="e">
        <f t="shared" si="71"/>
        <v>#NUM!</v>
      </c>
      <c r="BP46" t="e">
        <f t="shared" si="72"/>
        <v>#N/A</v>
      </c>
      <c r="BQ46" t="e">
        <f t="shared" si="73"/>
        <v>#N/A</v>
      </c>
      <c r="BR46">
        <f t="shared" si="74"/>
        <v>3</v>
      </c>
      <c r="BS46">
        <f t="shared" si="75"/>
        <v>3.1999999999999977E-6</v>
      </c>
      <c r="BT46" t="str">
        <f t="shared" si="76"/>
        <v/>
      </c>
      <c r="BU46">
        <f t="shared" si="77"/>
        <v>0</v>
      </c>
      <c r="BV46">
        <f t="shared" si="78"/>
        <v>0</v>
      </c>
      <c r="BW46">
        <f t="shared" si="79"/>
        <v>0</v>
      </c>
      <c r="BX46" t="str">
        <f t="shared" si="80"/>
        <v>3</v>
      </c>
      <c r="BY46">
        <f t="shared" si="81"/>
        <v>0</v>
      </c>
      <c r="BZ46" t="str">
        <f t="shared" si="82"/>
        <v/>
      </c>
    </row>
    <row r="47" spans="3:78" ht="20.100000000000001" customHeight="1">
      <c r="C47" s="503">
        <f t="shared" si="70"/>
        <v>33</v>
      </c>
      <c r="D47" s="510">
        <v>43005</v>
      </c>
      <c r="E47" s="506" t="s">
        <v>591</v>
      </c>
      <c r="F47" s="507" t="s">
        <v>12</v>
      </c>
      <c r="G47" s="508">
        <v>7.25</v>
      </c>
      <c r="H47" s="509">
        <v>6000</v>
      </c>
      <c r="I47" s="511"/>
      <c r="K47">
        <f t="shared" si="20"/>
        <v>43500</v>
      </c>
      <c r="L47">
        <f t="shared" si="21"/>
        <v>108.75</v>
      </c>
      <c r="M47">
        <f t="shared" si="22"/>
        <v>13.049999999999999</v>
      </c>
      <c r="N47">
        <f t="shared" si="23"/>
        <v>6.5249999999999995</v>
      </c>
      <c r="O47">
        <f t="shared" si="24"/>
        <v>261</v>
      </c>
      <c r="P47">
        <f t="shared" si="25"/>
        <v>6000</v>
      </c>
      <c r="Q47">
        <f>SUMIF($E$15:E47,E47,$P$15:P47)</f>
        <v>6000</v>
      </c>
      <c r="R47">
        <f t="shared" si="26"/>
        <v>0</v>
      </c>
      <c r="S47" t="str">
        <f>E47&amp;COUNTIFS($E$15:E47,E47,$R$15:R47,0)</f>
        <v>PXP5</v>
      </c>
      <c r="T47" s="514">
        <f t="shared" si="27"/>
        <v>128.32499999999999</v>
      </c>
      <c r="U47" s="515">
        <f t="shared" si="28"/>
        <v>43628.324999999997</v>
      </c>
      <c r="V47" s="516">
        <f t="shared" si="29"/>
        <v>7.2713874999999994</v>
      </c>
      <c r="W47">
        <f t="shared" si="30"/>
        <v>43628.324999999997</v>
      </c>
      <c r="X47">
        <f>SUMIFS($W$15:W46,$E$15:E46,E47)</f>
        <v>0</v>
      </c>
      <c r="Y47">
        <f>SUMIF($S$15:S47,S47,$W$15:W47)/Q47</f>
        <v>7.2713874999999994</v>
      </c>
      <c r="Z47" s="518">
        <f t="shared" si="31"/>
        <v>0</v>
      </c>
      <c r="AA47" s="519">
        <f t="shared" si="32"/>
        <v>0</v>
      </c>
      <c r="AB47" s="520">
        <f>IFERROR(IF(D47="",0,D47-INDEX($D$15:D47,MATCH(S47,$S$15:S47,0))),0)</f>
        <v>0</v>
      </c>
      <c r="AC47" s="521">
        <f t="shared" si="33"/>
        <v>0</v>
      </c>
      <c r="AD47" s="515">
        <f t="shared" si="34"/>
        <v>138379.19745000001</v>
      </c>
      <c r="AE47" s="512" t="s">
        <v>240</v>
      </c>
      <c r="AF47" s="531"/>
      <c r="AG47" s="961"/>
      <c r="AH47" s="961"/>
      <c r="AI47">
        <f t="shared" si="53"/>
        <v>0</v>
      </c>
      <c r="AJ47">
        <f>SUMIFS($U$15:U47,$S$15:S47,S47,$W$15:W47,"&gt;0")</f>
        <v>43628.324999999997</v>
      </c>
      <c r="AK47" t="str">
        <f>IF(COUNTIF($E$15:E47,E47)=1,C47,"")</f>
        <v/>
      </c>
      <c r="AL47">
        <f t="shared" si="35"/>
        <v>9115.3559999999925</v>
      </c>
      <c r="AM47">
        <f t="shared" si="36"/>
        <v>42979</v>
      </c>
      <c r="AN47">
        <f t="shared" si="54"/>
        <v>0</v>
      </c>
      <c r="AO47">
        <f t="shared" si="37"/>
        <v>0</v>
      </c>
      <c r="AP47">
        <f t="shared" si="55"/>
        <v>0</v>
      </c>
      <c r="AR47" t="str">
        <f t="shared" si="56"/>
        <v/>
      </c>
      <c r="AS47">
        <f t="shared" si="57"/>
        <v>14</v>
      </c>
      <c r="AT47" t="str">
        <f t="shared" si="58"/>
        <v/>
      </c>
      <c r="AU47">
        <f>SUMIF(Dividends!$N$15:$N$274,C47,Dividends!$G$15:$G$274)</f>
        <v>0</v>
      </c>
      <c r="AV47">
        <f>SUMIF('Bank Transfers'!$P$15:$P$114,C47,'Bank Transfers'!$H$15:$H$114)</f>
        <v>0</v>
      </c>
      <c r="AW47">
        <f t="shared" si="59"/>
        <v>138379.19745000001</v>
      </c>
      <c r="AX47">
        <f t="shared" si="60"/>
        <v>138379.19745000001</v>
      </c>
      <c r="AY47">
        <f t="shared" si="61"/>
        <v>0.3414209116642315</v>
      </c>
      <c r="AZ47" t="str">
        <f t="shared" si="38"/>
        <v/>
      </c>
      <c r="BA47">
        <f t="shared" si="39"/>
        <v>0</v>
      </c>
      <c r="BB47">
        <f t="shared" si="40"/>
        <v>0</v>
      </c>
      <c r="BC47">
        <f t="shared" si="41"/>
        <v>0</v>
      </c>
      <c r="BD47">
        <f t="shared" si="62"/>
        <v>5</v>
      </c>
      <c r="BE47">
        <f t="shared" si="42"/>
        <v>38275.380499999999</v>
      </c>
      <c r="BF47">
        <f t="shared" si="43"/>
        <v>38275.380499999999</v>
      </c>
      <c r="BG47">
        <f t="shared" si="63"/>
        <v>5</v>
      </c>
      <c r="BH47">
        <f>IFERROR(MAX($AX$14:AX47),"")</f>
        <v>138379.19745000001</v>
      </c>
      <c r="BI47">
        <f t="shared" si="44"/>
        <v>0</v>
      </c>
      <c r="BJ47" t="e">
        <f t="shared" si="45"/>
        <v>#NUM!</v>
      </c>
      <c r="BK47">
        <f t="shared" si="64"/>
        <v>144486.53485</v>
      </c>
      <c r="BM47" t="str">
        <f t="shared" si="65"/>
        <v/>
      </c>
      <c r="BO47" t="e">
        <f t="shared" ref="BO47:BO64" si="83">SMALL($AK$15:$AK$26022,C47)</f>
        <v>#NUM!</v>
      </c>
      <c r="BP47" t="e">
        <f t="shared" ref="BP47:BP64" si="84">INDEX(actionLog,MATCH(BT47&amp;BR47,S47:S20132,0))</f>
        <v>#N/A</v>
      </c>
      <c r="BQ47" t="e">
        <f t="shared" ref="BQ47:BQ64" si="85">IF(OR(BP47="buy",BP47="sell"),"L","S")</f>
        <v>#N/A</v>
      </c>
      <c r="BR47">
        <f t="shared" ref="BR47:BR64" si="86">COUNTIFS(symbol,BT47,$R$15:$R$20100,0)</f>
        <v>3</v>
      </c>
      <c r="BS47">
        <f t="shared" ref="BS47:BS64" si="87">BS46+0.0000001</f>
        <v>3.2999999999999976E-6</v>
      </c>
      <c r="BT47" t="str">
        <f t="shared" ref="BT47:BT64" si="88">IFERROR(INDEX(symbol,BO47),"")</f>
        <v/>
      </c>
      <c r="BU47">
        <f t="shared" ref="BU47:BU64" si="89">SUMIFS(P$15:P$20100,symbol,BT47)</f>
        <v>0</v>
      </c>
      <c r="BV47">
        <f t="shared" ref="BV47:BV64" si="90">IFERROR(SUMIFS($W$15:$W$20100,symbol,BT47)/BU47,0)</f>
        <v>0</v>
      </c>
      <c r="BW47">
        <f t="shared" ref="BW47:BW64" si="91">BV47*BU47</f>
        <v>0</v>
      </c>
      <c r="BX47" t="str">
        <f t="shared" ref="BX47:BX64" si="92">BT47&amp;BR47</f>
        <v>3</v>
      </c>
      <c r="BY47">
        <f t="shared" ref="BY47:BY64" si="93">IF(BW47=0,0,ROUND(BW47+BS47,5))</f>
        <v>0</v>
      </c>
      <c r="BZ47" t="str">
        <f t="shared" ref="BZ47:BZ64" si="94">IF(BT47="","",BR47+BS47)</f>
        <v/>
      </c>
    </row>
    <row r="48" spans="3:78" ht="20.100000000000001" customHeight="1">
      <c r="C48" s="503">
        <f t="shared" si="70"/>
        <v>34</v>
      </c>
      <c r="D48" s="510">
        <v>43005</v>
      </c>
      <c r="E48" s="506" t="s">
        <v>592</v>
      </c>
      <c r="F48" s="507" t="s">
        <v>12</v>
      </c>
      <c r="G48" s="508">
        <v>16</v>
      </c>
      <c r="H48" s="509">
        <v>2700</v>
      </c>
      <c r="I48" s="511"/>
      <c r="K48">
        <f t="shared" si="20"/>
        <v>43200</v>
      </c>
      <c r="L48">
        <f t="shared" si="21"/>
        <v>108</v>
      </c>
      <c r="M48">
        <f t="shared" si="22"/>
        <v>12.959999999999999</v>
      </c>
      <c r="N48">
        <f t="shared" si="23"/>
        <v>6.4799999999999995</v>
      </c>
      <c r="O48">
        <f t="shared" si="24"/>
        <v>259.2</v>
      </c>
      <c r="P48">
        <f t="shared" si="25"/>
        <v>2700</v>
      </c>
      <c r="Q48">
        <f>SUMIF($E$15:E48,E48,$P$15:P48)</f>
        <v>2700</v>
      </c>
      <c r="R48">
        <f t="shared" si="26"/>
        <v>0</v>
      </c>
      <c r="S48" t="str">
        <f>E48&amp;COUNTIFS($E$15:E48,E48,$R$15:R48,0)</f>
        <v>MAC2</v>
      </c>
      <c r="T48" s="514">
        <f t="shared" si="27"/>
        <v>127.44</v>
      </c>
      <c r="U48" s="515">
        <f t="shared" si="28"/>
        <v>43327.44</v>
      </c>
      <c r="V48" s="516">
        <f t="shared" si="29"/>
        <v>16.0472</v>
      </c>
      <c r="W48">
        <f t="shared" si="30"/>
        <v>43327.44</v>
      </c>
      <c r="X48">
        <f>SUMIFS($W$15:W47,$E$15:E47,E48)</f>
        <v>0</v>
      </c>
      <c r="Y48">
        <f>SUMIF($S$15:S48,S48,$W$15:W48)/Q48</f>
        <v>16.0472</v>
      </c>
      <c r="Z48" s="518">
        <f t="shared" si="31"/>
        <v>0</v>
      </c>
      <c r="AA48" s="519">
        <f t="shared" si="32"/>
        <v>0</v>
      </c>
      <c r="AB48" s="520">
        <f>IFERROR(IF(D48="",0,D48-INDEX($D$15:D48,MATCH(S48,$S$15:S48,0))),0)</f>
        <v>0</v>
      </c>
      <c r="AC48" s="521">
        <f t="shared" si="33"/>
        <v>0</v>
      </c>
      <c r="AD48" s="515">
        <f t="shared" si="34"/>
        <v>138379.19745000001</v>
      </c>
      <c r="AE48" s="512"/>
      <c r="AF48" s="531"/>
      <c r="AG48" s="961"/>
      <c r="AH48" s="961"/>
      <c r="AI48">
        <f t="shared" si="53"/>
        <v>0</v>
      </c>
      <c r="AJ48">
        <f>SUMIFS($U$15:U48,$S$15:S48,S48,$W$15:W48,"&gt;0")</f>
        <v>43327.44</v>
      </c>
      <c r="AK48" t="str">
        <f>IF(COUNTIF($E$15:E48,E48)=1,C48,"")</f>
        <v/>
      </c>
      <c r="AL48">
        <f t="shared" si="35"/>
        <v>-3189.9150000000009</v>
      </c>
      <c r="AM48">
        <f t="shared" si="36"/>
        <v>42979</v>
      </c>
      <c r="AN48">
        <f t="shared" si="54"/>
        <v>0</v>
      </c>
      <c r="AO48">
        <f t="shared" si="37"/>
        <v>0</v>
      </c>
      <c r="AP48">
        <f t="shared" si="55"/>
        <v>0</v>
      </c>
      <c r="AR48" t="str">
        <f t="shared" si="56"/>
        <v/>
      </c>
      <c r="AS48">
        <f t="shared" si="57"/>
        <v>14</v>
      </c>
      <c r="AT48" t="str">
        <f t="shared" si="58"/>
        <v/>
      </c>
      <c r="AU48">
        <f>SUMIF(Dividends!$N$15:$N$274,C48,Dividends!$G$15:$G$274)</f>
        <v>0</v>
      </c>
      <c r="AV48">
        <f>SUMIF('Bank Transfers'!$P$15:$P$114,C48,'Bank Transfers'!$H$15:$H$114)</f>
        <v>0</v>
      </c>
      <c r="AW48">
        <f t="shared" si="59"/>
        <v>138379.19745000001</v>
      </c>
      <c r="AX48">
        <f t="shared" si="60"/>
        <v>138379.19745000001</v>
      </c>
      <c r="AY48">
        <f t="shared" si="61"/>
        <v>0.3414209116642315</v>
      </c>
      <c r="AZ48" t="str">
        <f t="shared" si="38"/>
        <v/>
      </c>
      <c r="BA48">
        <f t="shared" si="39"/>
        <v>0</v>
      </c>
      <c r="BB48">
        <f t="shared" si="40"/>
        <v>0</v>
      </c>
      <c r="BC48">
        <f t="shared" si="41"/>
        <v>0</v>
      </c>
      <c r="BD48">
        <f t="shared" si="62"/>
        <v>5</v>
      </c>
      <c r="BE48">
        <f t="shared" si="42"/>
        <v>38275.380499999999</v>
      </c>
      <c r="BF48">
        <f t="shared" si="43"/>
        <v>38275.380499999999</v>
      </c>
      <c r="BG48">
        <f t="shared" si="63"/>
        <v>5</v>
      </c>
      <c r="BH48">
        <f>IFERROR(MAX($AX$14:AX48),"")</f>
        <v>138379.19745000001</v>
      </c>
      <c r="BI48">
        <f t="shared" si="44"/>
        <v>0</v>
      </c>
      <c r="BJ48" t="e">
        <f t="shared" si="45"/>
        <v>#NUM!</v>
      </c>
      <c r="BK48">
        <f t="shared" si="64"/>
        <v>144486.53485</v>
      </c>
      <c r="BM48" t="str">
        <f t="shared" si="65"/>
        <v/>
      </c>
      <c r="BO48" t="e">
        <f t="shared" si="83"/>
        <v>#NUM!</v>
      </c>
      <c r="BP48" t="e">
        <f t="shared" si="84"/>
        <v>#N/A</v>
      </c>
      <c r="BQ48" t="e">
        <f t="shared" si="85"/>
        <v>#N/A</v>
      </c>
      <c r="BR48">
        <f t="shared" si="86"/>
        <v>3</v>
      </c>
      <c r="BS48">
        <f t="shared" si="87"/>
        <v>3.3999999999999975E-6</v>
      </c>
      <c r="BT48" t="str">
        <f t="shared" si="88"/>
        <v/>
      </c>
      <c r="BU48">
        <f t="shared" si="89"/>
        <v>0</v>
      </c>
      <c r="BV48">
        <f t="shared" si="90"/>
        <v>0</v>
      </c>
      <c r="BW48">
        <f t="shared" si="91"/>
        <v>0</v>
      </c>
      <c r="BX48" t="str">
        <f t="shared" si="92"/>
        <v>3</v>
      </c>
      <c r="BY48">
        <f t="shared" si="93"/>
        <v>0</v>
      </c>
      <c r="BZ48" t="str">
        <f t="shared" si="94"/>
        <v/>
      </c>
    </row>
    <row r="49" spans="3:78" ht="20.100000000000001" customHeight="1">
      <c r="C49" s="503">
        <f t="shared" si="70"/>
        <v>35</v>
      </c>
      <c r="D49" s="510">
        <v>43005</v>
      </c>
      <c r="E49" s="506" t="s">
        <v>597</v>
      </c>
      <c r="F49" s="507" t="s">
        <v>12</v>
      </c>
      <c r="G49" s="508">
        <v>5.42</v>
      </c>
      <c r="H49" s="509">
        <v>8400</v>
      </c>
      <c r="I49" s="511"/>
      <c r="K49">
        <f t="shared" si="20"/>
        <v>45528</v>
      </c>
      <c r="L49">
        <f t="shared" si="21"/>
        <v>113.82000000000001</v>
      </c>
      <c r="M49">
        <f t="shared" si="22"/>
        <v>13.658399999999999</v>
      </c>
      <c r="N49">
        <f t="shared" si="23"/>
        <v>6.8291999999999993</v>
      </c>
      <c r="O49">
        <f t="shared" si="24"/>
        <v>273.16800000000001</v>
      </c>
      <c r="P49">
        <f t="shared" si="25"/>
        <v>8400</v>
      </c>
      <c r="Q49">
        <f>SUMIF($E$15:E49,E49,$P$15:P49)</f>
        <v>8400</v>
      </c>
      <c r="R49">
        <f t="shared" si="26"/>
        <v>0</v>
      </c>
      <c r="S49" t="str">
        <f>E49&amp;COUNTIFS($E$15:E49,E49,$R$15:R49,0)</f>
        <v>EDC1</v>
      </c>
      <c r="T49" s="514">
        <f t="shared" si="27"/>
        <v>134.30760000000001</v>
      </c>
      <c r="U49" s="515">
        <f t="shared" si="28"/>
        <v>45662.3076</v>
      </c>
      <c r="V49" s="516">
        <f t="shared" si="29"/>
        <v>5.4359890000000002</v>
      </c>
      <c r="W49">
        <f t="shared" si="30"/>
        <v>45662.3076</v>
      </c>
      <c r="X49">
        <f>SUMIFS($W$15:W48,$E$15:E48,E49)</f>
        <v>0</v>
      </c>
      <c r="Y49">
        <f>SUMIF($S$15:S49,S49,$W$15:W49)/Q49</f>
        <v>5.4359890000000002</v>
      </c>
      <c r="Z49" s="518">
        <f t="shared" si="31"/>
        <v>0</v>
      </c>
      <c r="AA49" s="519">
        <f t="shared" si="32"/>
        <v>0</v>
      </c>
      <c r="AB49" s="520">
        <f>IFERROR(IF(D49="",0,D49-INDEX($D$15:D49,MATCH(S49,$S$15:S49,0))),0)</f>
        <v>0</v>
      </c>
      <c r="AC49" s="521">
        <f t="shared" si="33"/>
        <v>0</v>
      </c>
      <c r="AD49" s="515">
        <f t="shared" si="34"/>
        <v>138379.19745000001</v>
      </c>
      <c r="AE49" s="512"/>
      <c r="AF49" s="531"/>
      <c r="AG49" s="961"/>
      <c r="AH49" s="961"/>
      <c r="AI49">
        <f t="shared" si="53"/>
        <v>0</v>
      </c>
      <c r="AJ49">
        <f>SUMIFS($U$15:U49,$S$15:S49,S49,$W$15:W49,"&gt;0")</f>
        <v>45662.3076</v>
      </c>
      <c r="AK49">
        <f>IF(COUNTIF($E$15:E49,E49)=1,C49,"")</f>
        <v>35</v>
      </c>
      <c r="AL49">
        <f t="shared" si="35"/>
        <v>-708.27960000000166</v>
      </c>
      <c r="AM49">
        <f t="shared" si="36"/>
        <v>42979</v>
      </c>
      <c r="AN49">
        <f t="shared" si="54"/>
        <v>0</v>
      </c>
      <c r="AO49">
        <f t="shared" si="37"/>
        <v>0</v>
      </c>
      <c r="AP49">
        <f t="shared" si="55"/>
        <v>0</v>
      </c>
      <c r="AR49" t="str">
        <f t="shared" si="56"/>
        <v/>
      </c>
      <c r="AS49">
        <f t="shared" si="57"/>
        <v>14</v>
      </c>
      <c r="AT49" t="str">
        <f t="shared" si="58"/>
        <v/>
      </c>
      <c r="AU49">
        <f>SUMIF(Dividends!$N$15:$N$274,C49,Dividends!$G$15:$G$274)</f>
        <v>0</v>
      </c>
      <c r="AV49">
        <f>SUMIF('Bank Transfers'!$P$15:$P$114,C49,'Bank Transfers'!$H$15:$H$114)</f>
        <v>0</v>
      </c>
      <c r="AW49">
        <f t="shared" si="59"/>
        <v>138379.19745000001</v>
      </c>
      <c r="AX49">
        <f t="shared" si="60"/>
        <v>138379.19745000001</v>
      </c>
      <c r="AY49">
        <f t="shared" si="61"/>
        <v>0.3414209116642315</v>
      </c>
      <c r="AZ49" t="str">
        <f t="shared" si="38"/>
        <v/>
      </c>
      <c r="BA49">
        <f t="shared" si="39"/>
        <v>0</v>
      </c>
      <c r="BB49">
        <f t="shared" si="40"/>
        <v>0</v>
      </c>
      <c r="BC49">
        <f t="shared" si="41"/>
        <v>0</v>
      </c>
      <c r="BD49">
        <f t="shared" si="62"/>
        <v>5</v>
      </c>
      <c r="BE49">
        <f t="shared" si="42"/>
        <v>38275.380499999999</v>
      </c>
      <c r="BF49">
        <f t="shared" si="43"/>
        <v>38275.380499999999</v>
      </c>
      <c r="BG49">
        <f t="shared" si="63"/>
        <v>5</v>
      </c>
      <c r="BH49">
        <f>IFERROR(MAX($AX$14:AX49),"")</f>
        <v>138379.19745000001</v>
      </c>
      <c r="BI49">
        <f t="shared" si="44"/>
        <v>0</v>
      </c>
      <c r="BJ49" t="e">
        <f t="shared" si="45"/>
        <v>#NUM!</v>
      </c>
      <c r="BK49">
        <f t="shared" si="64"/>
        <v>144486.53485</v>
      </c>
      <c r="BM49" t="str">
        <f t="shared" si="65"/>
        <v/>
      </c>
      <c r="BO49" t="e">
        <f t="shared" si="83"/>
        <v>#NUM!</v>
      </c>
      <c r="BP49" t="e">
        <f t="shared" si="84"/>
        <v>#N/A</v>
      </c>
      <c r="BQ49" t="e">
        <f t="shared" si="85"/>
        <v>#N/A</v>
      </c>
      <c r="BR49">
        <f t="shared" si="86"/>
        <v>3</v>
      </c>
      <c r="BS49">
        <f t="shared" si="87"/>
        <v>3.4999999999999974E-6</v>
      </c>
      <c r="BT49" t="str">
        <f t="shared" si="88"/>
        <v/>
      </c>
      <c r="BU49">
        <f t="shared" si="89"/>
        <v>0</v>
      </c>
      <c r="BV49">
        <f t="shared" si="90"/>
        <v>0</v>
      </c>
      <c r="BW49">
        <f t="shared" si="91"/>
        <v>0</v>
      </c>
      <c r="BX49" t="str">
        <f t="shared" si="92"/>
        <v>3</v>
      </c>
      <c r="BY49">
        <f t="shared" si="93"/>
        <v>0</v>
      </c>
      <c r="BZ49" t="str">
        <f t="shared" si="94"/>
        <v/>
      </c>
    </row>
    <row r="50" spans="3:78" ht="20.100000000000001" customHeight="1">
      <c r="C50" s="503">
        <f t="shared" si="70"/>
        <v>36</v>
      </c>
      <c r="D50" s="510">
        <v>43006</v>
      </c>
      <c r="E50" s="506" t="s">
        <v>592</v>
      </c>
      <c r="F50" s="507" t="s">
        <v>22</v>
      </c>
      <c r="G50" s="508">
        <v>15</v>
      </c>
      <c r="H50" s="509">
        <v>2700</v>
      </c>
      <c r="I50" s="511"/>
      <c r="K50">
        <f t="shared" si="20"/>
        <v>40500</v>
      </c>
      <c r="L50">
        <f t="shared" si="21"/>
        <v>101.25</v>
      </c>
      <c r="M50">
        <f t="shared" si="22"/>
        <v>12.149999999999999</v>
      </c>
      <c r="N50">
        <f t="shared" si="23"/>
        <v>6.0749999999999993</v>
      </c>
      <c r="O50">
        <f t="shared" si="24"/>
        <v>243</v>
      </c>
      <c r="P50">
        <f t="shared" si="25"/>
        <v>-2700</v>
      </c>
      <c r="Q50">
        <f>SUMIF($E$15:E50,E50,$P$15:P50)</f>
        <v>0</v>
      </c>
      <c r="R50">
        <f t="shared" si="26"/>
        <v>2700</v>
      </c>
      <c r="S50" t="str">
        <f>E50&amp;COUNTIFS($E$15:E50,E50,$R$15:R50,0)</f>
        <v>MAC2</v>
      </c>
      <c r="T50" s="514">
        <f t="shared" si="27"/>
        <v>362.47500000000002</v>
      </c>
      <c r="U50" s="515">
        <f t="shared" si="28"/>
        <v>40137.525000000001</v>
      </c>
      <c r="V50" s="516">
        <f t="shared" si="29"/>
        <v>16.0472</v>
      </c>
      <c r="W50">
        <f t="shared" si="30"/>
        <v>-43327.44</v>
      </c>
      <c r="X50">
        <f>SUMIFS($W$15:W49,$E$15:E49,E50)</f>
        <v>43327.44</v>
      </c>
      <c r="Y50" t="e">
        <f>SUMIF($S$15:S50,S50,$W$15:W50)/Q50</f>
        <v>#DIV/0!</v>
      </c>
      <c r="Z50" s="518">
        <f t="shared" si="31"/>
        <v>-3189.9150000000009</v>
      </c>
      <c r="AA50" s="519">
        <f t="shared" si="32"/>
        <v>-7.3623435864200629E-2</v>
      </c>
      <c r="AB50" s="520">
        <f>IFERROR(IF(D50="",0,D50-INDEX($D$15:D50,MATCH(S50,$S$15:S50,0))),0)</f>
        <v>1</v>
      </c>
      <c r="AC50" s="521">
        <f t="shared" si="33"/>
        <v>-2.3051983670830292</v>
      </c>
      <c r="AD50" s="515">
        <f t="shared" si="34"/>
        <v>138379.19745000001</v>
      </c>
      <c r="AE50" s="512"/>
      <c r="AF50" s="531"/>
      <c r="AG50" s="961"/>
      <c r="AH50" s="961"/>
      <c r="AI50">
        <f t="shared" si="53"/>
        <v>-3189.9150000000009</v>
      </c>
      <c r="AJ50">
        <f>SUMIFS($U$15:U50,$S$15:S50,S50,$W$15:W50,"&gt;0")</f>
        <v>43327.44</v>
      </c>
      <c r="AK50" t="str">
        <f>IF(COUNTIF($E$15:E50,E50)=1,C50,"")</f>
        <v/>
      </c>
      <c r="AL50">
        <f t="shared" si="35"/>
        <v>-3189.9150000000009</v>
      </c>
      <c r="AM50">
        <f t="shared" si="36"/>
        <v>42979</v>
      </c>
      <c r="AN50">
        <f t="shared" si="54"/>
        <v>1</v>
      </c>
      <c r="AO50">
        <f t="shared" si="37"/>
        <v>1</v>
      </c>
      <c r="AP50">
        <f t="shared" si="55"/>
        <v>1</v>
      </c>
      <c r="AR50">
        <f t="shared" si="56"/>
        <v>0.3131065998244088</v>
      </c>
      <c r="AS50">
        <f t="shared" si="57"/>
        <v>15</v>
      </c>
      <c r="AT50">
        <f t="shared" si="58"/>
        <v>-7.3623435864200629E-2</v>
      </c>
      <c r="AU50">
        <f>SUMIF(Dividends!$N$15:$N$274,C50,Dividends!$G$15:$G$274)</f>
        <v>0</v>
      </c>
      <c r="AV50">
        <f>SUMIF('Bank Transfers'!$P$15:$P$114,C50,'Bank Transfers'!$H$15:$H$114)</f>
        <v>0</v>
      </c>
      <c r="AW50">
        <f t="shared" si="59"/>
        <v>138379.19745000001</v>
      </c>
      <c r="AX50">
        <f t="shared" si="60"/>
        <v>135189.28245</v>
      </c>
      <c r="AY50">
        <f t="shared" si="61"/>
        <v>0.31836892799340111</v>
      </c>
      <c r="AZ50">
        <f t="shared" si="38"/>
        <v>36</v>
      </c>
      <c r="BA50">
        <f t="shared" si="39"/>
        <v>-1</v>
      </c>
      <c r="BB50">
        <f t="shared" si="40"/>
        <v>-1</v>
      </c>
      <c r="BC50">
        <f t="shared" si="41"/>
        <v>-3189.9150000000009</v>
      </c>
      <c r="BD50">
        <f t="shared" si="62"/>
        <v>0</v>
      </c>
      <c r="BE50">
        <f t="shared" si="42"/>
        <v>0</v>
      </c>
      <c r="BF50">
        <f t="shared" si="43"/>
        <v>0</v>
      </c>
      <c r="BG50">
        <f t="shared" si="63"/>
        <v>-1</v>
      </c>
      <c r="BH50">
        <f>IFERROR(MAX($AX$14:AX50),"")</f>
        <v>138379.19745000001</v>
      </c>
      <c r="BI50">
        <f t="shared" si="44"/>
        <v>-2.3051983670830344E-2</v>
      </c>
      <c r="BJ50" t="e">
        <f t="shared" si="45"/>
        <v>#NUM!</v>
      </c>
      <c r="BK50">
        <f t="shared" si="64"/>
        <v>144486.53485</v>
      </c>
      <c r="BM50" t="str">
        <f t="shared" si="65"/>
        <v/>
      </c>
      <c r="BO50" t="e">
        <f t="shared" si="83"/>
        <v>#NUM!</v>
      </c>
      <c r="BP50" t="e">
        <f t="shared" si="84"/>
        <v>#N/A</v>
      </c>
      <c r="BQ50" t="e">
        <f t="shared" si="85"/>
        <v>#N/A</v>
      </c>
      <c r="BR50">
        <f t="shared" si="86"/>
        <v>3</v>
      </c>
      <c r="BS50">
        <f t="shared" si="87"/>
        <v>3.5999999999999973E-6</v>
      </c>
      <c r="BT50" t="str">
        <f t="shared" si="88"/>
        <v/>
      </c>
      <c r="BU50">
        <f t="shared" si="89"/>
        <v>0</v>
      </c>
      <c r="BV50">
        <f t="shared" si="90"/>
        <v>0</v>
      </c>
      <c r="BW50">
        <f t="shared" si="91"/>
        <v>0</v>
      </c>
      <c r="BX50" t="str">
        <f t="shared" si="92"/>
        <v>3</v>
      </c>
      <c r="BY50">
        <f t="shared" si="93"/>
        <v>0</v>
      </c>
      <c r="BZ50" t="str">
        <f t="shared" si="94"/>
        <v/>
      </c>
    </row>
    <row r="51" spans="3:78" ht="20.100000000000001" customHeight="1">
      <c r="C51" s="503">
        <f t="shared" si="70"/>
        <v>37</v>
      </c>
      <c r="D51" s="510">
        <v>43006</v>
      </c>
      <c r="E51" s="506" t="s">
        <v>597</v>
      </c>
      <c r="F51" s="507" t="s">
        <v>22</v>
      </c>
      <c r="G51" s="508">
        <v>5.4</v>
      </c>
      <c r="H51" s="509">
        <v>8400</v>
      </c>
      <c r="I51" s="511"/>
      <c r="K51">
        <f t="shared" si="20"/>
        <v>45360</v>
      </c>
      <c r="L51">
        <f t="shared" si="21"/>
        <v>113.4</v>
      </c>
      <c r="M51">
        <f t="shared" si="22"/>
        <v>13.607999999999999</v>
      </c>
      <c r="N51">
        <f t="shared" si="23"/>
        <v>6.8039999999999994</v>
      </c>
      <c r="O51">
        <f t="shared" si="24"/>
        <v>272.16000000000003</v>
      </c>
      <c r="P51">
        <f t="shared" si="25"/>
        <v>-8400</v>
      </c>
      <c r="Q51">
        <f>SUMIF($E$15:E51,E51,$P$15:P51)</f>
        <v>0</v>
      </c>
      <c r="R51">
        <f t="shared" si="26"/>
        <v>8400</v>
      </c>
      <c r="S51" t="str">
        <f>E51&amp;COUNTIFS($E$15:E51,E51,$R$15:R51,0)</f>
        <v>EDC1</v>
      </c>
      <c r="T51" s="514">
        <f t="shared" si="27"/>
        <v>405.97200000000004</v>
      </c>
      <c r="U51" s="515">
        <f t="shared" si="28"/>
        <v>44954.027999999998</v>
      </c>
      <c r="V51" s="516">
        <f t="shared" si="29"/>
        <v>5.4359890000000002</v>
      </c>
      <c r="W51">
        <f t="shared" si="30"/>
        <v>-45662.3076</v>
      </c>
      <c r="X51">
        <f>SUMIFS($W$15:W50,$E$15:E50,E51)</f>
        <v>45662.3076</v>
      </c>
      <c r="Y51" t="e">
        <f>SUMIF($S$15:S51,S51,$W$15:W51)/Q51</f>
        <v>#DIV/0!</v>
      </c>
      <c r="Z51" s="518">
        <f t="shared" si="31"/>
        <v>-708.27960000000166</v>
      </c>
      <c r="AA51" s="519">
        <f t="shared" si="32"/>
        <v>-1.5511252874132048E-2</v>
      </c>
      <c r="AB51" s="520">
        <f>IFERROR(IF(D51="",0,D51-INDEX($D$15:D51,MATCH(S51,$S$15:S51,0))),0)</f>
        <v>1</v>
      </c>
      <c r="AC51" s="521">
        <f t="shared" si="33"/>
        <v>-0.51183965007162391</v>
      </c>
      <c r="AD51" s="515">
        <f t="shared" si="34"/>
        <v>135189.28245</v>
      </c>
      <c r="AE51" s="512"/>
      <c r="AF51" s="531"/>
      <c r="AG51" s="961"/>
      <c r="AH51" s="961"/>
      <c r="AI51">
        <f t="shared" si="53"/>
        <v>-708.27960000000166</v>
      </c>
      <c r="AJ51">
        <f>SUMIFS($U$15:U51,$S$15:S51,S51,$W$15:W51,"&gt;0")</f>
        <v>45662.3076</v>
      </c>
      <c r="AK51" t="str">
        <f>IF(COUNTIF($E$15:E51,E51)=1,C51,"")</f>
        <v/>
      </c>
      <c r="AL51">
        <f t="shared" si="35"/>
        <v>-708.27960000000166</v>
      </c>
      <c r="AM51">
        <f t="shared" si="36"/>
        <v>42979</v>
      </c>
      <c r="AN51">
        <f t="shared" si="54"/>
        <v>1</v>
      </c>
      <c r="AO51">
        <f t="shared" si="37"/>
        <v>1</v>
      </c>
      <c r="AP51">
        <f t="shared" si="55"/>
        <v>1</v>
      </c>
      <c r="AR51">
        <f t="shared" si="56"/>
        <v>0.33776573684299482</v>
      </c>
      <c r="AS51">
        <f t="shared" si="57"/>
        <v>16</v>
      </c>
      <c r="AT51">
        <f t="shared" si="58"/>
        <v>-1.5511252874132048E-2</v>
      </c>
      <c r="AU51">
        <f>SUMIF(Dividends!$N$15:$N$274,C51,Dividends!$G$15:$G$274)</f>
        <v>0</v>
      </c>
      <c r="AV51">
        <f>SUMIF('Bank Transfers'!$P$15:$P$114,C51,'Bank Transfers'!$H$15:$H$114)</f>
        <v>0</v>
      </c>
      <c r="AW51">
        <f t="shared" si="59"/>
        <v>135189.28245</v>
      </c>
      <c r="AX51">
        <f t="shared" si="60"/>
        <v>134481.00284999999</v>
      </c>
      <c r="AY51">
        <f t="shared" si="61"/>
        <v>0.31312975823701183</v>
      </c>
      <c r="AZ51">
        <f t="shared" si="38"/>
        <v>37</v>
      </c>
      <c r="BA51">
        <f t="shared" si="39"/>
        <v>-1</v>
      </c>
      <c r="BB51">
        <f t="shared" si="40"/>
        <v>-2</v>
      </c>
      <c r="BC51">
        <f t="shared" si="41"/>
        <v>-3898.1946000000025</v>
      </c>
      <c r="BD51">
        <f t="shared" si="62"/>
        <v>0</v>
      </c>
      <c r="BE51">
        <f t="shared" si="42"/>
        <v>0</v>
      </c>
      <c r="BF51">
        <f t="shared" si="43"/>
        <v>0</v>
      </c>
      <c r="BG51">
        <f t="shared" si="63"/>
        <v>-2</v>
      </c>
      <c r="BH51">
        <f>IFERROR(MAX($AX$14:AX51),"")</f>
        <v>138379.19745000001</v>
      </c>
      <c r="BI51">
        <f t="shared" si="44"/>
        <v>-2.8170380171546636E-2</v>
      </c>
      <c r="BJ51" t="e">
        <f t="shared" si="45"/>
        <v>#NUM!</v>
      </c>
      <c r="BK51">
        <f t="shared" si="64"/>
        <v>144486.53485</v>
      </c>
      <c r="BM51" t="str">
        <f t="shared" si="65"/>
        <v/>
      </c>
      <c r="BO51" t="e">
        <f t="shared" si="83"/>
        <v>#NUM!</v>
      </c>
      <c r="BP51" t="e">
        <f t="shared" si="84"/>
        <v>#N/A</v>
      </c>
      <c r="BQ51" t="e">
        <f t="shared" si="85"/>
        <v>#N/A</v>
      </c>
      <c r="BR51">
        <f t="shared" si="86"/>
        <v>3</v>
      </c>
      <c r="BS51">
        <f t="shared" si="87"/>
        <v>3.6999999999999972E-6</v>
      </c>
      <c r="BT51" t="str">
        <f t="shared" si="88"/>
        <v/>
      </c>
      <c r="BU51">
        <f t="shared" si="89"/>
        <v>0</v>
      </c>
      <c r="BV51">
        <f t="shared" si="90"/>
        <v>0</v>
      </c>
      <c r="BW51">
        <f t="shared" si="91"/>
        <v>0</v>
      </c>
      <c r="BX51" t="str">
        <f t="shared" si="92"/>
        <v>3</v>
      </c>
      <c r="BY51">
        <f t="shared" si="93"/>
        <v>0</v>
      </c>
      <c r="BZ51" t="str">
        <f t="shared" si="94"/>
        <v/>
      </c>
    </row>
    <row r="52" spans="3:78" ht="20.100000000000001" customHeight="1">
      <c r="C52" s="503">
        <f t="shared" si="70"/>
        <v>38</v>
      </c>
      <c r="D52" s="510">
        <v>43006</v>
      </c>
      <c r="E52" s="506" t="s">
        <v>591</v>
      </c>
      <c r="F52" s="507" t="s">
        <v>22</v>
      </c>
      <c r="G52" s="508">
        <v>8.8699999999999992</v>
      </c>
      <c r="H52" s="509">
        <v>6000</v>
      </c>
      <c r="I52" s="511"/>
      <c r="K52">
        <f t="shared" si="20"/>
        <v>53219.999999999993</v>
      </c>
      <c r="L52">
        <f t="shared" si="21"/>
        <v>133.04999999999998</v>
      </c>
      <c r="M52">
        <f t="shared" si="22"/>
        <v>15.965999999999996</v>
      </c>
      <c r="N52">
        <f t="shared" si="23"/>
        <v>7.9829999999999979</v>
      </c>
      <c r="O52">
        <f t="shared" si="24"/>
        <v>319.31999999999994</v>
      </c>
      <c r="P52">
        <f t="shared" si="25"/>
        <v>-6000</v>
      </c>
      <c r="Q52">
        <f>SUMIF($E$15:E52,E52,$P$15:P52)</f>
        <v>0</v>
      </c>
      <c r="R52">
        <f t="shared" si="26"/>
        <v>6000</v>
      </c>
      <c r="S52" t="str">
        <f>E52&amp;COUNTIFS($E$15:E52,E52,$R$15:R52,0)</f>
        <v>PXP5</v>
      </c>
      <c r="T52" s="514">
        <f t="shared" si="27"/>
        <v>476.31899999999996</v>
      </c>
      <c r="U52" s="515">
        <f t="shared" si="28"/>
        <v>52743.68099999999</v>
      </c>
      <c r="V52" s="516">
        <f t="shared" si="29"/>
        <v>7.2713874999999994</v>
      </c>
      <c r="W52">
        <f t="shared" si="30"/>
        <v>-43628.324999999997</v>
      </c>
      <c r="X52">
        <f>SUMIFS($W$15:W51,$E$15:E51,E52)</f>
        <v>43628.324999999997</v>
      </c>
      <c r="Y52" t="e">
        <f>SUMIF($S$15:S52,S52,$W$15:W52)/Q52</f>
        <v>#DIV/0!</v>
      </c>
      <c r="Z52" s="518">
        <f t="shared" si="31"/>
        <v>9115.3559999999925</v>
      </c>
      <c r="AA52" s="519">
        <f t="shared" si="32"/>
        <v>0.20893206420370236</v>
      </c>
      <c r="AB52" s="520">
        <f>IFERROR(IF(D52="",0,D52-INDEX($D$15:D52,MATCH(S52,$S$15:S52,0))),0)</f>
        <v>1</v>
      </c>
      <c r="AC52" s="521">
        <f t="shared" si="33"/>
        <v>6.7426617219980614</v>
      </c>
      <c r="AD52" s="515">
        <f t="shared" si="34"/>
        <v>134481.00284999999</v>
      </c>
      <c r="AE52" s="512" t="s">
        <v>240</v>
      </c>
      <c r="AF52" s="531"/>
      <c r="AG52" s="961"/>
      <c r="AH52" s="961"/>
      <c r="AI52">
        <f t="shared" si="53"/>
        <v>9115.3559999999925</v>
      </c>
      <c r="AJ52">
        <f>SUMIFS($U$15:U52,$S$15:S52,S52,$W$15:W52,"&gt;0")</f>
        <v>43628.324999999997</v>
      </c>
      <c r="AK52" t="str">
        <f>IF(COUNTIF($E$15:E52,E52)=1,C52,"")</f>
        <v/>
      </c>
      <c r="AL52">
        <f t="shared" si="35"/>
        <v>9115.3559999999925</v>
      </c>
      <c r="AM52">
        <f t="shared" si="36"/>
        <v>42979</v>
      </c>
      <c r="AN52">
        <f t="shared" si="54"/>
        <v>2</v>
      </c>
      <c r="AO52">
        <f t="shared" si="37"/>
        <v>2</v>
      </c>
      <c r="AP52">
        <f t="shared" si="55"/>
        <v>2</v>
      </c>
      <c r="AR52">
        <f t="shared" si="56"/>
        <v>0.32441998553998735</v>
      </c>
      <c r="AS52">
        <f t="shared" si="57"/>
        <v>17</v>
      </c>
      <c r="AT52">
        <f t="shared" si="58"/>
        <v>0.20893206420370236</v>
      </c>
      <c r="AU52">
        <f>SUMIF(Dividends!$N$15:$N$274,C52,Dividends!$G$15:$G$274)</f>
        <v>0</v>
      </c>
      <c r="AV52">
        <f>SUMIF('Bank Transfers'!$P$15:$P$114,C52,'Bank Transfers'!$H$15:$H$114)</f>
        <v>0</v>
      </c>
      <c r="AW52">
        <f t="shared" si="59"/>
        <v>134481.00284999999</v>
      </c>
      <c r="AX52">
        <f t="shared" si="60"/>
        <v>143596.35884999999</v>
      </c>
      <c r="AY52">
        <f t="shared" si="61"/>
        <v>0.38091149548481673</v>
      </c>
      <c r="AZ52">
        <f t="shared" si="38"/>
        <v>38</v>
      </c>
      <c r="BA52">
        <f t="shared" si="39"/>
        <v>1</v>
      </c>
      <c r="BB52">
        <f t="shared" si="40"/>
        <v>0</v>
      </c>
      <c r="BC52">
        <f t="shared" si="41"/>
        <v>0</v>
      </c>
      <c r="BD52">
        <f t="shared" si="62"/>
        <v>1</v>
      </c>
      <c r="BE52">
        <f t="shared" si="42"/>
        <v>9115.3559999999925</v>
      </c>
      <c r="BF52">
        <f t="shared" si="43"/>
        <v>0</v>
      </c>
      <c r="BG52">
        <f t="shared" si="63"/>
        <v>1</v>
      </c>
      <c r="BH52">
        <f>IFERROR(MAX($AX$14:AX52),"")</f>
        <v>143596.35884999999</v>
      </c>
      <c r="BI52">
        <f t="shared" si="44"/>
        <v>0</v>
      </c>
      <c r="BJ52" t="e">
        <f t="shared" si="45"/>
        <v>#NUM!</v>
      </c>
      <c r="BK52">
        <f t="shared" si="64"/>
        <v>144486.53485</v>
      </c>
      <c r="BM52" t="str">
        <f t="shared" si="65"/>
        <v/>
      </c>
      <c r="BO52" t="e">
        <f t="shared" si="83"/>
        <v>#NUM!</v>
      </c>
      <c r="BP52" t="e">
        <f t="shared" si="84"/>
        <v>#N/A</v>
      </c>
      <c r="BQ52" t="e">
        <f t="shared" si="85"/>
        <v>#N/A</v>
      </c>
      <c r="BR52">
        <f t="shared" si="86"/>
        <v>3</v>
      </c>
      <c r="BS52">
        <f t="shared" si="87"/>
        <v>3.7999999999999971E-6</v>
      </c>
      <c r="BT52" t="str">
        <f t="shared" si="88"/>
        <v/>
      </c>
      <c r="BU52">
        <f t="shared" si="89"/>
        <v>0</v>
      </c>
      <c r="BV52">
        <f t="shared" si="90"/>
        <v>0</v>
      </c>
      <c r="BW52">
        <f t="shared" si="91"/>
        <v>0</v>
      </c>
      <c r="BX52" t="str">
        <f t="shared" si="92"/>
        <v>3</v>
      </c>
      <c r="BY52">
        <f t="shared" si="93"/>
        <v>0</v>
      </c>
      <c r="BZ52" t="str">
        <f t="shared" si="94"/>
        <v/>
      </c>
    </row>
    <row r="53" spans="3:78" ht="20.100000000000001" customHeight="1">
      <c r="C53" s="503">
        <f t="shared" si="70"/>
        <v>39</v>
      </c>
      <c r="D53" s="510">
        <v>43007</v>
      </c>
      <c r="E53" s="506" t="s">
        <v>591</v>
      </c>
      <c r="F53" s="507" t="s">
        <v>12</v>
      </c>
      <c r="G53" s="508">
        <v>7.4</v>
      </c>
      <c r="H53" s="509">
        <v>6400</v>
      </c>
      <c r="I53" s="511"/>
      <c r="K53">
        <f t="shared" si="20"/>
        <v>47360</v>
      </c>
      <c r="L53">
        <f t="shared" si="21"/>
        <v>118.4</v>
      </c>
      <c r="M53">
        <f t="shared" si="22"/>
        <v>14.207999999999998</v>
      </c>
      <c r="N53">
        <f t="shared" si="23"/>
        <v>7.1039999999999992</v>
      </c>
      <c r="O53">
        <f t="shared" si="24"/>
        <v>284.16000000000003</v>
      </c>
      <c r="P53">
        <f t="shared" si="25"/>
        <v>6400</v>
      </c>
      <c r="Q53">
        <f>SUMIF($E$15:E53,E53,$P$15:P53)</f>
        <v>6400</v>
      </c>
      <c r="R53">
        <f t="shared" si="26"/>
        <v>0</v>
      </c>
      <c r="S53" t="str">
        <f>E53&amp;COUNTIFS($E$15:E53,E53,$R$15:R53,0)</f>
        <v>PXP6</v>
      </c>
      <c r="T53" s="514">
        <f t="shared" si="27"/>
        <v>139.71199999999999</v>
      </c>
      <c r="U53" s="515">
        <f t="shared" si="28"/>
        <v>47499.712</v>
      </c>
      <c r="V53" s="516">
        <f t="shared" si="29"/>
        <v>7.4218299999999999</v>
      </c>
      <c r="W53">
        <f t="shared" si="30"/>
        <v>47499.712</v>
      </c>
      <c r="X53">
        <f>SUMIFS($W$15:W52,$E$15:E52,E53)</f>
        <v>0</v>
      </c>
      <c r="Y53">
        <f>SUMIF($S$15:S53,S53,$W$15:W53)/Q53</f>
        <v>7.4218299999999999</v>
      </c>
      <c r="Z53" s="518">
        <f t="shared" si="31"/>
        <v>0</v>
      </c>
      <c r="AA53" s="519">
        <f t="shared" si="32"/>
        <v>0</v>
      </c>
      <c r="AB53" s="520">
        <f>IFERROR(IF(D53="",0,D53-INDEX($D$15:D53,MATCH(S53,$S$15:S53,0))),0)</f>
        <v>0</v>
      </c>
      <c r="AC53" s="521">
        <f t="shared" si="33"/>
        <v>0</v>
      </c>
      <c r="AD53" s="515">
        <f t="shared" si="34"/>
        <v>143596.35884999999</v>
      </c>
      <c r="AE53" s="512" t="s">
        <v>240</v>
      </c>
      <c r="AF53" s="531"/>
      <c r="AG53" s="961"/>
      <c r="AH53" s="961"/>
      <c r="AI53">
        <f t="shared" si="53"/>
        <v>0</v>
      </c>
      <c r="AJ53">
        <f>SUMIFS($U$15:U53,$S$15:S53,S53,$W$15:W53,"&gt;0")</f>
        <v>47499.712</v>
      </c>
      <c r="AK53" t="str">
        <f>IF(COUNTIF($E$15:E53,E53)=1,C53,"")</f>
        <v/>
      </c>
      <c r="AL53">
        <f t="shared" si="35"/>
        <v>-2085.8367999999973</v>
      </c>
      <c r="AM53">
        <f t="shared" si="36"/>
        <v>42979</v>
      </c>
      <c r="AN53">
        <f t="shared" si="54"/>
        <v>0</v>
      </c>
      <c r="AO53">
        <f t="shared" si="37"/>
        <v>0</v>
      </c>
      <c r="AP53">
        <f t="shared" si="55"/>
        <v>0</v>
      </c>
      <c r="AR53" t="str">
        <f t="shared" si="56"/>
        <v/>
      </c>
      <c r="AS53">
        <f t="shared" si="57"/>
        <v>17</v>
      </c>
      <c r="AT53" t="str">
        <f t="shared" si="58"/>
        <v/>
      </c>
      <c r="AU53">
        <f>SUMIF(Dividends!$N$15:$N$274,C53,Dividends!$G$15:$G$274)</f>
        <v>0</v>
      </c>
      <c r="AV53">
        <f>SUMIF('Bank Transfers'!$P$15:$P$114,C53,'Bank Transfers'!$H$15:$H$114)</f>
        <v>0</v>
      </c>
      <c r="AW53">
        <f t="shared" si="59"/>
        <v>143596.35884999999</v>
      </c>
      <c r="AX53">
        <f t="shared" si="60"/>
        <v>143596.35884999999</v>
      </c>
      <c r="AY53">
        <f t="shared" si="61"/>
        <v>0.38091149548481673</v>
      </c>
      <c r="AZ53" t="str">
        <f t="shared" si="38"/>
        <v/>
      </c>
      <c r="BA53">
        <f t="shared" si="39"/>
        <v>0</v>
      </c>
      <c r="BB53">
        <f t="shared" si="40"/>
        <v>0</v>
      </c>
      <c r="BC53">
        <f t="shared" si="41"/>
        <v>0</v>
      </c>
      <c r="BD53">
        <f t="shared" si="62"/>
        <v>1</v>
      </c>
      <c r="BE53">
        <f t="shared" si="42"/>
        <v>9115.3559999999925</v>
      </c>
      <c r="BF53">
        <f t="shared" si="43"/>
        <v>0</v>
      </c>
      <c r="BG53">
        <f t="shared" si="63"/>
        <v>1</v>
      </c>
      <c r="BH53">
        <f>IFERROR(MAX($AX$14:AX53),"")</f>
        <v>143596.35884999999</v>
      </c>
      <c r="BI53">
        <f t="shared" si="44"/>
        <v>0</v>
      </c>
      <c r="BJ53" t="e">
        <f t="shared" si="45"/>
        <v>#NUM!</v>
      </c>
      <c r="BK53">
        <f t="shared" si="64"/>
        <v>144486.53485</v>
      </c>
      <c r="BM53" t="str">
        <f t="shared" si="65"/>
        <v/>
      </c>
      <c r="BO53" t="e">
        <f t="shared" si="83"/>
        <v>#NUM!</v>
      </c>
      <c r="BP53" t="e">
        <f t="shared" si="84"/>
        <v>#N/A</v>
      </c>
      <c r="BQ53" t="e">
        <f t="shared" si="85"/>
        <v>#N/A</v>
      </c>
      <c r="BR53">
        <f t="shared" si="86"/>
        <v>3</v>
      </c>
      <c r="BS53">
        <f t="shared" si="87"/>
        <v>3.8999999999999974E-6</v>
      </c>
      <c r="BT53" t="str">
        <f t="shared" si="88"/>
        <v/>
      </c>
      <c r="BU53">
        <f t="shared" si="89"/>
        <v>0</v>
      </c>
      <c r="BV53">
        <f t="shared" si="90"/>
        <v>0</v>
      </c>
      <c r="BW53">
        <f t="shared" si="91"/>
        <v>0</v>
      </c>
      <c r="BX53" t="str">
        <f t="shared" si="92"/>
        <v>3</v>
      </c>
      <c r="BY53">
        <f t="shared" si="93"/>
        <v>0</v>
      </c>
      <c r="BZ53" t="str">
        <f t="shared" si="94"/>
        <v/>
      </c>
    </row>
    <row r="54" spans="3:78" ht="20.100000000000001" customHeight="1">
      <c r="C54" s="503">
        <f t="shared" si="70"/>
        <v>40</v>
      </c>
      <c r="D54" s="510">
        <v>43007</v>
      </c>
      <c r="E54" s="506" t="s">
        <v>589</v>
      </c>
      <c r="F54" s="507" t="s">
        <v>12</v>
      </c>
      <c r="G54" s="508">
        <v>5.14</v>
      </c>
      <c r="H54" s="509">
        <v>9300</v>
      </c>
      <c r="I54" s="511"/>
      <c r="K54">
        <f t="shared" si="20"/>
        <v>47802</v>
      </c>
      <c r="L54">
        <f t="shared" si="21"/>
        <v>119.505</v>
      </c>
      <c r="M54">
        <f t="shared" si="22"/>
        <v>14.340599999999998</v>
      </c>
      <c r="N54">
        <f t="shared" si="23"/>
        <v>7.1702999999999992</v>
      </c>
      <c r="O54">
        <f t="shared" si="24"/>
        <v>286.81200000000001</v>
      </c>
      <c r="P54">
        <f t="shared" si="25"/>
        <v>9300</v>
      </c>
      <c r="Q54">
        <f>SUMIF($E$15:E54,E54,$P$15:P54)</f>
        <v>9300</v>
      </c>
      <c r="R54">
        <f t="shared" si="26"/>
        <v>0</v>
      </c>
      <c r="S54" t="str">
        <f>E54&amp;COUNTIFS($E$15:E54,E54,$R$15:R54,0)</f>
        <v>CHP2</v>
      </c>
      <c r="T54" s="514">
        <f t="shared" si="27"/>
        <v>141.01589999999999</v>
      </c>
      <c r="U54" s="515">
        <f t="shared" si="28"/>
        <v>47943.015899999999</v>
      </c>
      <c r="V54" s="516">
        <f t="shared" si="29"/>
        <v>5.1551629999999999</v>
      </c>
      <c r="W54">
        <f t="shared" si="30"/>
        <v>47943.015899999999</v>
      </c>
      <c r="X54">
        <f>SUMIFS($W$15:W53,$E$15:E53,E54)</f>
        <v>0</v>
      </c>
      <c r="Y54">
        <f>SUMIF($S$15:S54,S54,$W$15:W54)/Q54</f>
        <v>5.1551629999999999</v>
      </c>
      <c r="Z54" s="518">
        <f t="shared" si="31"/>
        <v>0</v>
      </c>
      <c r="AA54" s="519">
        <f t="shared" si="32"/>
        <v>0</v>
      </c>
      <c r="AB54" s="520">
        <f>IFERROR(IF(D54="",0,D54-INDEX($D$15:D54,MATCH(S54,$S$15:S54,0))),0)</f>
        <v>0</v>
      </c>
      <c r="AC54" s="521">
        <f t="shared" si="33"/>
        <v>0</v>
      </c>
      <c r="AD54" s="515">
        <f t="shared" si="34"/>
        <v>143596.35884999999</v>
      </c>
      <c r="AE54" s="512" t="s">
        <v>241</v>
      </c>
      <c r="AF54" s="531"/>
      <c r="AG54" s="961"/>
      <c r="AH54" s="961"/>
      <c r="AI54">
        <f t="shared" si="53"/>
        <v>0</v>
      </c>
      <c r="AJ54">
        <f>SUMIFS($U$15:U54,$S$15:S54,S54,$W$15:W54,"&gt;0")</f>
        <v>47943.015899999999</v>
      </c>
      <c r="AK54" t="str">
        <f>IF(COUNTIF($E$15:E54,E54)=1,C54,"")</f>
        <v/>
      </c>
      <c r="AL54">
        <f t="shared" si="35"/>
        <v>-1121.8496999999988</v>
      </c>
      <c r="AM54">
        <f t="shared" si="36"/>
        <v>42979</v>
      </c>
      <c r="AN54">
        <f t="shared" si="54"/>
        <v>0</v>
      </c>
      <c r="AO54">
        <f t="shared" si="37"/>
        <v>0</v>
      </c>
      <c r="AP54">
        <f t="shared" si="55"/>
        <v>0</v>
      </c>
      <c r="AR54" t="str">
        <f t="shared" si="56"/>
        <v/>
      </c>
      <c r="AS54">
        <f t="shared" si="57"/>
        <v>17</v>
      </c>
      <c r="AT54" t="str">
        <f t="shared" si="58"/>
        <v/>
      </c>
      <c r="AU54">
        <f>SUMIF(Dividends!$N$15:$N$274,C54,Dividends!$G$15:$G$274)</f>
        <v>0</v>
      </c>
      <c r="AV54">
        <f>SUMIF('Bank Transfers'!$P$15:$P$114,C54,'Bank Transfers'!$H$15:$H$114)</f>
        <v>0</v>
      </c>
      <c r="AW54">
        <f t="shared" si="59"/>
        <v>143596.35884999999</v>
      </c>
      <c r="AX54">
        <f t="shared" si="60"/>
        <v>143596.35884999999</v>
      </c>
      <c r="AY54">
        <f t="shared" si="61"/>
        <v>0.38091149548481673</v>
      </c>
      <c r="AZ54" t="str">
        <f t="shared" si="38"/>
        <v/>
      </c>
      <c r="BA54">
        <f t="shared" si="39"/>
        <v>0</v>
      </c>
      <c r="BB54">
        <f t="shared" si="40"/>
        <v>0</v>
      </c>
      <c r="BC54">
        <f t="shared" si="41"/>
        <v>0</v>
      </c>
      <c r="BD54">
        <f t="shared" si="62"/>
        <v>1</v>
      </c>
      <c r="BE54">
        <f t="shared" si="42"/>
        <v>9115.3559999999925</v>
      </c>
      <c r="BF54">
        <f t="shared" si="43"/>
        <v>0</v>
      </c>
      <c r="BG54">
        <f t="shared" si="63"/>
        <v>1</v>
      </c>
      <c r="BH54">
        <f>IFERROR(MAX($AX$14:AX54),"")</f>
        <v>143596.35884999999</v>
      </c>
      <c r="BI54">
        <f t="shared" si="44"/>
        <v>0</v>
      </c>
      <c r="BJ54" t="e">
        <f t="shared" si="45"/>
        <v>#NUM!</v>
      </c>
      <c r="BK54">
        <f t="shared" si="64"/>
        <v>144486.53485</v>
      </c>
      <c r="BM54" t="str">
        <f t="shared" si="65"/>
        <v/>
      </c>
      <c r="BO54" t="e">
        <f t="shared" si="83"/>
        <v>#NUM!</v>
      </c>
      <c r="BP54" t="e">
        <f t="shared" si="84"/>
        <v>#N/A</v>
      </c>
      <c r="BQ54" t="e">
        <f t="shared" si="85"/>
        <v>#N/A</v>
      </c>
      <c r="BR54">
        <f t="shared" si="86"/>
        <v>3</v>
      </c>
      <c r="BS54">
        <f t="shared" si="87"/>
        <v>3.9999999999999973E-6</v>
      </c>
      <c r="BT54" t="str">
        <f t="shared" si="88"/>
        <v/>
      </c>
      <c r="BU54">
        <f t="shared" si="89"/>
        <v>0</v>
      </c>
      <c r="BV54">
        <f t="shared" si="90"/>
        <v>0</v>
      </c>
      <c r="BW54">
        <f t="shared" si="91"/>
        <v>0</v>
      </c>
      <c r="BX54" t="str">
        <f t="shared" si="92"/>
        <v>3</v>
      </c>
      <c r="BY54">
        <f t="shared" si="93"/>
        <v>0</v>
      </c>
      <c r="BZ54" t="str">
        <f t="shared" si="94"/>
        <v/>
      </c>
    </row>
    <row r="55" spans="3:78" ht="20.100000000000001" customHeight="1">
      <c r="C55" s="503">
        <f t="shared" si="70"/>
        <v>41</v>
      </c>
      <c r="D55" s="510">
        <v>43007</v>
      </c>
      <c r="E55" s="506" t="s">
        <v>589</v>
      </c>
      <c r="F55" s="507" t="s">
        <v>22</v>
      </c>
      <c r="G55" s="508">
        <v>5.08</v>
      </c>
      <c r="H55" s="509">
        <v>9300</v>
      </c>
      <c r="I55" s="511"/>
      <c r="K55">
        <f t="shared" si="20"/>
        <v>47244</v>
      </c>
      <c r="L55">
        <f t="shared" si="21"/>
        <v>118.11</v>
      </c>
      <c r="M55">
        <f t="shared" si="22"/>
        <v>14.1732</v>
      </c>
      <c r="N55">
        <f t="shared" si="23"/>
        <v>7.0865999999999998</v>
      </c>
      <c r="O55">
        <f t="shared" si="24"/>
        <v>283.464</v>
      </c>
      <c r="P55">
        <f t="shared" si="25"/>
        <v>-9300</v>
      </c>
      <c r="Q55">
        <f>SUMIF($E$15:E55,E55,$P$15:P55)</f>
        <v>0</v>
      </c>
      <c r="R55">
        <f t="shared" si="26"/>
        <v>9300</v>
      </c>
      <c r="S55" t="str">
        <f>E55&amp;COUNTIFS($E$15:E55,E55,$R$15:R55,0)</f>
        <v>CHP2</v>
      </c>
      <c r="T55" s="514">
        <f t="shared" si="27"/>
        <v>422.8338</v>
      </c>
      <c r="U55" s="515">
        <f t="shared" si="28"/>
        <v>46821.1662</v>
      </c>
      <c r="V55" s="516">
        <f t="shared" si="29"/>
        <v>5.1551629999999999</v>
      </c>
      <c r="W55">
        <f t="shared" si="30"/>
        <v>-47943.015899999999</v>
      </c>
      <c r="X55">
        <f>SUMIFS($W$15:W54,$E$15:E54,E55)</f>
        <v>47943.015899999999</v>
      </c>
      <c r="Y55" t="e">
        <f>SUMIF($S$15:S55,S55,$W$15:W55)/Q55</f>
        <v>#DIV/0!</v>
      </c>
      <c r="Z55" s="518">
        <f t="shared" si="31"/>
        <v>-1121.8496999999988</v>
      </c>
      <c r="AA55" s="519">
        <f t="shared" si="32"/>
        <v>-2.3399648080962693E-2</v>
      </c>
      <c r="AB55" s="520">
        <f>IFERROR(IF(D55="",0,D55-INDEX($D$15:D55,MATCH(S55,$S$15:S55,0))),0)</f>
        <v>0</v>
      </c>
      <c r="AC55" s="521">
        <f t="shared" si="33"/>
        <v>-0.78125219120066769</v>
      </c>
      <c r="AD55" s="515">
        <f t="shared" si="34"/>
        <v>143596.35884999999</v>
      </c>
      <c r="AE55" s="512" t="s">
        <v>241</v>
      </c>
      <c r="AF55" s="531"/>
      <c r="AG55" s="961"/>
      <c r="AH55" s="961"/>
      <c r="AI55">
        <f t="shared" si="53"/>
        <v>-1121.8496999999988</v>
      </c>
      <c r="AJ55">
        <f>SUMIFS($U$15:U55,$S$15:S55,S55,$W$15:W55,"&gt;0")</f>
        <v>47943.015899999999</v>
      </c>
      <c r="AK55" t="str">
        <f>IF(COUNTIF($E$15:E55,E55)=1,C55,"")</f>
        <v/>
      </c>
      <c r="AL55">
        <f t="shared" si="35"/>
        <v>-1121.8496999999988</v>
      </c>
      <c r="AM55">
        <f t="shared" si="36"/>
        <v>42979</v>
      </c>
      <c r="AN55">
        <f t="shared" si="54"/>
        <v>1</v>
      </c>
      <c r="AO55">
        <f t="shared" si="37"/>
        <v>1</v>
      </c>
      <c r="AP55">
        <f t="shared" si="55"/>
        <v>1</v>
      </c>
      <c r="AR55">
        <f t="shared" si="56"/>
        <v>0.33387347899316183</v>
      </c>
      <c r="AS55">
        <f t="shared" si="57"/>
        <v>18</v>
      </c>
      <c r="AT55">
        <f t="shared" si="58"/>
        <v>-2.3399648080962693E-2</v>
      </c>
      <c r="AU55">
        <f>SUMIF(Dividends!$N$15:$N$274,C55,Dividends!$G$15:$G$274)</f>
        <v>0</v>
      </c>
      <c r="AV55">
        <f>SUMIF('Bank Transfers'!$P$15:$P$114,C55,'Bank Transfers'!$H$15:$H$114)</f>
        <v>20000</v>
      </c>
      <c r="AW55">
        <f t="shared" si="59"/>
        <v>143596.35884999999</v>
      </c>
      <c r="AX55">
        <f t="shared" si="60"/>
        <v>142474.50915</v>
      </c>
      <c r="AY55">
        <f t="shared" si="61"/>
        <v>0.37309897357281008</v>
      </c>
      <c r="AZ55">
        <f t="shared" si="38"/>
        <v>41</v>
      </c>
      <c r="BA55">
        <f t="shared" si="39"/>
        <v>-1</v>
      </c>
      <c r="BB55">
        <f t="shared" si="40"/>
        <v>-1</v>
      </c>
      <c r="BC55">
        <f t="shared" si="41"/>
        <v>-1121.8496999999988</v>
      </c>
      <c r="BD55">
        <f t="shared" si="62"/>
        <v>0</v>
      </c>
      <c r="BE55">
        <f t="shared" si="42"/>
        <v>0</v>
      </c>
      <c r="BF55">
        <f t="shared" si="43"/>
        <v>0</v>
      </c>
      <c r="BG55">
        <f t="shared" si="63"/>
        <v>-1</v>
      </c>
      <c r="BH55">
        <f>IFERROR(MAX($AX$14:AX55),"")</f>
        <v>143596.35884999999</v>
      </c>
      <c r="BI55">
        <f t="shared" si="44"/>
        <v>-7.8125219120066258E-3</v>
      </c>
      <c r="BJ55" t="e">
        <f t="shared" si="45"/>
        <v>#NUM!</v>
      </c>
      <c r="BK55">
        <f t="shared" si="64"/>
        <v>144486.53485</v>
      </c>
      <c r="BM55" t="str">
        <f t="shared" si="65"/>
        <v/>
      </c>
      <c r="BO55" t="e">
        <f t="shared" si="83"/>
        <v>#NUM!</v>
      </c>
      <c r="BP55" t="e">
        <f t="shared" si="84"/>
        <v>#N/A</v>
      </c>
      <c r="BQ55" t="e">
        <f t="shared" si="85"/>
        <v>#N/A</v>
      </c>
      <c r="BR55">
        <f t="shared" si="86"/>
        <v>3</v>
      </c>
      <c r="BS55">
        <f t="shared" si="87"/>
        <v>4.0999999999999972E-6</v>
      </c>
      <c r="BT55" t="str">
        <f t="shared" si="88"/>
        <v/>
      </c>
      <c r="BU55">
        <f t="shared" si="89"/>
        <v>0</v>
      </c>
      <c r="BV55">
        <f t="shared" si="90"/>
        <v>0</v>
      </c>
      <c r="BW55">
        <f t="shared" si="91"/>
        <v>0</v>
      </c>
      <c r="BX55" t="str">
        <f t="shared" si="92"/>
        <v>3</v>
      </c>
      <c r="BY55">
        <f t="shared" si="93"/>
        <v>0</v>
      </c>
      <c r="BZ55" t="str">
        <f t="shared" si="94"/>
        <v/>
      </c>
    </row>
    <row r="56" spans="3:78" ht="20.100000000000001" customHeight="1">
      <c r="C56" s="503">
        <f t="shared" si="70"/>
        <v>42</v>
      </c>
      <c r="D56" s="510">
        <v>43010</v>
      </c>
      <c r="E56" s="506" t="s">
        <v>593</v>
      </c>
      <c r="F56" s="507" t="s">
        <v>12</v>
      </c>
      <c r="G56" s="508">
        <v>1.79</v>
      </c>
      <c r="H56" s="509">
        <v>26000</v>
      </c>
      <c r="I56" s="511"/>
      <c r="K56">
        <f t="shared" si="20"/>
        <v>46540</v>
      </c>
      <c r="L56">
        <f t="shared" si="21"/>
        <v>116.35000000000001</v>
      </c>
      <c r="M56">
        <f t="shared" si="22"/>
        <v>13.961999999999998</v>
      </c>
      <c r="N56">
        <f t="shared" si="23"/>
        <v>6.980999999999999</v>
      </c>
      <c r="O56">
        <f t="shared" si="24"/>
        <v>279.24</v>
      </c>
      <c r="P56">
        <f t="shared" si="25"/>
        <v>26000</v>
      </c>
      <c r="Q56">
        <f>SUMIF($E$15:E56,E56,$P$15:P56)</f>
        <v>26000</v>
      </c>
      <c r="R56">
        <f t="shared" si="26"/>
        <v>0</v>
      </c>
      <c r="S56" t="str">
        <f>E56&amp;COUNTIFS($E$15:E56,E56,$R$15:R56,0)</f>
        <v>APX3</v>
      </c>
      <c r="T56" s="514">
        <f t="shared" si="27"/>
        <v>137.29300000000001</v>
      </c>
      <c r="U56" s="515">
        <f t="shared" si="28"/>
        <v>46677.292999999998</v>
      </c>
      <c r="V56" s="516">
        <f t="shared" si="29"/>
        <v>1.7952804999999998</v>
      </c>
      <c r="W56">
        <f t="shared" si="30"/>
        <v>46677.292999999998</v>
      </c>
      <c r="X56">
        <f>SUMIFS($W$15:W55,$E$15:E55,E56)</f>
        <v>0</v>
      </c>
      <c r="Y56">
        <f>SUMIF($S$15:S56,S56,$W$15:W56)/Q56</f>
        <v>1.7952804999999998</v>
      </c>
      <c r="Z56" s="518">
        <f t="shared" si="31"/>
        <v>0</v>
      </c>
      <c r="AA56" s="519">
        <f t="shared" si="32"/>
        <v>0</v>
      </c>
      <c r="AB56" s="520">
        <f>IFERROR(IF(D56="",0,D56-INDEX($D$15:D56,MATCH(S56,$S$15:S56,0))),0)</f>
        <v>0</v>
      </c>
      <c r="AC56" s="521">
        <f t="shared" si="33"/>
        <v>0</v>
      </c>
      <c r="AD56" s="515">
        <f t="shared" si="34"/>
        <v>162474.50915</v>
      </c>
      <c r="AE56" s="512"/>
      <c r="AF56" s="531"/>
      <c r="AG56" s="961"/>
      <c r="AH56" s="961"/>
      <c r="AI56">
        <f t="shared" si="53"/>
        <v>0</v>
      </c>
      <c r="AJ56">
        <f>SUMIFS($U$15:U56,$S$15:S56,S56,$W$15:W56,"&gt;0")</f>
        <v>46677.292999999998</v>
      </c>
      <c r="AK56" t="str">
        <f>IF(COUNTIF($E$15:E56,E56)=1,C56,"")</f>
        <v/>
      </c>
      <c r="AL56">
        <f t="shared" si="35"/>
        <v>-553.82600000000093</v>
      </c>
      <c r="AM56">
        <f t="shared" si="36"/>
        <v>43009</v>
      </c>
      <c r="AN56">
        <f t="shared" si="54"/>
        <v>0</v>
      </c>
      <c r="AO56">
        <f t="shared" si="37"/>
        <v>0</v>
      </c>
      <c r="AP56">
        <f t="shared" si="55"/>
        <v>0</v>
      </c>
      <c r="AR56" t="str">
        <f t="shared" si="56"/>
        <v/>
      </c>
      <c r="AS56">
        <f t="shared" si="57"/>
        <v>18</v>
      </c>
      <c r="AT56" t="str">
        <f t="shared" si="58"/>
        <v/>
      </c>
      <c r="AU56">
        <f>SUMIF(Dividends!$N$15:$N$274,C56,Dividends!$G$15:$G$274)</f>
        <v>0</v>
      </c>
      <c r="AV56">
        <f>SUMIF('Bank Transfers'!$P$15:$P$114,C56,'Bank Transfers'!$H$15:$H$114)</f>
        <v>0</v>
      </c>
      <c r="AW56">
        <f t="shared" si="59"/>
        <v>162474.50915</v>
      </c>
      <c r="AX56">
        <f t="shared" si="60"/>
        <v>142474.50915</v>
      </c>
      <c r="AY56">
        <f t="shared" si="61"/>
        <v>0.37309897357281008</v>
      </c>
      <c r="AZ56" t="str">
        <f t="shared" si="38"/>
        <v/>
      </c>
      <c r="BA56">
        <f t="shared" si="39"/>
        <v>0</v>
      </c>
      <c r="BB56">
        <f t="shared" si="40"/>
        <v>-1</v>
      </c>
      <c r="BC56">
        <f t="shared" si="41"/>
        <v>-1121.8496999999988</v>
      </c>
      <c r="BD56">
        <f t="shared" si="62"/>
        <v>0</v>
      </c>
      <c r="BE56">
        <f t="shared" si="42"/>
        <v>0</v>
      </c>
      <c r="BF56">
        <f t="shared" si="43"/>
        <v>0</v>
      </c>
      <c r="BG56">
        <f t="shared" si="63"/>
        <v>-1</v>
      </c>
      <c r="BH56">
        <f>IFERROR(MAX($AX$14:AX56),"")</f>
        <v>143596.35884999999</v>
      </c>
      <c r="BI56">
        <f t="shared" si="44"/>
        <v>-7.8125219120066258E-3</v>
      </c>
      <c r="BJ56" t="e">
        <f t="shared" si="45"/>
        <v>#NUM!</v>
      </c>
      <c r="BK56">
        <f t="shared" si="64"/>
        <v>144486.53485</v>
      </c>
      <c r="BM56" t="str">
        <f t="shared" si="65"/>
        <v/>
      </c>
      <c r="BO56" t="e">
        <f t="shared" si="83"/>
        <v>#NUM!</v>
      </c>
      <c r="BP56" t="e">
        <f t="shared" si="84"/>
        <v>#N/A</v>
      </c>
      <c r="BQ56" t="e">
        <f t="shared" si="85"/>
        <v>#N/A</v>
      </c>
      <c r="BR56">
        <f t="shared" si="86"/>
        <v>3</v>
      </c>
      <c r="BS56">
        <f t="shared" si="87"/>
        <v>4.1999999999999971E-6</v>
      </c>
      <c r="BT56" t="str">
        <f t="shared" si="88"/>
        <v/>
      </c>
      <c r="BU56">
        <f t="shared" si="89"/>
        <v>0</v>
      </c>
      <c r="BV56">
        <f t="shared" si="90"/>
        <v>0</v>
      </c>
      <c r="BW56">
        <f t="shared" si="91"/>
        <v>0</v>
      </c>
      <c r="BX56" t="str">
        <f t="shared" si="92"/>
        <v>3</v>
      </c>
      <c r="BY56">
        <f t="shared" si="93"/>
        <v>0</v>
      </c>
      <c r="BZ56" t="str">
        <f t="shared" si="94"/>
        <v/>
      </c>
    </row>
    <row r="57" spans="3:78" ht="20.100000000000001" customHeight="1">
      <c r="C57" s="503">
        <f t="shared" si="70"/>
        <v>43</v>
      </c>
      <c r="D57" s="510">
        <v>43010</v>
      </c>
      <c r="E57" s="506" t="s">
        <v>598</v>
      </c>
      <c r="F57" s="507" t="s">
        <v>12</v>
      </c>
      <c r="G57" s="508">
        <v>33.4</v>
      </c>
      <c r="H57" s="509">
        <v>1400</v>
      </c>
      <c r="I57" s="511"/>
      <c r="K57">
        <f t="shared" si="20"/>
        <v>46760</v>
      </c>
      <c r="L57">
        <f t="shared" si="21"/>
        <v>116.9</v>
      </c>
      <c r="M57">
        <f t="shared" si="22"/>
        <v>14.027999999999999</v>
      </c>
      <c r="N57">
        <f t="shared" si="23"/>
        <v>7.0139999999999993</v>
      </c>
      <c r="O57">
        <f t="shared" si="24"/>
        <v>280.56</v>
      </c>
      <c r="P57">
        <f t="shared" si="25"/>
        <v>1400</v>
      </c>
      <c r="Q57">
        <f>SUMIF($E$15:E57,E57,$P$15:P57)</f>
        <v>1400</v>
      </c>
      <c r="R57">
        <f t="shared" si="26"/>
        <v>0</v>
      </c>
      <c r="S57" t="str">
        <f>E57&amp;COUNTIFS($E$15:E57,E57,$R$15:R57,0)</f>
        <v>EW1</v>
      </c>
      <c r="T57" s="514">
        <f t="shared" si="27"/>
        <v>137.94200000000001</v>
      </c>
      <c r="U57" s="515">
        <f t="shared" si="28"/>
        <v>46897.942000000003</v>
      </c>
      <c r="V57" s="516">
        <f t="shared" si="29"/>
        <v>33.498530000000002</v>
      </c>
      <c r="W57">
        <f t="shared" si="30"/>
        <v>46897.942000000003</v>
      </c>
      <c r="X57">
        <f>SUMIFS($W$15:W56,$E$15:E56,E57)</f>
        <v>0</v>
      </c>
      <c r="Y57">
        <f>SUMIF($S$15:S57,S57,$W$15:W57)/Q57</f>
        <v>33.498530000000002</v>
      </c>
      <c r="Z57" s="518">
        <f t="shared" si="31"/>
        <v>0</v>
      </c>
      <c r="AA57" s="519">
        <f t="shared" si="32"/>
        <v>0</v>
      </c>
      <c r="AB57" s="520">
        <f>IFERROR(IF(D57="",0,D57-INDEX($D$15:D57,MATCH(S57,$S$15:S57,0))),0)</f>
        <v>0</v>
      </c>
      <c r="AC57" s="521">
        <f t="shared" si="33"/>
        <v>0</v>
      </c>
      <c r="AD57" s="515">
        <f t="shared" si="34"/>
        <v>162474.50915</v>
      </c>
      <c r="AE57" s="512"/>
      <c r="AF57" s="531"/>
      <c r="AG57" s="961"/>
      <c r="AH57" s="961"/>
      <c r="AI57">
        <f t="shared" si="53"/>
        <v>0</v>
      </c>
      <c r="AJ57">
        <f>SUMIFS($U$15:U57,$S$15:S57,S57,$W$15:W57,"&gt;0")</f>
        <v>46897.942000000003</v>
      </c>
      <c r="AK57">
        <f>IF(COUNTIF($E$15:E57,E57)=1,C57,"")</f>
        <v>43</v>
      </c>
      <c r="AL57">
        <f t="shared" si="35"/>
        <v>-903.31150000000343</v>
      </c>
      <c r="AM57">
        <f t="shared" si="36"/>
        <v>43009</v>
      </c>
      <c r="AN57">
        <f t="shared" si="54"/>
        <v>0</v>
      </c>
      <c r="AO57">
        <f t="shared" si="37"/>
        <v>0</v>
      </c>
      <c r="AP57">
        <f t="shared" si="55"/>
        <v>0</v>
      </c>
      <c r="AR57" t="str">
        <f t="shared" si="56"/>
        <v/>
      </c>
      <c r="AS57">
        <f t="shared" si="57"/>
        <v>18</v>
      </c>
      <c r="AT57" t="str">
        <f t="shared" si="58"/>
        <v/>
      </c>
      <c r="AU57">
        <f>SUMIF(Dividends!$N$15:$N$274,C57,Dividends!$G$15:$G$274)</f>
        <v>0</v>
      </c>
      <c r="AV57">
        <f>SUMIF('Bank Transfers'!$P$15:$P$114,C57,'Bank Transfers'!$H$15:$H$114)</f>
        <v>0</v>
      </c>
      <c r="AW57">
        <f t="shared" si="59"/>
        <v>162474.50915</v>
      </c>
      <c r="AX57">
        <f t="shared" si="60"/>
        <v>142474.50915</v>
      </c>
      <c r="AY57">
        <f t="shared" si="61"/>
        <v>0.37309897357281008</v>
      </c>
      <c r="AZ57" t="str">
        <f t="shared" si="38"/>
        <v/>
      </c>
      <c r="BA57">
        <f t="shared" si="39"/>
        <v>0</v>
      </c>
      <c r="BB57">
        <f t="shared" si="40"/>
        <v>-1</v>
      </c>
      <c r="BC57">
        <f t="shared" si="41"/>
        <v>-1121.8496999999988</v>
      </c>
      <c r="BD57">
        <f t="shared" si="62"/>
        <v>0</v>
      </c>
      <c r="BE57">
        <f t="shared" si="42"/>
        <v>0</v>
      </c>
      <c r="BF57">
        <f t="shared" si="43"/>
        <v>0</v>
      </c>
      <c r="BG57">
        <f t="shared" si="63"/>
        <v>-1</v>
      </c>
      <c r="BH57">
        <f>IFERROR(MAX($AX$14:AX57),"")</f>
        <v>143596.35884999999</v>
      </c>
      <c r="BI57">
        <f t="shared" si="44"/>
        <v>-7.8125219120066258E-3</v>
      </c>
      <c r="BJ57" t="e">
        <f t="shared" si="45"/>
        <v>#NUM!</v>
      </c>
      <c r="BK57">
        <f t="shared" si="64"/>
        <v>144486.53485</v>
      </c>
      <c r="BM57" t="str">
        <f t="shared" si="65"/>
        <v/>
      </c>
      <c r="BO57" t="e">
        <f t="shared" si="83"/>
        <v>#NUM!</v>
      </c>
      <c r="BP57" t="e">
        <f t="shared" si="84"/>
        <v>#N/A</v>
      </c>
      <c r="BQ57" t="e">
        <f t="shared" si="85"/>
        <v>#N/A</v>
      </c>
      <c r="BR57">
        <f t="shared" si="86"/>
        <v>3</v>
      </c>
      <c r="BS57">
        <f t="shared" si="87"/>
        <v>4.2999999999999969E-6</v>
      </c>
      <c r="BT57" t="str">
        <f t="shared" si="88"/>
        <v/>
      </c>
      <c r="BU57">
        <f t="shared" si="89"/>
        <v>0</v>
      </c>
      <c r="BV57">
        <f t="shared" si="90"/>
        <v>0</v>
      </c>
      <c r="BW57">
        <f t="shared" si="91"/>
        <v>0</v>
      </c>
      <c r="BX57" t="str">
        <f t="shared" si="92"/>
        <v>3</v>
      </c>
      <c r="BY57">
        <f t="shared" si="93"/>
        <v>0</v>
      </c>
      <c r="BZ57" t="str">
        <f t="shared" si="94"/>
        <v/>
      </c>
    </row>
    <row r="58" spans="3:78" ht="20.100000000000001" customHeight="1">
      <c r="C58" s="503">
        <f t="shared" si="70"/>
        <v>44</v>
      </c>
      <c r="D58" s="510">
        <v>43010</v>
      </c>
      <c r="E58" s="506" t="s">
        <v>591</v>
      </c>
      <c r="F58" s="507" t="s">
        <v>22</v>
      </c>
      <c r="G58" s="508">
        <v>7.16</v>
      </c>
      <c r="H58" s="509">
        <v>6400</v>
      </c>
      <c r="I58" s="511"/>
      <c r="K58">
        <f t="shared" si="20"/>
        <v>45824</v>
      </c>
      <c r="L58">
        <f t="shared" si="21"/>
        <v>114.56</v>
      </c>
      <c r="M58">
        <f t="shared" si="22"/>
        <v>13.747199999999999</v>
      </c>
      <c r="N58">
        <f t="shared" si="23"/>
        <v>6.8735999999999997</v>
      </c>
      <c r="O58">
        <f t="shared" si="24"/>
        <v>274.94400000000002</v>
      </c>
      <c r="P58">
        <f t="shared" si="25"/>
        <v>-6400</v>
      </c>
      <c r="Q58">
        <f>SUMIF($E$15:E58,E58,$P$15:P58)</f>
        <v>0</v>
      </c>
      <c r="R58">
        <f t="shared" si="26"/>
        <v>6400</v>
      </c>
      <c r="S58" t="str">
        <f>E58&amp;COUNTIFS($E$15:E58,E58,$R$15:R58,0)</f>
        <v>PXP6</v>
      </c>
      <c r="T58" s="514">
        <f t="shared" si="27"/>
        <v>410.12480000000005</v>
      </c>
      <c r="U58" s="515">
        <f t="shared" si="28"/>
        <v>45413.875200000002</v>
      </c>
      <c r="V58" s="516">
        <f t="shared" si="29"/>
        <v>7.4218299999999999</v>
      </c>
      <c r="W58">
        <f t="shared" si="30"/>
        <v>-47499.712</v>
      </c>
      <c r="X58">
        <f>SUMIFS($W$15:W57,$E$15:E57,E58)</f>
        <v>47499.712</v>
      </c>
      <c r="Y58" t="e">
        <f>SUMIF($S$15:S58,S58,$W$15:W58)/Q58</f>
        <v>#DIV/0!</v>
      </c>
      <c r="Z58" s="518">
        <f t="shared" si="31"/>
        <v>-2085.8367999999973</v>
      </c>
      <c r="AA58" s="519">
        <f t="shared" si="32"/>
        <v>-4.3912619933358696E-2</v>
      </c>
      <c r="AB58" s="520">
        <f>IFERROR(IF(D58="",0,D58-INDEX($D$15:D58,MATCH(S58,$S$15:S58,0))),0)</f>
        <v>3</v>
      </c>
      <c r="AC58" s="521">
        <f t="shared" si="33"/>
        <v>-1.2837932614243552</v>
      </c>
      <c r="AD58" s="515">
        <f t="shared" si="34"/>
        <v>162474.50915</v>
      </c>
      <c r="AE58" s="512" t="s">
        <v>240</v>
      </c>
      <c r="AF58" s="531"/>
      <c r="AG58" s="961"/>
      <c r="AH58" s="961"/>
      <c r="AI58">
        <f t="shared" si="53"/>
        <v>-2085.8367999999973</v>
      </c>
      <c r="AJ58">
        <f>SUMIFS($U$15:U58,$S$15:S58,S58,$W$15:W58,"&gt;0")</f>
        <v>47499.712</v>
      </c>
      <c r="AK58" t="str">
        <f>IF(COUNTIF($E$15:E58,E58)=1,C58,"")</f>
        <v/>
      </c>
      <c r="AL58">
        <f t="shared" si="35"/>
        <v>-2085.8367999999973</v>
      </c>
      <c r="AM58">
        <f t="shared" si="36"/>
        <v>43009</v>
      </c>
      <c r="AN58">
        <f t="shared" si="54"/>
        <v>1</v>
      </c>
      <c r="AO58">
        <f t="shared" si="37"/>
        <v>1</v>
      </c>
      <c r="AP58">
        <f t="shared" si="55"/>
        <v>1</v>
      </c>
      <c r="AR58">
        <f t="shared" si="56"/>
        <v>0.29235178027925129</v>
      </c>
      <c r="AS58">
        <f t="shared" si="57"/>
        <v>19</v>
      </c>
      <c r="AT58">
        <f t="shared" si="58"/>
        <v>-4.3912619933358696E-2</v>
      </c>
      <c r="AU58">
        <f>SUMIF(Dividends!$N$15:$N$274,C58,Dividends!$G$15:$G$274)</f>
        <v>0</v>
      </c>
      <c r="AV58">
        <f>SUMIF('Bank Transfers'!$P$15:$P$114,C58,'Bank Transfers'!$H$15:$H$114)</f>
        <v>0</v>
      </c>
      <c r="AW58">
        <f t="shared" si="59"/>
        <v>162474.50915</v>
      </c>
      <c r="AX58">
        <f t="shared" si="60"/>
        <v>140388.67235000001</v>
      </c>
      <c r="AY58">
        <f t="shared" si="61"/>
        <v>0.35845890348277043</v>
      </c>
      <c r="AZ58">
        <f t="shared" si="38"/>
        <v>44</v>
      </c>
      <c r="BA58">
        <f t="shared" si="39"/>
        <v>-1</v>
      </c>
      <c r="BB58">
        <f t="shared" si="40"/>
        <v>-2</v>
      </c>
      <c r="BC58">
        <f t="shared" si="41"/>
        <v>-3207.6864999999962</v>
      </c>
      <c r="BD58">
        <f t="shared" si="62"/>
        <v>0</v>
      </c>
      <c r="BE58">
        <f t="shared" si="42"/>
        <v>0</v>
      </c>
      <c r="BF58">
        <f t="shared" si="43"/>
        <v>0</v>
      </c>
      <c r="BG58">
        <f t="shared" si="63"/>
        <v>-2</v>
      </c>
      <c r="BH58">
        <f>IFERROR(MAX($AX$14:AX58),"")</f>
        <v>143596.35884999999</v>
      </c>
      <c r="BI58">
        <f t="shared" si="44"/>
        <v>-2.2338216133674493E-2</v>
      </c>
      <c r="BJ58" t="e">
        <f t="shared" si="45"/>
        <v>#NUM!</v>
      </c>
      <c r="BK58">
        <f t="shared" si="64"/>
        <v>144486.53485</v>
      </c>
      <c r="BM58" t="str">
        <f t="shared" si="65"/>
        <v/>
      </c>
      <c r="BO58" t="e">
        <f t="shared" si="83"/>
        <v>#NUM!</v>
      </c>
      <c r="BP58" t="e">
        <f t="shared" si="84"/>
        <v>#N/A</v>
      </c>
      <c r="BQ58" t="e">
        <f t="shared" si="85"/>
        <v>#N/A</v>
      </c>
      <c r="BR58">
        <f t="shared" si="86"/>
        <v>3</v>
      </c>
      <c r="BS58">
        <f t="shared" si="87"/>
        <v>4.3999999999999968E-6</v>
      </c>
      <c r="BT58" t="str">
        <f t="shared" si="88"/>
        <v/>
      </c>
      <c r="BU58">
        <f t="shared" si="89"/>
        <v>0</v>
      </c>
      <c r="BV58">
        <f t="shared" si="90"/>
        <v>0</v>
      </c>
      <c r="BW58">
        <f t="shared" si="91"/>
        <v>0</v>
      </c>
      <c r="BX58" t="str">
        <f t="shared" si="92"/>
        <v>3</v>
      </c>
      <c r="BY58">
        <f t="shared" si="93"/>
        <v>0</v>
      </c>
      <c r="BZ58" t="str">
        <f t="shared" si="94"/>
        <v/>
      </c>
    </row>
    <row r="59" spans="3:78" ht="20.100000000000001" customHeight="1">
      <c r="C59" s="503">
        <f t="shared" si="70"/>
        <v>45</v>
      </c>
      <c r="D59" s="510">
        <v>43010</v>
      </c>
      <c r="E59" s="506" t="s">
        <v>593</v>
      </c>
      <c r="F59" s="507" t="s">
        <v>22</v>
      </c>
      <c r="G59" s="508">
        <v>1.79</v>
      </c>
      <c r="H59" s="509">
        <v>26000</v>
      </c>
      <c r="I59" s="511"/>
      <c r="K59">
        <f t="shared" si="20"/>
        <v>46540</v>
      </c>
      <c r="L59">
        <f t="shared" si="21"/>
        <v>116.35000000000001</v>
      </c>
      <c r="M59">
        <f t="shared" si="22"/>
        <v>13.961999999999998</v>
      </c>
      <c r="N59">
        <f t="shared" si="23"/>
        <v>6.980999999999999</v>
      </c>
      <c r="O59">
        <f t="shared" si="24"/>
        <v>279.24</v>
      </c>
      <c r="P59">
        <f t="shared" si="25"/>
        <v>-26000</v>
      </c>
      <c r="Q59">
        <f>SUMIF($E$15:E59,E59,$P$15:P59)</f>
        <v>0</v>
      </c>
      <c r="R59">
        <f t="shared" si="26"/>
        <v>26000</v>
      </c>
      <c r="S59" t="str">
        <f>E59&amp;COUNTIFS($E$15:E59,E59,$R$15:R59,0)</f>
        <v>APX3</v>
      </c>
      <c r="T59" s="514">
        <f t="shared" si="27"/>
        <v>416.53300000000002</v>
      </c>
      <c r="U59" s="515">
        <f t="shared" si="28"/>
        <v>46123.466999999997</v>
      </c>
      <c r="V59" s="516">
        <f t="shared" si="29"/>
        <v>1.7952804999999998</v>
      </c>
      <c r="W59">
        <f t="shared" si="30"/>
        <v>-46677.292999999998</v>
      </c>
      <c r="X59">
        <f>SUMIFS($W$15:W58,$E$15:E58,E59)</f>
        <v>46677.292999999998</v>
      </c>
      <c r="Y59" t="e">
        <f>SUMIF($S$15:S59,S59,$W$15:W59)/Q59</f>
        <v>#DIV/0!</v>
      </c>
      <c r="Z59" s="518">
        <f t="shared" si="31"/>
        <v>-553.82600000000093</v>
      </c>
      <c r="AA59" s="519">
        <f t="shared" si="32"/>
        <v>-1.1864998255147335E-2</v>
      </c>
      <c r="AB59" s="520">
        <f>IFERROR(IF(D59="",0,D59-INDEX($D$15:D59,MATCH(S59,$S$15:S59,0))),0)</f>
        <v>0</v>
      </c>
      <c r="AC59" s="521">
        <f t="shared" si="33"/>
        <v>-0.3408694710926603</v>
      </c>
      <c r="AD59" s="515">
        <f t="shared" si="34"/>
        <v>160388.67235000001</v>
      </c>
      <c r="AE59" s="512"/>
      <c r="AF59" s="531"/>
      <c r="AG59" s="961"/>
      <c r="AH59" s="961"/>
      <c r="AI59">
        <f t="shared" si="53"/>
        <v>-553.82600000000093</v>
      </c>
      <c r="AJ59">
        <f>SUMIFS($U$15:U59,$S$15:S59,S59,$W$15:W59,"&gt;0")</f>
        <v>46677.292999999998</v>
      </c>
      <c r="AK59" t="str">
        <f>IF(COUNTIF($E$15:E59,E59)=1,C59,"")</f>
        <v/>
      </c>
      <c r="AL59">
        <f t="shared" si="35"/>
        <v>-553.82600000000093</v>
      </c>
      <c r="AM59">
        <f t="shared" si="36"/>
        <v>43009</v>
      </c>
      <c r="AN59">
        <f t="shared" si="54"/>
        <v>1</v>
      </c>
      <c r="AO59">
        <f t="shared" si="37"/>
        <v>1</v>
      </c>
      <c r="AP59">
        <f t="shared" si="55"/>
        <v>1</v>
      </c>
      <c r="AR59">
        <f t="shared" si="56"/>
        <v>0.29102611996276678</v>
      </c>
      <c r="AS59">
        <f t="shared" si="57"/>
        <v>20</v>
      </c>
      <c r="AT59">
        <f t="shared" si="58"/>
        <v>-1.1864998255147335E-2</v>
      </c>
      <c r="AU59">
        <f>SUMIF(Dividends!$N$15:$N$274,C59,Dividends!$G$15:$G$274)</f>
        <v>0</v>
      </c>
      <c r="AV59">
        <f>SUMIF('Bank Transfers'!$P$15:$P$114,C59,'Bank Transfers'!$H$15:$H$114)</f>
        <v>0</v>
      </c>
      <c r="AW59">
        <f t="shared" si="59"/>
        <v>160388.67235000001</v>
      </c>
      <c r="AX59">
        <f t="shared" si="60"/>
        <v>139834.84635000001</v>
      </c>
      <c r="AY59">
        <f t="shared" si="61"/>
        <v>0.35451395556974175</v>
      </c>
      <c r="AZ59">
        <f t="shared" si="38"/>
        <v>45</v>
      </c>
      <c r="BA59">
        <f t="shared" si="39"/>
        <v>-1</v>
      </c>
      <c r="BB59">
        <f t="shared" si="40"/>
        <v>-3</v>
      </c>
      <c r="BC59">
        <f t="shared" si="41"/>
        <v>-3761.5124999999971</v>
      </c>
      <c r="BD59">
        <f t="shared" si="62"/>
        <v>0</v>
      </c>
      <c r="BE59">
        <f t="shared" si="42"/>
        <v>0</v>
      </c>
      <c r="BF59">
        <f t="shared" si="43"/>
        <v>-3761.5124999999971</v>
      </c>
      <c r="BG59">
        <f t="shared" si="63"/>
        <v>-3</v>
      </c>
      <c r="BH59">
        <f>IFERROR(MAX($AX$14:AX59),"")</f>
        <v>143596.35884999999</v>
      </c>
      <c r="BI59">
        <f t="shared" si="44"/>
        <v>-2.6195040947585856E-2</v>
      </c>
      <c r="BJ59" t="e">
        <f t="shared" si="45"/>
        <v>#NUM!</v>
      </c>
      <c r="BK59">
        <f t="shared" si="64"/>
        <v>144486.53485</v>
      </c>
      <c r="BM59" t="str">
        <f t="shared" si="65"/>
        <v/>
      </c>
      <c r="BO59" t="e">
        <f t="shared" si="83"/>
        <v>#NUM!</v>
      </c>
      <c r="BP59" t="e">
        <f t="shared" si="84"/>
        <v>#N/A</v>
      </c>
      <c r="BQ59" t="e">
        <f t="shared" si="85"/>
        <v>#N/A</v>
      </c>
      <c r="BR59">
        <f t="shared" si="86"/>
        <v>3</v>
      </c>
      <c r="BS59">
        <f t="shared" si="87"/>
        <v>4.4999999999999967E-6</v>
      </c>
      <c r="BT59" t="str">
        <f t="shared" si="88"/>
        <v/>
      </c>
      <c r="BU59">
        <f t="shared" si="89"/>
        <v>0</v>
      </c>
      <c r="BV59">
        <f t="shared" si="90"/>
        <v>0</v>
      </c>
      <c r="BW59">
        <f t="shared" si="91"/>
        <v>0</v>
      </c>
      <c r="BX59" t="str">
        <f t="shared" si="92"/>
        <v>3</v>
      </c>
      <c r="BY59">
        <f t="shared" si="93"/>
        <v>0</v>
      </c>
      <c r="BZ59" t="str">
        <f t="shared" si="94"/>
        <v/>
      </c>
    </row>
    <row r="60" spans="3:78" ht="20.100000000000001" customHeight="1">
      <c r="C60" s="503">
        <f t="shared" si="70"/>
        <v>46</v>
      </c>
      <c r="D60" s="510">
        <v>43011</v>
      </c>
      <c r="E60" s="506" t="s">
        <v>591</v>
      </c>
      <c r="F60" s="507" t="s">
        <v>12</v>
      </c>
      <c r="G60" s="508">
        <v>6.7</v>
      </c>
      <c r="H60" s="509">
        <v>6900</v>
      </c>
      <c r="I60" s="511"/>
      <c r="K60">
        <f t="shared" si="20"/>
        <v>46230</v>
      </c>
      <c r="L60">
        <f t="shared" si="21"/>
        <v>115.575</v>
      </c>
      <c r="M60">
        <f t="shared" si="22"/>
        <v>13.868999999999998</v>
      </c>
      <c r="N60">
        <f t="shared" si="23"/>
        <v>6.934499999999999</v>
      </c>
      <c r="O60">
        <f t="shared" si="24"/>
        <v>277.38</v>
      </c>
      <c r="P60">
        <f t="shared" si="25"/>
        <v>6900</v>
      </c>
      <c r="Q60">
        <f>SUMIF($E$15:E60,E60,$P$15:P60)</f>
        <v>6900</v>
      </c>
      <c r="R60">
        <f t="shared" si="26"/>
        <v>0</v>
      </c>
      <c r="S60" t="str">
        <f>E60&amp;COUNTIFS($E$15:E60,E60,$R$15:R60,0)</f>
        <v>PXP7</v>
      </c>
      <c r="T60" s="514">
        <f t="shared" si="27"/>
        <v>136.37849999999997</v>
      </c>
      <c r="U60" s="515">
        <f t="shared" si="28"/>
        <v>46366.378499999999</v>
      </c>
      <c r="V60" s="516">
        <f t="shared" si="29"/>
        <v>6.7197649999999998</v>
      </c>
      <c r="W60">
        <f t="shared" si="30"/>
        <v>46366.378499999999</v>
      </c>
      <c r="X60">
        <f>SUMIFS($W$15:W59,$E$15:E59,E60)</f>
        <v>0</v>
      </c>
      <c r="Y60">
        <f>SUMIF($S$15:S60,S60,$W$15:W60)/Q60</f>
        <v>6.7197649999999998</v>
      </c>
      <c r="Z60" s="518">
        <f t="shared" si="31"/>
        <v>0</v>
      </c>
      <c r="AA60" s="519">
        <f t="shared" si="32"/>
        <v>0</v>
      </c>
      <c r="AB60" s="520">
        <f>IFERROR(IF(D60="",0,D60-INDEX($D$15:D60,MATCH(S60,$S$15:S60,0))),0)</f>
        <v>0</v>
      </c>
      <c r="AC60" s="521">
        <f t="shared" si="33"/>
        <v>0</v>
      </c>
      <c r="AD60" s="515">
        <f t="shared" si="34"/>
        <v>159834.84635000001</v>
      </c>
      <c r="AE60" s="512" t="s">
        <v>240</v>
      </c>
      <c r="AF60" s="531"/>
      <c r="AG60" s="961"/>
      <c r="AH60" s="961"/>
      <c r="AI60">
        <f t="shared" si="53"/>
        <v>0</v>
      </c>
      <c r="AJ60">
        <f>SUMIFS($U$15:U60,$S$15:S60,S60,$W$15:W60,"&gt;0")</f>
        <v>46366.378499999999</v>
      </c>
      <c r="AK60" t="str">
        <f>IF(COUNTIF($E$15:E60,E60)=1,C60,"")</f>
        <v/>
      </c>
      <c r="AL60">
        <f t="shared" si="35"/>
        <v>0</v>
      </c>
      <c r="AM60">
        <f t="shared" si="36"/>
        <v>43009</v>
      </c>
      <c r="AN60">
        <f t="shared" si="54"/>
        <v>0</v>
      </c>
      <c r="AO60">
        <f t="shared" si="37"/>
        <v>0</v>
      </c>
      <c r="AP60">
        <f t="shared" si="55"/>
        <v>0</v>
      </c>
      <c r="AR60" t="str">
        <f t="shared" si="56"/>
        <v/>
      </c>
      <c r="AS60">
        <f t="shared" si="57"/>
        <v>20</v>
      </c>
      <c r="AT60" t="str">
        <f t="shared" si="58"/>
        <v/>
      </c>
      <c r="AU60">
        <f>SUMIF(Dividends!$N$15:$N$274,C60,Dividends!$G$15:$G$274)</f>
        <v>0</v>
      </c>
      <c r="AV60">
        <f>SUMIF('Bank Transfers'!$P$15:$P$114,C60,'Bank Transfers'!$H$15:$H$114)</f>
        <v>0</v>
      </c>
      <c r="AW60">
        <f t="shared" si="59"/>
        <v>159834.84635000001</v>
      </c>
      <c r="AX60">
        <f t="shared" si="60"/>
        <v>139834.84635000001</v>
      </c>
      <c r="AY60">
        <f t="shared" si="61"/>
        <v>0.35451395556974175</v>
      </c>
      <c r="AZ60" t="str">
        <f t="shared" si="38"/>
        <v/>
      </c>
      <c r="BA60">
        <f t="shared" si="39"/>
        <v>0</v>
      </c>
      <c r="BB60">
        <f t="shared" si="40"/>
        <v>-3</v>
      </c>
      <c r="BC60">
        <f t="shared" si="41"/>
        <v>-3761.5124999999971</v>
      </c>
      <c r="BD60">
        <f t="shared" si="62"/>
        <v>0</v>
      </c>
      <c r="BE60">
        <f t="shared" si="42"/>
        <v>0</v>
      </c>
      <c r="BF60">
        <f t="shared" si="43"/>
        <v>-3761.5124999999971</v>
      </c>
      <c r="BG60">
        <f t="shared" si="63"/>
        <v>-3</v>
      </c>
      <c r="BH60">
        <f>IFERROR(MAX($AX$14:AX60),"")</f>
        <v>143596.35884999999</v>
      </c>
      <c r="BI60">
        <f t="shared" si="44"/>
        <v>-2.6195040947585856E-2</v>
      </c>
      <c r="BJ60" t="e">
        <f t="shared" si="45"/>
        <v>#NUM!</v>
      </c>
      <c r="BK60">
        <f t="shared" si="64"/>
        <v>144486.53485</v>
      </c>
      <c r="BM60" t="str">
        <f t="shared" si="65"/>
        <v/>
      </c>
      <c r="BO60" t="e">
        <f t="shared" si="83"/>
        <v>#NUM!</v>
      </c>
      <c r="BP60" t="e">
        <f t="shared" si="84"/>
        <v>#N/A</v>
      </c>
      <c r="BQ60" t="e">
        <f t="shared" si="85"/>
        <v>#N/A</v>
      </c>
      <c r="BR60">
        <f t="shared" si="86"/>
        <v>3</v>
      </c>
      <c r="BS60">
        <f t="shared" si="87"/>
        <v>4.5999999999999966E-6</v>
      </c>
      <c r="BT60" t="str">
        <f t="shared" si="88"/>
        <v/>
      </c>
      <c r="BU60">
        <f t="shared" si="89"/>
        <v>0</v>
      </c>
      <c r="BV60">
        <f t="shared" si="90"/>
        <v>0</v>
      </c>
      <c r="BW60">
        <f t="shared" si="91"/>
        <v>0</v>
      </c>
      <c r="BX60" t="str">
        <f t="shared" si="92"/>
        <v>3</v>
      </c>
      <c r="BY60">
        <f t="shared" si="93"/>
        <v>0</v>
      </c>
      <c r="BZ60" t="str">
        <f t="shared" si="94"/>
        <v/>
      </c>
    </row>
    <row r="61" spans="3:78" ht="20.100000000000001" customHeight="1">
      <c r="C61" s="503">
        <f t="shared" si="70"/>
        <v>47</v>
      </c>
      <c r="D61" s="510">
        <v>43011</v>
      </c>
      <c r="E61" s="506" t="s">
        <v>598</v>
      </c>
      <c r="F61" s="507" t="s">
        <v>22</v>
      </c>
      <c r="G61" s="508">
        <v>33.15</v>
      </c>
      <c r="H61" s="509">
        <v>1400</v>
      </c>
      <c r="I61" s="511"/>
      <c r="K61">
        <f t="shared" si="20"/>
        <v>46410</v>
      </c>
      <c r="L61">
        <f t="shared" si="21"/>
        <v>116.02500000000001</v>
      </c>
      <c r="M61">
        <f t="shared" si="22"/>
        <v>13.922999999999998</v>
      </c>
      <c r="N61">
        <f t="shared" si="23"/>
        <v>6.9614999999999991</v>
      </c>
      <c r="O61">
        <f t="shared" si="24"/>
        <v>278.45999999999998</v>
      </c>
      <c r="P61">
        <f t="shared" si="25"/>
        <v>-1400</v>
      </c>
      <c r="Q61">
        <f>SUMIF($E$15:E61,E61,$P$15:P61)</f>
        <v>0</v>
      </c>
      <c r="R61">
        <f t="shared" si="26"/>
        <v>1400</v>
      </c>
      <c r="S61" t="str">
        <f>E61&amp;COUNTIFS($E$15:E61,E61,$R$15:R61,0)</f>
        <v>EW1</v>
      </c>
      <c r="T61" s="514">
        <f t="shared" si="27"/>
        <v>415.36950000000002</v>
      </c>
      <c r="U61" s="515">
        <f t="shared" si="28"/>
        <v>45994.630499999999</v>
      </c>
      <c r="V61" s="516">
        <f t="shared" si="29"/>
        <v>33.498530000000002</v>
      </c>
      <c r="W61">
        <f t="shared" si="30"/>
        <v>-46897.942000000003</v>
      </c>
      <c r="X61">
        <f>SUMIFS($W$15:W60,$E$15:E60,E61)</f>
        <v>46897.942000000003</v>
      </c>
      <c r="Y61" t="e">
        <f>SUMIF($S$15:S61,S61,$W$15:W61)/Q61</f>
        <v>#DIV/0!</v>
      </c>
      <c r="Z61" s="518">
        <f t="shared" si="31"/>
        <v>-903.31150000000343</v>
      </c>
      <c r="AA61" s="519">
        <f t="shared" si="32"/>
        <v>-1.9261218328087901E-2</v>
      </c>
      <c r="AB61" s="520">
        <f>IFERROR(IF(D61="",0,D61-INDEX($D$15:D61,MATCH(S61,$S$15:S61,0))),0)</f>
        <v>1</v>
      </c>
      <c r="AC61" s="521">
        <f t="shared" si="33"/>
        <v>-0.56515304430046975</v>
      </c>
      <c r="AD61" s="515">
        <f t="shared" si="34"/>
        <v>159834.84635000001</v>
      </c>
      <c r="AE61" s="512"/>
      <c r="AF61" s="531"/>
      <c r="AG61" s="961"/>
      <c r="AH61" s="961"/>
      <c r="AI61">
        <f t="shared" si="53"/>
        <v>-903.31150000000343</v>
      </c>
      <c r="AJ61">
        <f>SUMIFS($U$15:U61,$S$15:S61,S61,$W$15:W61,"&gt;0")</f>
        <v>46897.942000000003</v>
      </c>
      <c r="AK61" t="str">
        <f>IF(COUNTIF($E$15:E61,E61)=1,C61,"")</f>
        <v/>
      </c>
      <c r="AL61">
        <f t="shared" si="35"/>
        <v>-903.31150000000343</v>
      </c>
      <c r="AM61">
        <f t="shared" si="36"/>
        <v>43009</v>
      </c>
      <c r="AN61">
        <f t="shared" si="54"/>
        <v>1</v>
      </c>
      <c r="AO61">
        <f t="shared" si="37"/>
        <v>1</v>
      </c>
      <c r="AP61">
        <f t="shared" si="55"/>
        <v>1</v>
      </c>
      <c r="AR61">
        <f t="shared" si="56"/>
        <v>0.29341500349244715</v>
      </c>
      <c r="AS61">
        <f t="shared" si="57"/>
        <v>21</v>
      </c>
      <c r="AT61">
        <f t="shared" si="58"/>
        <v>-1.9261218328087901E-2</v>
      </c>
      <c r="AU61">
        <f>SUMIF(Dividends!$N$15:$N$274,C61,Dividends!$G$15:$G$274)</f>
        <v>5555</v>
      </c>
      <c r="AV61">
        <f>SUMIF('Bank Transfers'!$P$15:$P$114,C61,'Bank Transfers'!$H$15:$H$114)</f>
        <v>0</v>
      </c>
      <c r="AW61">
        <f t="shared" si="59"/>
        <v>159834.84635000001</v>
      </c>
      <c r="AX61">
        <f t="shared" si="60"/>
        <v>144486.53485</v>
      </c>
      <c r="AY61">
        <f t="shared" si="61"/>
        <v>0.38777954437982298</v>
      </c>
      <c r="AZ61">
        <f t="shared" si="38"/>
        <v>47</v>
      </c>
      <c r="BA61">
        <f t="shared" si="39"/>
        <v>1</v>
      </c>
      <c r="BB61">
        <f t="shared" si="40"/>
        <v>0</v>
      </c>
      <c r="BC61">
        <f t="shared" si="41"/>
        <v>0</v>
      </c>
      <c r="BD61">
        <f t="shared" si="62"/>
        <v>1</v>
      </c>
      <c r="BE61">
        <f t="shared" si="42"/>
        <v>-903.31150000000343</v>
      </c>
      <c r="BF61">
        <f t="shared" si="43"/>
        <v>0</v>
      </c>
      <c r="BG61">
        <f t="shared" si="63"/>
        <v>1</v>
      </c>
      <c r="BH61">
        <f>IFERROR(MAX($AX$14:AX61),"")</f>
        <v>144486.53485</v>
      </c>
      <c r="BI61">
        <f t="shared" si="44"/>
        <v>0</v>
      </c>
      <c r="BJ61" t="e">
        <f t="shared" si="45"/>
        <v>#NUM!</v>
      </c>
      <c r="BK61">
        <f t="shared" si="64"/>
        <v>144486.53485</v>
      </c>
      <c r="BM61" t="str">
        <f t="shared" si="65"/>
        <v/>
      </c>
      <c r="BO61" t="e">
        <f t="shared" si="83"/>
        <v>#NUM!</v>
      </c>
      <c r="BP61" t="e">
        <f t="shared" si="84"/>
        <v>#N/A</v>
      </c>
      <c r="BQ61" t="e">
        <f t="shared" si="85"/>
        <v>#N/A</v>
      </c>
      <c r="BR61">
        <f t="shared" si="86"/>
        <v>3</v>
      </c>
      <c r="BS61">
        <f t="shared" si="87"/>
        <v>4.6999999999999965E-6</v>
      </c>
      <c r="BT61" t="str">
        <f t="shared" si="88"/>
        <v/>
      </c>
      <c r="BU61">
        <f t="shared" si="89"/>
        <v>0</v>
      </c>
      <c r="BV61">
        <f t="shared" si="90"/>
        <v>0</v>
      </c>
      <c r="BW61">
        <f t="shared" si="91"/>
        <v>0</v>
      </c>
      <c r="BX61" t="str">
        <f t="shared" si="92"/>
        <v>3</v>
      </c>
      <c r="BY61">
        <f t="shared" si="93"/>
        <v>0</v>
      </c>
      <c r="BZ61" t="str">
        <f t="shared" si="94"/>
        <v/>
      </c>
    </row>
    <row r="62" spans="3:78" ht="20.100000000000001" customHeight="1">
      <c r="C62" s="503">
        <f t="shared" si="70"/>
        <v>48</v>
      </c>
      <c r="D62" s="510"/>
      <c r="E62" s="506"/>
      <c r="F62" s="507"/>
      <c r="G62" s="508"/>
      <c r="H62" s="509"/>
      <c r="I62" s="511"/>
      <c r="K62">
        <f t="shared" si="20"/>
        <v>0</v>
      </c>
      <c r="L62" t="str">
        <f t="shared" si="21"/>
        <v/>
      </c>
      <c r="M62" t="str">
        <f t="shared" si="22"/>
        <v/>
      </c>
      <c r="N62">
        <f t="shared" si="23"/>
        <v>0</v>
      </c>
      <c r="O62">
        <f t="shared" si="24"/>
        <v>0</v>
      </c>
      <c r="P62">
        <f t="shared" si="25"/>
        <v>0</v>
      </c>
      <c r="Q62">
        <f>SUMIF($E$15:E62,E62,$P$15:P62)</f>
        <v>0</v>
      </c>
      <c r="R62">
        <f t="shared" si="26"/>
        <v>0</v>
      </c>
      <c r="S62" t="str">
        <f>E62&amp;COUNTIFS($E$15:E62,E62,$R$15:R62,0)</f>
        <v>0</v>
      </c>
      <c r="T62" s="514">
        <f t="shared" si="27"/>
        <v>0</v>
      </c>
      <c r="U62" s="515">
        <f t="shared" si="28"/>
        <v>0</v>
      </c>
      <c r="V62" s="516">
        <f t="shared" si="29"/>
        <v>0</v>
      </c>
      <c r="W62">
        <f t="shared" si="30"/>
        <v>0</v>
      </c>
      <c r="X62">
        <f>SUMIFS($W$15:W61,$E$15:E61,E62)</f>
        <v>0</v>
      </c>
      <c r="Y62" t="e">
        <f>SUMIF($S$15:S62,S62,$W$15:W62)/Q62</f>
        <v>#DIV/0!</v>
      </c>
      <c r="Z62" s="518">
        <f t="shared" si="31"/>
        <v>0</v>
      </c>
      <c r="AA62" s="519">
        <f t="shared" si="32"/>
        <v>0</v>
      </c>
      <c r="AB62" s="520">
        <f>IFERROR(IF(D62="",0,D62-INDEX($D$15:D62,MATCH(S62,$S$15:S62,0))),0)</f>
        <v>0</v>
      </c>
      <c r="AC62" s="521">
        <f t="shared" si="33"/>
        <v>0</v>
      </c>
      <c r="AD62" s="515" t="str">
        <f t="shared" si="34"/>
        <v/>
      </c>
      <c r="AE62" s="512"/>
      <c r="AF62" s="531"/>
      <c r="AG62" s="961"/>
      <c r="AH62" s="961"/>
      <c r="AI62">
        <f t="shared" si="53"/>
        <v>0</v>
      </c>
      <c r="AJ62">
        <f>SUMIFS($U$15:U62,$S$15:S62,S62,$W$15:W62,"&gt;0")</f>
        <v>0</v>
      </c>
      <c r="AK62" t="str">
        <f>IF(COUNTIF($E$15:E62,E62)=1,C62,"")</f>
        <v/>
      </c>
      <c r="AL62">
        <f t="shared" si="35"/>
        <v>0</v>
      </c>
      <c r="AM62">
        <f t="shared" si="36"/>
        <v>1</v>
      </c>
      <c r="AN62">
        <f t="shared" si="54"/>
        <v>0</v>
      </c>
      <c r="AO62">
        <f t="shared" si="37"/>
        <v>0</v>
      </c>
      <c r="AP62">
        <f t="shared" si="55"/>
        <v>0</v>
      </c>
      <c r="AR62" t="str">
        <f t="shared" si="56"/>
        <v/>
      </c>
      <c r="AS62">
        <f t="shared" si="57"/>
        <v>21</v>
      </c>
      <c r="AT62" t="str">
        <f t="shared" si="58"/>
        <v/>
      </c>
      <c r="AU62">
        <f>SUMIF(Dividends!$N$15:$N$274,C62,Dividends!$G$15:$G$274)</f>
        <v>0</v>
      </c>
      <c r="AV62">
        <f>SUMIF('Bank Transfers'!$P$15:$P$114,C62,'Bank Transfers'!$H$15:$H$114)</f>
        <v>0</v>
      </c>
      <c r="AW62">
        <f t="shared" si="59"/>
        <v>164486.53485</v>
      </c>
      <c r="AX62">
        <f t="shared" si="60"/>
        <v>144486.53485</v>
      </c>
      <c r="AY62">
        <f t="shared" si="61"/>
        <v>0.38777954437982298</v>
      </c>
      <c r="AZ62" t="str">
        <f t="shared" si="38"/>
        <v/>
      </c>
      <c r="BA62">
        <f t="shared" si="39"/>
        <v>0</v>
      </c>
      <c r="BB62">
        <f t="shared" si="40"/>
        <v>0</v>
      </c>
      <c r="BC62">
        <f t="shared" si="41"/>
        <v>0</v>
      </c>
      <c r="BD62">
        <f t="shared" si="62"/>
        <v>1</v>
      </c>
      <c r="BE62">
        <f t="shared" si="42"/>
        <v>-903.31150000000343</v>
      </c>
      <c r="BF62">
        <f t="shared" si="43"/>
        <v>0</v>
      </c>
      <c r="BG62">
        <f t="shared" si="63"/>
        <v>1</v>
      </c>
      <c r="BH62">
        <f>IFERROR(MAX($AX$14:AX62),"")</f>
        <v>144486.53485</v>
      </c>
      <c r="BI62">
        <f t="shared" si="44"/>
        <v>0</v>
      </c>
      <c r="BJ62" t="e">
        <f t="shared" si="45"/>
        <v>#NUM!</v>
      </c>
      <c r="BK62">
        <f t="shared" si="64"/>
        <v>144486.53485</v>
      </c>
      <c r="BM62" t="str">
        <f t="shared" si="65"/>
        <v/>
      </c>
      <c r="BO62" t="e">
        <f t="shared" si="83"/>
        <v>#NUM!</v>
      </c>
      <c r="BP62" t="e">
        <f t="shared" si="84"/>
        <v>#N/A</v>
      </c>
      <c r="BQ62" t="e">
        <f t="shared" si="85"/>
        <v>#N/A</v>
      </c>
      <c r="BR62">
        <f t="shared" si="86"/>
        <v>3</v>
      </c>
      <c r="BS62">
        <f t="shared" si="87"/>
        <v>4.7999999999999964E-6</v>
      </c>
      <c r="BT62" t="str">
        <f t="shared" si="88"/>
        <v/>
      </c>
      <c r="BU62">
        <f t="shared" si="89"/>
        <v>0</v>
      </c>
      <c r="BV62">
        <f t="shared" si="90"/>
        <v>0</v>
      </c>
      <c r="BW62">
        <f t="shared" si="91"/>
        <v>0</v>
      </c>
      <c r="BX62" t="str">
        <f t="shared" si="92"/>
        <v>3</v>
      </c>
      <c r="BY62">
        <f t="shared" si="93"/>
        <v>0</v>
      </c>
      <c r="BZ62" t="str">
        <f t="shared" si="94"/>
        <v/>
      </c>
    </row>
    <row r="63" spans="3:78" ht="20.100000000000001" customHeight="1">
      <c r="C63" s="503">
        <f t="shared" si="70"/>
        <v>49</v>
      </c>
      <c r="D63" s="510"/>
      <c r="E63" s="506"/>
      <c r="F63" s="507"/>
      <c r="G63" s="508"/>
      <c r="H63" s="509"/>
      <c r="I63" s="511"/>
      <c r="K63">
        <f t="shared" si="20"/>
        <v>0</v>
      </c>
      <c r="L63" t="str">
        <f t="shared" si="21"/>
        <v/>
      </c>
      <c r="M63" t="str">
        <f t="shared" si="22"/>
        <v/>
      </c>
      <c r="N63">
        <f t="shared" si="23"/>
        <v>0</v>
      </c>
      <c r="O63">
        <f t="shared" si="24"/>
        <v>0</v>
      </c>
      <c r="P63">
        <f t="shared" si="25"/>
        <v>0</v>
      </c>
      <c r="Q63">
        <f>SUMIF($E$15:E63,E63,$P$15:P63)</f>
        <v>0</v>
      </c>
      <c r="R63">
        <f t="shared" si="26"/>
        <v>0</v>
      </c>
      <c r="S63" t="str">
        <f>E63&amp;COUNTIFS($E$15:E63,E63,$R$15:R63,0)</f>
        <v>0</v>
      </c>
      <c r="T63" s="514">
        <f t="shared" si="27"/>
        <v>0</v>
      </c>
      <c r="U63" s="515">
        <f t="shared" si="28"/>
        <v>0</v>
      </c>
      <c r="V63" s="516">
        <f t="shared" si="29"/>
        <v>0</v>
      </c>
      <c r="W63">
        <f t="shared" si="30"/>
        <v>0</v>
      </c>
      <c r="X63">
        <f>SUMIFS($W$15:W62,$E$15:E62,E63)</f>
        <v>0</v>
      </c>
      <c r="Y63" t="e">
        <f>SUMIF($S$15:S63,S63,$W$15:W63)/Q63</f>
        <v>#DIV/0!</v>
      </c>
      <c r="Z63" s="518">
        <f t="shared" si="31"/>
        <v>0</v>
      </c>
      <c r="AA63" s="519">
        <f t="shared" si="32"/>
        <v>0</v>
      </c>
      <c r="AB63" s="520">
        <f>IFERROR(IF(D63="",0,D63-INDEX($D$15:D63,MATCH(S63,$S$15:S63,0))),0)</f>
        <v>0</v>
      </c>
      <c r="AC63" s="521">
        <f t="shared" si="33"/>
        <v>0</v>
      </c>
      <c r="AD63" s="515" t="str">
        <f t="shared" si="34"/>
        <v/>
      </c>
      <c r="AE63" s="512"/>
      <c r="AF63" s="531"/>
      <c r="AG63" s="961"/>
      <c r="AH63" s="961"/>
      <c r="AI63">
        <f t="shared" si="53"/>
        <v>0</v>
      </c>
      <c r="AJ63">
        <f>SUMIFS($U$15:U63,$S$15:S63,S63,$W$15:W63,"&gt;0")</f>
        <v>0</v>
      </c>
      <c r="AK63" t="str">
        <f>IF(COUNTIF($E$15:E63,E63)=1,C63,"")</f>
        <v/>
      </c>
      <c r="AL63">
        <f t="shared" si="35"/>
        <v>0</v>
      </c>
      <c r="AM63">
        <f t="shared" si="36"/>
        <v>1</v>
      </c>
      <c r="AN63">
        <f t="shared" si="54"/>
        <v>0</v>
      </c>
      <c r="AO63">
        <f t="shared" si="37"/>
        <v>0</v>
      </c>
      <c r="AP63">
        <f t="shared" si="55"/>
        <v>0</v>
      </c>
      <c r="AR63" t="str">
        <f t="shared" si="56"/>
        <v/>
      </c>
      <c r="AS63">
        <f t="shared" si="57"/>
        <v>21</v>
      </c>
      <c r="AT63" t="str">
        <f t="shared" si="58"/>
        <v/>
      </c>
      <c r="AU63">
        <f>SUMIF(Dividends!$N$15:$N$274,C63,Dividends!$G$15:$G$274)</f>
        <v>0</v>
      </c>
      <c r="AV63">
        <f>SUMIF('Bank Transfers'!$P$15:$P$114,C63,'Bank Transfers'!$H$15:$H$114)</f>
        <v>0</v>
      </c>
      <c r="AW63">
        <f t="shared" si="59"/>
        <v>164486.53485</v>
      </c>
      <c r="AX63">
        <f t="shared" si="60"/>
        <v>144486.53485</v>
      </c>
      <c r="AY63">
        <f t="shared" si="61"/>
        <v>0.38777954437982298</v>
      </c>
      <c r="AZ63" t="str">
        <f t="shared" si="38"/>
        <v/>
      </c>
      <c r="BA63">
        <f t="shared" si="39"/>
        <v>0</v>
      </c>
      <c r="BB63">
        <f t="shared" si="40"/>
        <v>0</v>
      </c>
      <c r="BC63">
        <f t="shared" si="41"/>
        <v>0</v>
      </c>
      <c r="BD63">
        <f t="shared" si="62"/>
        <v>1</v>
      </c>
      <c r="BE63">
        <f t="shared" si="42"/>
        <v>-903.31150000000343</v>
      </c>
      <c r="BF63">
        <f t="shared" si="43"/>
        <v>0</v>
      </c>
      <c r="BG63">
        <f t="shared" si="63"/>
        <v>1</v>
      </c>
      <c r="BH63">
        <f>IFERROR(MAX($AX$14:AX63),"")</f>
        <v>144486.53485</v>
      </c>
      <c r="BI63">
        <f t="shared" si="44"/>
        <v>0</v>
      </c>
      <c r="BJ63" t="e">
        <f t="shared" si="45"/>
        <v>#NUM!</v>
      </c>
      <c r="BK63">
        <f t="shared" si="64"/>
        <v>144486.53485</v>
      </c>
      <c r="BM63" t="str">
        <f t="shared" si="65"/>
        <v/>
      </c>
      <c r="BO63" t="e">
        <f t="shared" si="83"/>
        <v>#NUM!</v>
      </c>
      <c r="BP63" t="e">
        <f t="shared" si="84"/>
        <v>#N/A</v>
      </c>
      <c r="BQ63" t="e">
        <f t="shared" si="85"/>
        <v>#N/A</v>
      </c>
      <c r="BR63">
        <f t="shared" si="86"/>
        <v>3</v>
      </c>
      <c r="BS63">
        <f t="shared" si="87"/>
        <v>4.8999999999999963E-6</v>
      </c>
      <c r="BT63" t="str">
        <f t="shared" si="88"/>
        <v/>
      </c>
      <c r="BU63">
        <f t="shared" si="89"/>
        <v>0</v>
      </c>
      <c r="BV63">
        <f t="shared" si="90"/>
        <v>0</v>
      </c>
      <c r="BW63">
        <f t="shared" si="91"/>
        <v>0</v>
      </c>
      <c r="BX63" t="str">
        <f t="shared" si="92"/>
        <v>3</v>
      </c>
      <c r="BY63">
        <f t="shared" si="93"/>
        <v>0</v>
      </c>
      <c r="BZ63" t="str">
        <f t="shared" si="94"/>
        <v/>
      </c>
    </row>
    <row r="64" spans="3:78" ht="20.100000000000001" customHeight="1">
      <c r="C64" s="503">
        <f t="shared" si="70"/>
        <v>50</v>
      </c>
      <c r="D64" s="510"/>
      <c r="E64" s="506"/>
      <c r="F64" s="507"/>
      <c r="G64" s="508"/>
      <c r="H64" s="509"/>
      <c r="I64" s="511"/>
      <c r="K64">
        <f t="shared" si="20"/>
        <v>0</v>
      </c>
      <c r="L64" t="str">
        <f t="shared" si="21"/>
        <v/>
      </c>
      <c r="M64" t="str">
        <f t="shared" si="22"/>
        <v/>
      </c>
      <c r="N64">
        <f t="shared" si="23"/>
        <v>0</v>
      </c>
      <c r="O64">
        <f t="shared" si="24"/>
        <v>0</v>
      </c>
      <c r="P64">
        <f t="shared" si="25"/>
        <v>0</v>
      </c>
      <c r="Q64">
        <f>SUMIF($E$15:E64,E64,$P$15:P64)</f>
        <v>0</v>
      </c>
      <c r="R64">
        <f t="shared" si="26"/>
        <v>0</v>
      </c>
      <c r="S64" t="str">
        <f>E64&amp;COUNTIFS($E$15:E64,E64,$R$15:R64,0)</f>
        <v>0</v>
      </c>
      <c r="T64" s="514">
        <f t="shared" si="27"/>
        <v>0</v>
      </c>
      <c r="U64" s="515">
        <f t="shared" si="28"/>
        <v>0</v>
      </c>
      <c r="V64" s="516">
        <f t="shared" si="29"/>
        <v>0</v>
      </c>
      <c r="W64">
        <f t="shared" si="30"/>
        <v>0</v>
      </c>
      <c r="X64">
        <f>SUMIFS($W$15:W63,$E$15:E63,E64)</f>
        <v>0</v>
      </c>
      <c r="Y64" t="e">
        <f>SUMIF($S$15:S64,S64,$W$15:W64)/Q64</f>
        <v>#DIV/0!</v>
      </c>
      <c r="Z64" s="518">
        <f t="shared" si="31"/>
        <v>0</v>
      </c>
      <c r="AA64" s="519">
        <f t="shared" si="32"/>
        <v>0</v>
      </c>
      <c r="AB64" s="520">
        <f>IFERROR(IF(D64="",0,D64-INDEX($D$15:D64,MATCH(S64,$S$15:S64,0))),0)</f>
        <v>0</v>
      </c>
      <c r="AC64" s="521">
        <f t="shared" si="33"/>
        <v>0</v>
      </c>
      <c r="AD64" s="515" t="str">
        <f t="shared" si="34"/>
        <v/>
      </c>
      <c r="AE64" s="512"/>
      <c r="AF64" s="531"/>
      <c r="AG64" s="961"/>
      <c r="AH64" s="961"/>
      <c r="AI64">
        <f t="shared" si="53"/>
        <v>0</v>
      </c>
      <c r="AJ64">
        <f>SUMIFS($U$15:U64,$S$15:S64,S64,$W$15:W64,"&gt;0")</f>
        <v>0</v>
      </c>
      <c r="AK64" t="str">
        <f>IF(COUNTIF($E$15:E64,E64)=1,C64,"")</f>
        <v/>
      </c>
      <c r="AL64">
        <f t="shared" si="35"/>
        <v>0</v>
      </c>
      <c r="AM64">
        <f t="shared" si="36"/>
        <v>1</v>
      </c>
      <c r="AN64">
        <f t="shared" si="54"/>
        <v>0</v>
      </c>
      <c r="AO64">
        <f t="shared" si="37"/>
        <v>0</v>
      </c>
      <c r="AP64">
        <f t="shared" si="55"/>
        <v>0</v>
      </c>
      <c r="AR64" t="str">
        <f t="shared" si="56"/>
        <v/>
      </c>
      <c r="AS64">
        <f t="shared" si="57"/>
        <v>21</v>
      </c>
      <c r="AT64" t="str">
        <f t="shared" si="58"/>
        <v/>
      </c>
      <c r="AU64">
        <f>SUMIF(Dividends!$N$15:$N$274,C64,Dividends!$G$15:$G$274)</f>
        <v>0</v>
      </c>
      <c r="AV64">
        <f>SUMIF('Bank Transfers'!$P$15:$P$114,C64,'Bank Transfers'!$H$15:$H$114)</f>
        <v>0</v>
      </c>
      <c r="AW64">
        <f t="shared" si="59"/>
        <v>164486.53485</v>
      </c>
      <c r="AX64">
        <f t="shared" si="60"/>
        <v>144486.53485</v>
      </c>
      <c r="AY64">
        <f t="shared" si="61"/>
        <v>0.38777954437982298</v>
      </c>
      <c r="AZ64" t="str">
        <f t="shared" si="38"/>
        <v/>
      </c>
      <c r="BA64">
        <f t="shared" si="39"/>
        <v>0</v>
      </c>
      <c r="BB64">
        <f t="shared" si="40"/>
        <v>0</v>
      </c>
      <c r="BC64">
        <f t="shared" si="41"/>
        <v>0</v>
      </c>
      <c r="BD64">
        <f t="shared" si="62"/>
        <v>1</v>
      </c>
      <c r="BE64">
        <f t="shared" si="42"/>
        <v>-903.31150000000343</v>
      </c>
      <c r="BF64">
        <f t="shared" si="43"/>
        <v>0</v>
      </c>
      <c r="BG64">
        <f t="shared" si="63"/>
        <v>1</v>
      </c>
      <c r="BH64">
        <f>IFERROR(MAX($AX$14:AX64),"")</f>
        <v>144486.53485</v>
      </c>
      <c r="BI64">
        <f t="shared" si="44"/>
        <v>0</v>
      </c>
      <c r="BJ64" t="e">
        <f t="shared" si="45"/>
        <v>#NUM!</v>
      </c>
      <c r="BK64">
        <f t="shared" si="64"/>
        <v>144486.53485</v>
      </c>
      <c r="BM64" t="str">
        <f t="shared" si="65"/>
        <v/>
      </c>
      <c r="BO64" t="e">
        <f t="shared" si="83"/>
        <v>#NUM!</v>
      </c>
      <c r="BP64" t="e">
        <f t="shared" si="84"/>
        <v>#N/A</v>
      </c>
      <c r="BQ64" t="e">
        <f t="shared" si="85"/>
        <v>#N/A</v>
      </c>
      <c r="BR64">
        <f t="shared" si="86"/>
        <v>3</v>
      </c>
      <c r="BS64">
        <f t="shared" si="87"/>
        <v>4.9999999999999962E-6</v>
      </c>
      <c r="BT64" t="str">
        <f t="shared" si="88"/>
        <v/>
      </c>
      <c r="BU64">
        <f t="shared" si="89"/>
        <v>0</v>
      </c>
      <c r="BV64">
        <f t="shared" si="90"/>
        <v>0</v>
      </c>
      <c r="BW64">
        <f t="shared" si="91"/>
        <v>0</v>
      </c>
      <c r="BX64" t="str">
        <f t="shared" si="92"/>
        <v>3</v>
      </c>
      <c r="BY64">
        <f t="shared" si="93"/>
        <v>0</v>
      </c>
      <c r="BZ64" t="str">
        <f t="shared" si="94"/>
        <v/>
      </c>
    </row>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ht="20.100000000000001" customHeight="1"/>
    <row r="706" ht="20.100000000000001" customHeight="1"/>
    <row r="707" ht="20.100000000000001" customHeight="1"/>
    <row r="708" ht="20.100000000000001" customHeight="1"/>
    <row r="709" ht="20.100000000000001" customHeight="1"/>
    <row r="710" ht="20.100000000000001" customHeight="1"/>
    <row r="711" ht="20.100000000000001" customHeight="1"/>
    <row r="712" ht="20.100000000000001" customHeight="1"/>
    <row r="713" ht="20.100000000000001" customHeight="1"/>
    <row r="714" ht="20.100000000000001" customHeight="1"/>
    <row r="715" ht="20.100000000000001" customHeight="1"/>
    <row r="716" ht="20.100000000000001" customHeight="1"/>
    <row r="717" ht="20.100000000000001" customHeight="1"/>
    <row r="718" ht="20.100000000000001" customHeight="1"/>
    <row r="719" ht="20.100000000000001" customHeight="1"/>
    <row r="720" ht="20.100000000000001" customHeight="1"/>
    <row r="721" ht="20.100000000000001" customHeight="1"/>
    <row r="722" ht="20.100000000000001" customHeight="1"/>
    <row r="723" ht="20.100000000000001" customHeight="1"/>
    <row r="724" ht="20.100000000000001" customHeight="1"/>
    <row r="725" ht="20.100000000000001" customHeight="1"/>
    <row r="726" ht="20.100000000000001" customHeight="1"/>
    <row r="727" ht="20.100000000000001" customHeight="1"/>
    <row r="728" ht="20.100000000000001" customHeight="1"/>
    <row r="729" ht="20.100000000000001" customHeight="1"/>
    <row r="730" ht="20.100000000000001" customHeight="1"/>
    <row r="731" ht="20.100000000000001" customHeight="1"/>
    <row r="732" ht="20.100000000000001" customHeight="1"/>
    <row r="733" ht="20.100000000000001" customHeight="1"/>
    <row r="734" ht="20.100000000000001" customHeight="1"/>
    <row r="735" ht="20.100000000000001" customHeight="1"/>
    <row r="736" ht="20.100000000000001" customHeight="1"/>
    <row r="737" ht="20.100000000000001" customHeight="1"/>
    <row r="738" ht="20.100000000000001" customHeight="1"/>
    <row r="739" ht="20.100000000000001" customHeight="1"/>
    <row r="740" ht="20.100000000000001" customHeight="1"/>
    <row r="741" ht="20.100000000000001" customHeight="1"/>
    <row r="742" ht="20.100000000000001" customHeight="1"/>
    <row r="743" ht="20.100000000000001" customHeight="1"/>
    <row r="744" ht="20.100000000000001" customHeight="1"/>
    <row r="745" ht="20.100000000000001" customHeight="1"/>
    <row r="746" ht="20.100000000000001" customHeight="1"/>
    <row r="747" ht="20.100000000000001" customHeight="1"/>
    <row r="748" ht="20.100000000000001" customHeight="1"/>
    <row r="749" ht="20.100000000000001" customHeight="1"/>
    <row r="750" ht="20.100000000000001" customHeight="1"/>
    <row r="751" ht="20.100000000000001" customHeight="1"/>
    <row r="752" ht="20.100000000000001" customHeight="1"/>
    <row r="753" ht="20.100000000000001" customHeight="1"/>
    <row r="754" ht="20.100000000000001" customHeight="1"/>
    <row r="755" ht="20.100000000000001" customHeight="1"/>
    <row r="756" ht="20.100000000000001" customHeight="1"/>
    <row r="757" ht="20.100000000000001" customHeight="1"/>
    <row r="758" ht="20.100000000000001" customHeight="1"/>
    <row r="759" ht="20.100000000000001" customHeight="1"/>
    <row r="760" ht="20.100000000000001" customHeight="1"/>
    <row r="761" ht="20.100000000000001" customHeight="1"/>
    <row r="762" ht="20.100000000000001" customHeight="1"/>
    <row r="763" ht="20.100000000000001" customHeight="1"/>
    <row r="764" ht="20.100000000000001" customHeight="1"/>
    <row r="765" ht="20.100000000000001" customHeight="1"/>
    <row r="766" ht="20.100000000000001" customHeight="1"/>
    <row r="767" ht="20.100000000000001" customHeight="1"/>
    <row r="768" ht="20.100000000000001" customHeight="1"/>
    <row r="769" ht="20.100000000000001" customHeight="1"/>
    <row r="770" ht="20.100000000000001" customHeight="1"/>
    <row r="771" ht="20.100000000000001" customHeight="1"/>
    <row r="772" ht="20.100000000000001" customHeight="1"/>
    <row r="773" ht="20.100000000000001" customHeight="1"/>
    <row r="774" ht="20.100000000000001" customHeight="1"/>
    <row r="775" ht="20.100000000000001" customHeight="1"/>
    <row r="776" ht="20.100000000000001" customHeight="1"/>
    <row r="777" ht="20.100000000000001" customHeight="1"/>
    <row r="778" ht="20.100000000000001" customHeight="1"/>
    <row r="779" ht="20.100000000000001" customHeight="1"/>
    <row r="780" ht="20.100000000000001" customHeight="1"/>
    <row r="781" ht="20.100000000000001" customHeight="1"/>
    <row r="782" ht="20.100000000000001" customHeight="1"/>
    <row r="783" ht="20.100000000000001" customHeight="1"/>
    <row r="784" ht="20.100000000000001" customHeight="1"/>
    <row r="785" ht="20.100000000000001" customHeight="1"/>
    <row r="786" ht="20.100000000000001" customHeight="1"/>
    <row r="787" ht="20.100000000000001" customHeight="1"/>
    <row r="788" ht="20.100000000000001" customHeight="1"/>
    <row r="789" ht="20.100000000000001" customHeight="1"/>
    <row r="790" ht="20.100000000000001" customHeight="1"/>
    <row r="791" ht="20.100000000000001" customHeight="1"/>
    <row r="792" ht="20.100000000000001" customHeight="1"/>
    <row r="793" ht="20.100000000000001" customHeight="1"/>
    <row r="794" ht="20.100000000000001" customHeight="1"/>
    <row r="795" ht="20.100000000000001" customHeight="1"/>
    <row r="796" ht="20.100000000000001" customHeight="1"/>
    <row r="797" ht="20.100000000000001" customHeight="1"/>
    <row r="798" ht="20.100000000000001" customHeight="1"/>
    <row r="799" ht="20.100000000000001" customHeight="1"/>
    <row r="800" ht="20.100000000000001" customHeight="1"/>
    <row r="801" ht="20.100000000000001" customHeight="1"/>
    <row r="802" ht="20.100000000000001" customHeight="1"/>
    <row r="803" ht="20.100000000000001" customHeight="1"/>
    <row r="804" ht="20.100000000000001" customHeight="1"/>
    <row r="805" ht="20.100000000000001" customHeight="1"/>
    <row r="806" ht="20.100000000000001" customHeight="1"/>
    <row r="807" ht="20.100000000000001" customHeight="1"/>
    <row r="808" ht="20.100000000000001" customHeight="1"/>
    <row r="809" ht="20.100000000000001" customHeight="1"/>
    <row r="810" ht="20.100000000000001" customHeight="1"/>
    <row r="811" ht="20.100000000000001" customHeight="1"/>
    <row r="812" ht="20.100000000000001" customHeight="1"/>
    <row r="813" ht="20.100000000000001" customHeight="1"/>
    <row r="814" ht="20.100000000000001" customHeight="1"/>
    <row r="815" ht="20.100000000000001" customHeight="1"/>
    <row r="816" ht="20.100000000000001" customHeight="1"/>
    <row r="817" ht="20.100000000000001" customHeight="1"/>
    <row r="818" ht="20.100000000000001" customHeight="1"/>
    <row r="819" ht="20.100000000000001" customHeight="1"/>
    <row r="820" ht="20.100000000000001" customHeight="1"/>
    <row r="821" ht="20.100000000000001" customHeight="1"/>
    <row r="822" ht="20.100000000000001" customHeight="1"/>
    <row r="823" ht="20.100000000000001" customHeight="1"/>
    <row r="824" ht="20.100000000000001" customHeight="1"/>
    <row r="825" ht="20.100000000000001" customHeight="1"/>
    <row r="826" ht="20.100000000000001" customHeight="1"/>
    <row r="827" ht="20.100000000000001" customHeight="1"/>
    <row r="828" ht="20.100000000000001" customHeight="1"/>
    <row r="829" ht="20.100000000000001" customHeight="1"/>
    <row r="830" ht="20.100000000000001" customHeight="1"/>
    <row r="831" ht="20.100000000000001" customHeight="1"/>
    <row r="832" ht="20.100000000000001" customHeight="1"/>
    <row r="833" ht="20.100000000000001" customHeight="1"/>
    <row r="834" ht="20.100000000000001" customHeight="1"/>
    <row r="835" ht="20.100000000000001" customHeight="1"/>
    <row r="836" ht="20.100000000000001" customHeight="1"/>
    <row r="837" ht="20.100000000000001" customHeight="1"/>
    <row r="838" ht="20.100000000000001" customHeight="1"/>
    <row r="839" ht="20.100000000000001" customHeight="1"/>
    <row r="840" ht="20.100000000000001" customHeight="1"/>
    <row r="841" ht="20.100000000000001" customHeight="1"/>
    <row r="842" ht="20.100000000000001" customHeight="1"/>
    <row r="843" ht="20.100000000000001" customHeight="1"/>
    <row r="844" ht="20.100000000000001" customHeight="1"/>
    <row r="845" ht="20.100000000000001" customHeight="1"/>
    <row r="846" ht="20.100000000000001" customHeight="1"/>
    <row r="847" ht="20.100000000000001" customHeight="1"/>
    <row r="848" ht="20.100000000000001" customHeight="1"/>
    <row r="849" ht="20.100000000000001" customHeight="1"/>
    <row r="850" ht="20.100000000000001" customHeight="1"/>
    <row r="851" ht="20.100000000000001" customHeight="1"/>
    <row r="852" ht="20.100000000000001" customHeight="1"/>
    <row r="853" ht="20.100000000000001" customHeight="1"/>
    <row r="854" ht="20.100000000000001" customHeight="1"/>
    <row r="855" ht="20.100000000000001" customHeight="1"/>
    <row r="856" ht="20.100000000000001" customHeight="1"/>
    <row r="857" ht="20.100000000000001" customHeight="1"/>
    <row r="858" ht="20.100000000000001" customHeight="1"/>
    <row r="859" ht="20.100000000000001" customHeight="1"/>
    <row r="860" ht="20.100000000000001" customHeight="1"/>
    <row r="861" ht="20.100000000000001" customHeight="1"/>
    <row r="862" ht="20.100000000000001" customHeight="1"/>
    <row r="863" ht="20.100000000000001" customHeight="1"/>
    <row r="864" ht="20.100000000000001" customHeight="1"/>
    <row r="865" ht="20.100000000000001" customHeight="1"/>
    <row r="866" ht="20.100000000000001" customHeight="1"/>
    <row r="867" ht="20.100000000000001" customHeight="1"/>
    <row r="868" ht="20.100000000000001" customHeight="1"/>
    <row r="869" ht="20.100000000000001" customHeight="1"/>
    <row r="870" ht="20.100000000000001" customHeight="1"/>
    <row r="871" ht="20.100000000000001" customHeight="1"/>
    <row r="872" ht="20.100000000000001" customHeight="1"/>
    <row r="873" ht="20.100000000000001" customHeight="1"/>
    <row r="874" ht="20.100000000000001" customHeight="1"/>
    <row r="875" ht="20.100000000000001" customHeight="1"/>
    <row r="876" ht="20.100000000000001" customHeight="1"/>
    <row r="877" ht="20.100000000000001" customHeight="1"/>
    <row r="878" ht="20.100000000000001" customHeight="1"/>
    <row r="879" ht="20.100000000000001" customHeight="1"/>
    <row r="880" ht="20.100000000000001" customHeight="1"/>
    <row r="881" ht="20.100000000000001" customHeight="1"/>
    <row r="882" ht="20.100000000000001" customHeight="1"/>
    <row r="883" ht="20.100000000000001" customHeight="1"/>
    <row r="884" ht="20.100000000000001" customHeight="1"/>
    <row r="885" ht="20.100000000000001" customHeight="1"/>
    <row r="886" ht="20.100000000000001" customHeight="1"/>
    <row r="887" ht="20.100000000000001" customHeight="1"/>
    <row r="888" ht="20.100000000000001" customHeight="1"/>
    <row r="889" ht="20.100000000000001" customHeight="1"/>
    <row r="890" ht="20.100000000000001" customHeight="1"/>
    <row r="891" ht="20.100000000000001" customHeight="1"/>
    <row r="892" ht="20.100000000000001" customHeight="1"/>
    <row r="893" ht="20.100000000000001" customHeight="1"/>
    <row r="894" ht="20.100000000000001" customHeight="1"/>
    <row r="895" ht="20.100000000000001" customHeight="1"/>
    <row r="896" ht="20.100000000000001" customHeight="1"/>
    <row r="897" ht="20.100000000000001" customHeight="1"/>
    <row r="898" ht="20.100000000000001" customHeight="1"/>
    <row r="899" ht="20.100000000000001" customHeight="1"/>
    <row r="900" ht="20.100000000000001" customHeight="1"/>
    <row r="901" ht="20.100000000000001" customHeight="1"/>
    <row r="902" ht="20.100000000000001" customHeight="1"/>
    <row r="903" ht="20.100000000000001" customHeight="1"/>
    <row r="904" ht="20.100000000000001" customHeight="1"/>
    <row r="905" ht="20.100000000000001" customHeight="1"/>
    <row r="906" ht="20.100000000000001" customHeight="1"/>
    <row r="907" ht="20.100000000000001" customHeight="1"/>
    <row r="908" ht="20.100000000000001" customHeight="1"/>
    <row r="909" ht="20.100000000000001" customHeight="1"/>
    <row r="910" ht="20.100000000000001" customHeight="1"/>
    <row r="911" ht="20.100000000000001" customHeight="1"/>
    <row r="912" ht="20.100000000000001" customHeight="1"/>
    <row r="913" ht="20.100000000000001" customHeight="1"/>
    <row r="914" ht="20.100000000000001" customHeight="1"/>
    <row r="915" ht="20.100000000000001" customHeight="1"/>
    <row r="916" ht="20.100000000000001" customHeight="1"/>
    <row r="917" ht="20.100000000000001" customHeight="1"/>
    <row r="918" ht="20.100000000000001" customHeight="1"/>
    <row r="919" ht="20.100000000000001" customHeight="1"/>
    <row r="920" ht="20.100000000000001" customHeight="1"/>
    <row r="921" ht="20.100000000000001" customHeight="1"/>
    <row r="922" ht="20.100000000000001" customHeight="1"/>
    <row r="923" ht="20.100000000000001" customHeight="1"/>
    <row r="924" ht="20.100000000000001" customHeight="1"/>
    <row r="925" ht="20.100000000000001" customHeight="1"/>
    <row r="926" ht="20.100000000000001" customHeight="1"/>
    <row r="927" ht="20.100000000000001" customHeight="1"/>
    <row r="928" ht="20.100000000000001" customHeight="1"/>
    <row r="929" ht="20.100000000000001" customHeight="1"/>
    <row r="930" ht="20.100000000000001" customHeight="1"/>
    <row r="931" ht="20.100000000000001" customHeight="1"/>
    <row r="932" ht="20.100000000000001" customHeight="1"/>
    <row r="933" ht="20.100000000000001" customHeight="1"/>
    <row r="934" ht="20.100000000000001" customHeight="1"/>
    <row r="935" ht="20.100000000000001" customHeight="1"/>
    <row r="936" ht="20.100000000000001" customHeight="1"/>
    <row r="937" ht="20.100000000000001" customHeight="1"/>
    <row r="938" ht="20.100000000000001" customHeight="1"/>
    <row r="939" ht="20.100000000000001" customHeight="1"/>
    <row r="940" ht="20.100000000000001" customHeight="1"/>
    <row r="941" ht="20.100000000000001" customHeight="1"/>
    <row r="942" ht="20.100000000000001" customHeight="1"/>
    <row r="943" ht="20.100000000000001" customHeight="1"/>
    <row r="944" ht="20.100000000000001" customHeight="1"/>
    <row r="945" ht="20.100000000000001" customHeight="1"/>
    <row r="946" ht="20.100000000000001" customHeight="1"/>
    <row r="947" ht="20.100000000000001" customHeight="1"/>
    <row r="948" ht="20.100000000000001" customHeight="1"/>
    <row r="949" ht="20.100000000000001" customHeight="1"/>
    <row r="950" ht="20.100000000000001" customHeight="1"/>
    <row r="951" ht="20.100000000000001" customHeight="1"/>
    <row r="952" ht="20.100000000000001" customHeight="1"/>
    <row r="953" ht="20.100000000000001" customHeight="1"/>
    <row r="954" ht="20.100000000000001" customHeight="1"/>
    <row r="955" ht="20.100000000000001" customHeight="1"/>
    <row r="956" ht="20.100000000000001" customHeight="1"/>
    <row r="957" ht="20.100000000000001" customHeight="1"/>
    <row r="958" ht="20.100000000000001" customHeight="1"/>
    <row r="959" ht="20.100000000000001" customHeight="1"/>
    <row r="960" ht="20.100000000000001" customHeight="1"/>
    <row r="961" ht="20.100000000000001" customHeight="1"/>
    <row r="962" ht="20.100000000000001" customHeight="1"/>
    <row r="963" ht="20.100000000000001" customHeight="1"/>
    <row r="964" ht="20.100000000000001" customHeight="1"/>
    <row r="965" ht="20.100000000000001" customHeight="1"/>
    <row r="966" ht="20.100000000000001" customHeight="1"/>
    <row r="967" ht="20.100000000000001" customHeight="1"/>
    <row r="968" ht="20.100000000000001" customHeight="1"/>
    <row r="969" ht="20.100000000000001" customHeight="1"/>
    <row r="970" ht="20.100000000000001" customHeight="1"/>
    <row r="971" ht="20.100000000000001" customHeight="1"/>
    <row r="972" ht="20.100000000000001" customHeight="1"/>
    <row r="973" ht="20.100000000000001" customHeight="1"/>
    <row r="974" ht="20.100000000000001" customHeight="1"/>
    <row r="975" ht="20.100000000000001" customHeight="1"/>
    <row r="976" ht="20.100000000000001" customHeight="1"/>
    <row r="977" ht="20.100000000000001" customHeight="1"/>
    <row r="978" ht="20.100000000000001" customHeight="1"/>
    <row r="979" ht="20.100000000000001" customHeight="1"/>
    <row r="980" ht="20.100000000000001" customHeight="1"/>
    <row r="981" ht="20.100000000000001" customHeight="1"/>
    <row r="982" ht="20.100000000000001" customHeight="1"/>
    <row r="983" ht="20.100000000000001" customHeight="1"/>
    <row r="984" ht="20.100000000000001" customHeight="1"/>
    <row r="985" ht="20.100000000000001" customHeight="1"/>
    <row r="986" ht="20.100000000000001" customHeight="1"/>
    <row r="987" ht="20.100000000000001" customHeight="1"/>
    <row r="988" ht="20.100000000000001" customHeight="1"/>
    <row r="989" ht="20.100000000000001" customHeight="1"/>
    <row r="990" ht="20.100000000000001" customHeight="1"/>
    <row r="991" ht="20.100000000000001" customHeight="1"/>
    <row r="992" ht="20.100000000000001" customHeight="1"/>
    <row r="993" ht="20.100000000000001" customHeight="1"/>
    <row r="994" ht="20.100000000000001" customHeight="1"/>
    <row r="995" ht="20.100000000000001" customHeight="1"/>
    <row r="996" ht="20.100000000000001" customHeight="1"/>
    <row r="997" ht="20.100000000000001" customHeight="1"/>
    <row r="998" ht="20.100000000000001" customHeight="1"/>
    <row r="999" ht="20.100000000000001" customHeight="1"/>
    <row r="1000" ht="20.100000000000001" customHeight="1"/>
    <row r="1001" ht="20.100000000000001" customHeight="1"/>
    <row r="1002" ht="20.100000000000001" customHeight="1"/>
    <row r="1003" ht="20.100000000000001" customHeight="1"/>
    <row r="1004" ht="20.100000000000001" customHeight="1"/>
    <row r="1005" ht="20.100000000000001" customHeight="1"/>
    <row r="1006" ht="20.100000000000001" customHeight="1"/>
    <row r="1007" ht="20.100000000000001" customHeight="1"/>
    <row r="1008" ht="20.100000000000001" customHeight="1"/>
    <row r="1009" ht="20.100000000000001" customHeight="1"/>
    <row r="1010" ht="20.100000000000001" customHeight="1"/>
    <row r="1011" ht="20.100000000000001" customHeight="1"/>
    <row r="1012" ht="20.100000000000001" customHeight="1"/>
    <row r="1013" ht="20.100000000000001" customHeight="1"/>
    <row r="1014" ht="20.100000000000001" customHeight="1"/>
    <row r="1015" ht="20.100000000000001" customHeight="1"/>
    <row r="1016" ht="20.100000000000001" customHeight="1"/>
    <row r="1017" ht="20.100000000000001" customHeight="1"/>
    <row r="1018" ht="20.100000000000001" customHeight="1"/>
    <row r="1019" ht="20.100000000000001" customHeight="1"/>
    <row r="1020" ht="20.100000000000001" customHeight="1"/>
    <row r="1021" ht="20.100000000000001" customHeight="1"/>
    <row r="1022" ht="20.100000000000001" customHeight="1"/>
    <row r="1023" ht="20.100000000000001" customHeight="1"/>
    <row r="1024" ht="20.100000000000001" customHeight="1"/>
    <row r="1025" ht="20.100000000000001" customHeight="1"/>
    <row r="1026" ht="20.100000000000001" customHeight="1"/>
    <row r="1027" ht="20.100000000000001" customHeight="1"/>
    <row r="1028" ht="20.100000000000001" customHeight="1"/>
    <row r="1029" ht="20.100000000000001" customHeight="1"/>
    <row r="1030" ht="20.100000000000001" customHeight="1"/>
    <row r="1031" ht="20.100000000000001" customHeight="1"/>
    <row r="1032" ht="20.100000000000001" customHeight="1"/>
    <row r="1033" ht="20.100000000000001" customHeight="1"/>
    <row r="1034" ht="20.100000000000001" customHeight="1"/>
    <row r="1035" ht="20.100000000000001" customHeight="1"/>
    <row r="1036" ht="20.100000000000001" customHeight="1"/>
    <row r="1037" ht="20.100000000000001" customHeight="1"/>
    <row r="1038" ht="20.100000000000001" customHeight="1"/>
    <row r="1039" ht="20.100000000000001" customHeight="1"/>
    <row r="1040" ht="20.100000000000001" customHeight="1"/>
    <row r="1041" ht="20.100000000000001" customHeight="1"/>
    <row r="1042" ht="20.100000000000001" customHeight="1"/>
    <row r="1043" ht="20.100000000000001" customHeight="1"/>
    <row r="1044" ht="20.100000000000001" customHeight="1"/>
    <row r="1045" ht="20.100000000000001" customHeight="1"/>
    <row r="1046" ht="20.100000000000001" customHeight="1"/>
    <row r="1047" ht="20.100000000000001" customHeight="1"/>
    <row r="1048" ht="20.100000000000001" customHeight="1"/>
    <row r="1049" ht="20.100000000000001" customHeight="1"/>
    <row r="1050" ht="20.100000000000001" customHeight="1"/>
    <row r="1051" ht="20.100000000000001" customHeight="1"/>
    <row r="1052" ht="20.100000000000001" customHeight="1"/>
    <row r="1053" ht="20.100000000000001" customHeight="1"/>
    <row r="1054" ht="20.100000000000001" customHeight="1"/>
    <row r="1055" ht="20.100000000000001" customHeight="1"/>
    <row r="1056" ht="20.100000000000001" customHeight="1"/>
    <row r="1057" ht="20.100000000000001" customHeight="1"/>
    <row r="1058" ht="20.100000000000001" customHeight="1"/>
    <row r="1059" ht="20.100000000000001" customHeight="1"/>
    <row r="1060" ht="20.100000000000001" customHeight="1"/>
    <row r="1061" ht="20.100000000000001" customHeight="1"/>
    <row r="1062" ht="20.100000000000001" customHeight="1"/>
    <row r="1063" ht="20.100000000000001" customHeight="1"/>
    <row r="1064" ht="20.100000000000001" customHeight="1"/>
    <row r="1065" ht="20.100000000000001" customHeight="1"/>
    <row r="1066" ht="20.100000000000001" customHeight="1"/>
    <row r="1067" ht="20.100000000000001" customHeight="1"/>
    <row r="1068" ht="20.100000000000001" customHeight="1"/>
    <row r="1069" ht="20.100000000000001" customHeight="1"/>
    <row r="1070" ht="20.100000000000001" customHeight="1"/>
    <row r="1071" ht="20.100000000000001" customHeight="1"/>
    <row r="1072" ht="20.100000000000001" customHeight="1"/>
    <row r="1073" ht="20.100000000000001" customHeight="1"/>
    <row r="1074" ht="20.100000000000001" customHeight="1"/>
    <row r="1075" ht="20.100000000000001" customHeight="1"/>
    <row r="1076" ht="20.100000000000001" customHeight="1"/>
    <row r="1077" ht="20.100000000000001" customHeight="1"/>
    <row r="1078" ht="20.100000000000001" customHeight="1"/>
    <row r="1079" ht="20.100000000000001" customHeight="1"/>
    <row r="1080" ht="20.100000000000001" customHeight="1"/>
    <row r="1081" ht="20.100000000000001" customHeight="1"/>
    <row r="1082" ht="20.100000000000001" customHeight="1"/>
    <row r="1083" ht="20.100000000000001" customHeight="1"/>
    <row r="1084" ht="20.100000000000001" customHeight="1"/>
    <row r="1085" ht="20.100000000000001" customHeight="1"/>
    <row r="1086" ht="20.100000000000001" customHeight="1"/>
    <row r="1087" ht="20.100000000000001" customHeight="1"/>
    <row r="1088" ht="20.100000000000001" customHeight="1"/>
    <row r="1089" ht="20.100000000000001" customHeight="1"/>
    <row r="1090" ht="20.100000000000001" customHeight="1"/>
    <row r="1091" ht="20.100000000000001" customHeight="1"/>
    <row r="1092" ht="20.100000000000001" customHeight="1"/>
    <row r="1093" ht="20.100000000000001" customHeight="1"/>
    <row r="1094" ht="20.100000000000001" customHeight="1"/>
    <row r="1095" ht="20.100000000000001" customHeight="1"/>
    <row r="1096" ht="20.100000000000001" customHeight="1"/>
    <row r="1097" ht="20.100000000000001" customHeight="1"/>
    <row r="1098" ht="20.100000000000001" customHeight="1"/>
    <row r="1099" ht="20.100000000000001" customHeight="1"/>
    <row r="1100" ht="20.100000000000001" customHeight="1"/>
    <row r="1101" ht="20.100000000000001" customHeight="1"/>
    <row r="1102" ht="20.100000000000001" customHeight="1"/>
    <row r="1103" ht="20.100000000000001" customHeight="1"/>
    <row r="1104" ht="20.100000000000001" customHeight="1"/>
    <row r="1105" ht="20.100000000000001" customHeight="1"/>
    <row r="1106" ht="20.100000000000001" customHeight="1"/>
    <row r="1107" ht="20.100000000000001" customHeight="1"/>
    <row r="1108" ht="20.100000000000001" customHeight="1"/>
    <row r="1109" ht="20.100000000000001" customHeight="1"/>
    <row r="1110" ht="20.100000000000001" customHeight="1"/>
    <row r="1111" ht="20.100000000000001" customHeight="1"/>
    <row r="1112" ht="20.100000000000001" customHeight="1"/>
    <row r="1113" ht="20.100000000000001" customHeight="1"/>
    <row r="1114" ht="20.100000000000001" customHeight="1"/>
    <row r="1115" ht="20.100000000000001" customHeight="1"/>
    <row r="1116" ht="20.100000000000001" customHeight="1"/>
    <row r="1117" ht="20.100000000000001" customHeight="1"/>
    <row r="1118" ht="20.100000000000001" customHeight="1"/>
    <row r="1119" ht="20.100000000000001" customHeight="1"/>
    <row r="1120" ht="20.100000000000001" customHeight="1"/>
    <row r="1121" ht="20.100000000000001" customHeight="1"/>
    <row r="1122" ht="20.100000000000001" customHeight="1"/>
    <row r="1123" ht="20.100000000000001" customHeight="1"/>
    <row r="1124" ht="20.100000000000001" customHeight="1"/>
    <row r="1125" ht="20.100000000000001" customHeight="1"/>
    <row r="1126" ht="20.100000000000001" customHeight="1"/>
    <row r="1127" ht="20.100000000000001" customHeight="1"/>
    <row r="1128" ht="20.100000000000001" customHeight="1"/>
    <row r="1129" ht="20.100000000000001" customHeight="1"/>
    <row r="1130" ht="20.100000000000001" customHeight="1"/>
    <row r="1131" ht="20.100000000000001" customHeight="1"/>
    <row r="1132" ht="20.100000000000001" customHeight="1"/>
    <row r="1133" ht="20.100000000000001" customHeight="1"/>
    <row r="1134" ht="20.100000000000001" customHeight="1"/>
    <row r="1135" ht="20.100000000000001" customHeight="1"/>
    <row r="1136" ht="20.100000000000001" customHeight="1"/>
    <row r="1137" ht="20.100000000000001" customHeight="1"/>
    <row r="1138" ht="20.100000000000001" customHeight="1"/>
    <row r="1139" ht="20.100000000000001" customHeight="1"/>
    <row r="1140" ht="20.100000000000001" customHeight="1"/>
    <row r="1141" ht="20.100000000000001" customHeight="1"/>
    <row r="1142" ht="20.100000000000001" customHeight="1"/>
    <row r="1143" ht="20.100000000000001" customHeight="1"/>
    <row r="1144" ht="20.100000000000001" customHeight="1"/>
    <row r="1145" ht="20.100000000000001" customHeight="1"/>
    <row r="1146" ht="20.100000000000001" customHeight="1"/>
    <row r="1147" ht="20.100000000000001" customHeight="1"/>
    <row r="1148" ht="20.100000000000001" customHeight="1"/>
    <row r="1149" ht="20.100000000000001" customHeight="1"/>
    <row r="1150" ht="20.100000000000001" customHeight="1"/>
    <row r="1151" ht="20.100000000000001" customHeight="1"/>
    <row r="1152" ht="20.100000000000001" customHeight="1"/>
    <row r="1153" ht="20.100000000000001" customHeight="1"/>
    <row r="1154" ht="20.100000000000001" customHeight="1"/>
    <row r="1155" ht="20.100000000000001" customHeight="1"/>
    <row r="1156" ht="20.100000000000001" customHeight="1"/>
    <row r="1157" ht="20.100000000000001" customHeight="1"/>
    <row r="1158" ht="20.100000000000001" customHeight="1"/>
    <row r="1159" ht="20.100000000000001" customHeight="1"/>
    <row r="1160" ht="20.100000000000001" customHeight="1"/>
    <row r="1161" ht="20.100000000000001" customHeight="1"/>
    <row r="1162" ht="20.100000000000001" customHeight="1"/>
    <row r="1163" ht="20.100000000000001" customHeight="1"/>
    <row r="1164" ht="20.100000000000001" customHeight="1"/>
    <row r="1165" ht="20.100000000000001" customHeight="1"/>
    <row r="1166" ht="20.100000000000001" customHeight="1"/>
    <row r="1167" ht="20.100000000000001" customHeight="1"/>
    <row r="1168" ht="20.100000000000001" customHeight="1"/>
    <row r="1169" ht="20.100000000000001" customHeight="1"/>
    <row r="1170" ht="20.100000000000001" customHeight="1"/>
    <row r="1171" ht="20.100000000000001" customHeight="1"/>
    <row r="1172" ht="20.100000000000001" customHeight="1"/>
    <row r="1173" ht="20.100000000000001" customHeight="1"/>
    <row r="1174" ht="20.100000000000001" customHeight="1"/>
    <row r="1175" ht="20.100000000000001" customHeight="1"/>
    <row r="1176" ht="20.100000000000001" customHeight="1"/>
    <row r="1177" ht="20.100000000000001" customHeight="1"/>
    <row r="1178" ht="20.100000000000001" customHeight="1"/>
    <row r="1179" ht="20.100000000000001" customHeight="1"/>
    <row r="1180" ht="20.100000000000001" customHeight="1"/>
    <row r="1181" ht="20.100000000000001" customHeight="1"/>
    <row r="1182" ht="20.100000000000001" customHeight="1"/>
    <row r="1183" ht="20.100000000000001" customHeight="1"/>
    <row r="1184" ht="20.100000000000001" customHeight="1"/>
    <row r="1185" ht="20.100000000000001" customHeight="1"/>
    <row r="1186" ht="20.100000000000001" customHeight="1"/>
    <row r="1187" ht="20.100000000000001" customHeight="1"/>
    <row r="1188" ht="20.100000000000001" customHeight="1"/>
    <row r="1189" ht="20.100000000000001" customHeight="1"/>
    <row r="1190" ht="20.100000000000001" customHeight="1"/>
    <row r="1191" ht="20.100000000000001" customHeight="1"/>
    <row r="1192" ht="20.100000000000001" customHeight="1"/>
    <row r="1193" ht="20.100000000000001" customHeight="1"/>
    <row r="1194" ht="20.100000000000001" customHeight="1"/>
    <row r="1195" ht="20.100000000000001" customHeight="1"/>
    <row r="1196" ht="20.100000000000001" customHeight="1"/>
    <row r="1197" ht="20.100000000000001" customHeight="1"/>
    <row r="1198" ht="20.100000000000001" customHeight="1"/>
    <row r="1199" ht="20.100000000000001" customHeight="1"/>
    <row r="1200" ht="20.100000000000001" customHeight="1"/>
    <row r="1201" ht="20.100000000000001" customHeight="1"/>
    <row r="1202" ht="20.100000000000001" customHeight="1"/>
    <row r="1203" ht="20.100000000000001" customHeight="1"/>
    <row r="1204" ht="20.100000000000001" customHeight="1"/>
    <row r="1205" ht="20.100000000000001" customHeight="1"/>
    <row r="1206" ht="20.100000000000001" customHeight="1"/>
    <row r="1207" ht="20.100000000000001" customHeight="1"/>
    <row r="1208" ht="20.100000000000001" customHeight="1"/>
    <row r="1209" ht="20.100000000000001" customHeight="1"/>
    <row r="1210" ht="20.100000000000001" customHeight="1"/>
    <row r="1211" ht="20.100000000000001" customHeight="1"/>
    <row r="1212" ht="20.100000000000001" customHeight="1"/>
    <row r="1213" ht="20.100000000000001" customHeight="1"/>
    <row r="1214" ht="20.100000000000001" customHeight="1"/>
    <row r="1215" ht="20.100000000000001" customHeight="1"/>
    <row r="1216" ht="20.100000000000001" customHeight="1"/>
    <row r="1217" ht="20.100000000000001" customHeight="1"/>
    <row r="1218" ht="20.100000000000001" customHeight="1"/>
    <row r="1219" ht="20.100000000000001" customHeight="1"/>
    <row r="1220" ht="20.100000000000001" customHeight="1"/>
    <row r="1221" ht="20.100000000000001" customHeight="1"/>
    <row r="1222" ht="20.100000000000001" customHeight="1"/>
    <row r="1223" ht="20.100000000000001" customHeight="1"/>
    <row r="1224" ht="20.100000000000001" customHeight="1"/>
    <row r="1225" ht="20.100000000000001" customHeight="1"/>
    <row r="1226" ht="20.100000000000001" customHeight="1"/>
    <row r="1227" ht="20.100000000000001" customHeight="1"/>
    <row r="1228" ht="20.100000000000001" customHeight="1"/>
    <row r="1229" ht="20.100000000000001" customHeight="1"/>
    <row r="1230" ht="20.100000000000001" customHeight="1"/>
    <row r="1231" ht="20.100000000000001" customHeight="1"/>
    <row r="1232" ht="20.100000000000001" customHeight="1"/>
    <row r="1233" ht="20.100000000000001" customHeight="1"/>
    <row r="1234" ht="20.100000000000001" customHeight="1"/>
    <row r="1235" ht="20.100000000000001" customHeight="1"/>
    <row r="1236" ht="20.100000000000001" customHeight="1"/>
    <row r="1237" ht="20.100000000000001" customHeight="1"/>
    <row r="1238" ht="20.100000000000001" customHeight="1"/>
    <row r="1239" ht="20.100000000000001" customHeight="1"/>
    <row r="1240" ht="20.100000000000001" customHeight="1"/>
    <row r="1241" ht="20.100000000000001" customHeight="1"/>
    <row r="1242" ht="20.100000000000001" customHeight="1"/>
    <row r="1243" ht="20.100000000000001" customHeight="1"/>
    <row r="1244" ht="20.100000000000001" customHeight="1"/>
    <row r="1245" ht="20.100000000000001" customHeight="1"/>
    <row r="1246" ht="20.100000000000001" customHeight="1"/>
    <row r="1247" ht="20.100000000000001" customHeight="1"/>
    <row r="1248" ht="20.100000000000001" customHeight="1"/>
    <row r="1249" ht="20.100000000000001" customHeight="1"/>
    <row r="1250" ht="20.100000000000001" customHeight="1"/>
    <row r="1251" ht="20.100000000000001" customHeight="1"/>
    <row r="1252" ht="20.100000000000001" customHeight="1"/>
    <row r="1253" ht="20.100000000000001" customHeight="1"/>
    <row r="1254" ht="20.100000000000001" customHeight="1"/>
    <row r="1255" ht="20.100000000000001" customHeight="1"/>
    <row r="1256" ht="20.100000000000001" customHeight="1"/>
    <row r="1257" ht="20.100000000000001" customHeight="1"/>
    <row r="1258" ht="20.100000000000001" customHeight="1"/>
    <row r="1259" ht="20.100000000000001" customHeight="1"/>
    <row r="1260" ht="20.100000000000001" customHeight="1"/>
    <row r="1261" ht="20.100000000000001" customHeight="1"/>
    <row r="1262" ht="20.100000000000001" customHeight="1"/>
    <row r="1263" ht="20.100000000000001" customHeight="1"/>
    <row r="1264" ht="20.100000000000001" customHeight="1"/>
    <row r="1265" ht="20.100000000000001" customHeight="1"/>
    <row r="1266" ht="20.100000000000001" customHeight="1"/>
    <row r="1267" ht="20.100000000000001" customHeight="1"/>
    <row r="1268" ht="20.100000000000001" customHeight="1"/>
    <row r="1269" ht="20.100000000000001" customHeight="1"/>
    <row r="1270" ht="20.100000000000001" customHeight="1"/>
    <row r="1271" ht="20.100000000000001" customHeight="1"/>
    <row r="1272" ht="20.100000000000001" customHeight="1"/>
    <row r="1273" ht="20.100000000000001" customHeight="1"/>
    <row r="1274" ht="20.100000000000001" customHeight="1"/>
    <row r="1275" ht="20.100000000000001" customHeight="1"/>
    <row r="1276" ht="20.100000000000001" customHeight="1"/>
    <row r="1277" ht="20.100000000000001" customHeight="1"/>
    <row r="1278" ht="20.100000000000001" customHeight="1"/>
    <row r="1279" ht="20.100000000000001" customHeight="1"/>
    <row r="1280" ht="20.100000000000001" customHeight="1"/>
    <row r="1281" ht="20.100000000000001" customHeight="1"/>
    <row r="1282" ht="20.100000000000001" customHeight="1"/>
    <row r="1283" ht="20.100000000000001" customHeight="1"/>
    <row r="1284" ht="20.100000000000001" customHeight="1"/>
    <row r="1285" ht="20.100000000000001" customHeight="1"/>
    <row r="1286" ht="20.100000000000001" customHeight="1"/>
    <row r="1287" ht="20.100000000000001" customHeight="1"/>
    <row r="1288" ht="20.100000000000001" customHeight="1"/>
    <row r="1289" ht="20.100000000000001" customHeight="1"/>
    <row r="1290" ht="20.100000000000001" customHeight="1"/>
    <row r="1291" ht="20.100000000000001" customHeight="1"/>
    <row r="1292" ht="20.100000000000001" customHeight="1"/>
    <row r="1293" ht="20.100000000000001" customHeight="1"/>
    <row r="1294" ht="20.100000000000001" customHeight="1"/>
    <row r="1295" ht="20.100000000000001" customHeight="1"/>
    <row r="1296" ht="20.100000000000001" customHeight="1"/>
    <row r="1297" ht="20.100000000000001" customHeight="1"/>
    <row r="1298" ht="20.100000000000001" customHeight="1"/>
    <row r="1299" ht="20.100000000000001" customHeight="1"/>
    <row r="1300" ht="20.100000000000001" customHeight="1"/>
    <row r="1301" ht="20.100000000000001" customHeight="1"/>
    <row r="1302" ht="20.100000000000001" customHeight="1"/>
    <row r="1303" ht="20.100000000000001" customHeight="1"/>
    <row r="1304" ht="20.100000000000001" customHeight="1"/>
    <row r="1305" ht="20.100000000000001" customHeight="1"/>
    <row r="1306" ht="20.100000000000001" customHeight="1"/>
    <row r="1307" ht="20.100000000000001" customHeight="1"/>
    <row r="1308" ht="20.100000000000001" customHeight="1"/>
    <row r="1309" ht="20.100000000000001" customHeight="1"/>
    <row r="1310" ht="20.100000000000001" customHeight="1"/>
    <row r="1311" ht="20.100000000000001" customHeight="1"/>
    <row r="1312" ht="20.100000000000001" customHeight="1"/>
    <row r="1313" ht="20.100000000000001" customHeight="1"/>
    <row r="1314" ht="20.100000000000001" customHeight="1"/>
    <row r="1315" ht="20.100000000000001" customHeight="1"/>
    <row r="1316" ht="20.100000000000001" customHeight="1"/>
    <row r="1317" ht="20.100000000000001" customHeight="1"/>
    <row r="1318" ht="20.100000000000001" customHeight="1"/>
    <row r="1319" ht="20.100000000000001" customHeight="1"/>
    <row r="1320" ht="20.100000000000001" customHeight="1"/>
    <row r="1321" ht="20.100000000000001" customHeight="1"/>
    <row r="1322" ht="20.100000000000001" customHeight="1"/>
    <row r="1323" ht="20.100000000000001" customHeight="1"/>
    <row r="1324" ht="20.100000000000001" customHeight="1"/>
    <row r="1325" ht="20.100000000000001" customHeight="1"/>
    <row r="1326" ht="20.100000000000001" customHeight="1"/>
    <row r="1327" ht="20.100000000000001" customHeight="1"/>
    <row r="1328" ht="20.100000000000001" customHeight="1"/>
    <row r="1329" ht="20.100000000000001" customHeight="1"/>
    <row r="1330" ht="20.100000000000001" customHeight="1"/>
    <row r="1331" ht="20.100000000000001" customHeight="1"/>
    <row r="1332" ht="20.100000000000001" customHeight="1"/>
    <row r="1333" ht="20.100000000000001" customHeight="1"/>
    <row r="1334" ht="20.100000000000001" customHeight="1"/>
    <row r="1335" ht="20.100000000000001" customHeight="1"/>
    <row r="1336" ht="20.100000000000001" customHeight="1"/>
    <row r="1337" ht="20.100000000000001" customHeight="1"/>
    <row r="1338" ht="20.100000000000001" customHeight="1"/>
    <row r="1339" ht="20.100000000000001" customHeight="1"/>
    <row r="1340" ht="20.100000000000001" customHeight="1"/>
    <row r="1341" ht="20.100000000000001" customHeight="1"/>
    <row r="1342" ht="20.100000000000001" customHeight="1"/>
    <row r="1343" ht="20.100000000000001" customHeight="1"/>
    <row r="1344" ht="20.100000000000001" customHeight="1"/>
    <row r="1345" ht="20.100000000000001" customHeight="1"/>
    <row r="1346" ht="20.100000000000001" customHeight="1"/>
    <row r="1347" ht="20.100000000000001" customHeight="1"/>
    <row r="1348" ht="20.100000000000001" customHeight="1"/>
    <row r="1349" ht="20.100000000000001" customHeight="1"/>
    <row r="1350" ht="20.100000000000001" customHeight="1"/>
    <row r="1351" ht="20.100000000000001" customHeight="1"/>
    <row r="1352" ht="20.100000000000001" customHeight="1"/>
    <row r="1353" ht="20.100000000000001" customHeight="1"/>
    <row r="1354" ht="20.100000000000001" customHeight="1"/>
    <row r="1355" ht="20.100000000000001" customHeight="1"/>
    <row r="1356" ht="20.100000000000001" customHeight="1"/>
    <row r="1357" ht="20.100000000000001" customHeight="1"/>
    <row r="1358" ht="20.100000000000001" customHeight="1"/>
    <row r="1359" ht="20.100000000000001" customHeight="1"/>
    <row r="1360" ht="20.100000000000001" customHeight="1"/>
    <row r="1361" ht="20.100000000000001" customHeight="1"/>
    <row r="1362" ht="20.100000000000001" customHeight="1"/>
    <row r="1363" ht="20.100000000000001" customHeight="1"/>
    <row r="1364" ht="20.100000000000001" customHeight="1"/>
    <row r="1365" ht="20.100000000000001" customHeight="1"/>
    <row r="1366" ht="20.100000000000001" customHeight="1"/>
    <row r="1367" ht="20.100000000000001" customHeight="1"/>
    <row r="1368" ht="20.100000000000001" customHeight="1"/>
    <row r="1369" ht="20.100000000000001" customHeight="1"/>
    <row r="1370" ht="20.100000000000001" customHeight="1"/>
    <row r="1371" ht="20.100000000000001" customHeight="1"/>
    <row r="1372" ht="20.100000000000001" customHeight="1"/>
    <row r="1373" ht="20.100000000000001" customHeight="1"/>
    <row r="1374" ht="20.100000000000001" customHeight="1"/>
    <row r="1375" ht="20.100000000000001" customHeight="1"/>
    <row r="1376" ht="20.100000000000001" customHeight="1"/>
    <row r="1377" ht="20.100000000000001" customHeight="1"/>
    <row r="1378" ht="20.100000000000001" customHeight="1"/>
    <row r="1379" ht="20.100000000000001" customHeight="1"/>
    <row r="1380" ht="20.100000000000001" customHeight="1"/>
    <row r="1381" ht="20.100000000000001" customHeight="1"/>
    <row r="1382" ht="20.100000000000001" customHeight="1"/>
    <row r="1383" ht="20.100000000000001" customHeight="1"/>
    <row r="1384" ht="20.100000000000001" customHeight="1"/>
    <row r="1385" ht="20.100000000000001" customHeight="1"/>
    <row r="1386" ht="20.100000000000001" customHeight="1"/>
    <row r="1387" ht="20.100000000000001" customHeight="1"/>
    <row r="1388" ht="20.100000000000001" customHeight="1"/>
    <row r="1389" ht="20.100000000000001" customHeight="1"/>
    <row r="1390" ht="20.100000000000001" customHeight="1"/>
    <row r="1391" ht="20.100000000000001" customHeight="1"/>
    <row r="1392" ht="20.100000000000001" customHeight="1"/>
    <row r="1393" ht="20.100000000000001" customHeight="1"/>
    <row r="1394" ht="20.100000000000001" customHeight="1"/>
    <row r="1395" ht="20.100000000000001" customHeight="1"/>
    <row r="1396" ht="20.100000000000001" customHeight="1"/>
    <row r="1397" ht="20.100000000000001" customHeight="1"/>
    <row r="1398" ht="20.100000000000001" customHeight="1"/>
    <row r="1399" ht="20.100000000000001" customHeight="1"/>
    <row r="1400" ht="20.100000000000001" customHeight="1"/>
    <row r="1401" ht="20.100000000000001" customHeight="1"/>
    <row r="1402" ht="20.100000000000001" customHeight="1"/>
    <row r="1403" ht="20.100000000000001" customHeight="1"/>
    <row r="1404" ht="20.100000000000001" customHeight="1"/>
    <row r="1405" ht="20.100000000000001" customHeight="1"/>
    <row r="1406" ht="20.100000000000001" customHeight="1"/>
    <row r="1407" ht="20.100000000000001" customHeight="1"/>
    <row r="1408" ht="20.100000000000001" customHeight="1"/>
    <row r="1409" ht="20.100000000000001" customHeight="1"/>
    <row r="1410" ht="20.100000000000001" customHeight="1"/>
    <row r="1411" ht="20.100000000000001" customHeight="1"/>
    <row r="1412" ht="20.100000000000001" customHeight="1"/>
    <row r="1413" ht="20.100000000000001" customHeight="1"/>
    <row r="1414" ht="20.100000000000001" customHeight="1"/>
    <row r="1415" ht="20.100000000000001" customHeight="1"/>
    <row r="1416" ht="20.100000000000001" customHeight="1"/>
    <row r="1417" ht="20.100000000000001" customHeight="1"/>
    <row r="1418" ht="20.100000000000001" customHeight="1"/>
    <row r="1419" ht="20.100000000000001" customHeight="1"/>
    <row r="1420" ht="20.100000000000001" customHeight="1"/>
    <row r="1421" ht="20.100000000000001" customHeight="1"/>
    <row r="1422" ht="20.100000000000001" customHeight="1"/>
    <row r="1423" ht="20.100000000000001" customHeight="1"/>
    <row r="1424" ht="20.100000000000001" customHeight="1"/>
    <row r="1425" ht="20.100000000000001" customHeight="1"/>
    <row r="1426" ht="20.100000000000001" customHeight="1"/>
    <row r="1427" ht="20.100000000000001" customHeight="1"/>
    <row r="1428" ht="20.100000000000001" customHeight="1"/>
    <row r="1429" ht="20.100000000000001" customHeight="1"/>
    <row r="1430" ht="20.100000000000001" customHeight="1"/>
    <row r="1431" ht="20.100000000000001" customHeight="1"/>
    <row r="1432" ht="20.100000000000001" customHeight="1"/>
    <row r="1433" ht="20.100000000000001" customHeight="1"/>
    <row r="1434" ht="20.100000000000001" customHeight="1"/>
    <row r="1435" ht="20.100000000000001" customHeight="1"/>
    <row r="1436" ht="20.100000000000001" customHeight="1"/>
    <row r="1437" ht="20.100000000000001" customHeight="1"/>
    <row r="1438" ht="20.100000000000001" customHeight="1"/>
    <row r="1439" ht="20.100000000000001" customHeight="1"/>
    <row r="1440" ht="20.100000000000001" customHeight="1"/>
    <row r="1441" ht="20.100000000000001" customHeight="1"/>
    <row r="1442" ht="20.100000000000001" customHeight="1"/>
    <row r="1443" ht="20.100000000000001" customHeight="1"/>
    <row r="1444" ht="20.100000000000001" customHeight="1"/>
    <row r="1445" ht="20.100000000000001" customHeight="1"/>
    <row r="1446" ht="20.100000000000001" customHeight="1"/>
    <row r="1447" ht="20.100000000000001" customHeight="1"/>
    <row r="1448" ht="20.100000000000001" customHeight="1"/>
    <row r="1449" ht="20.100000000000001" customHeight="1"/>
    <row r="1450" ht="20.100000000000001" customHeight="1"/>
    <row r="1451" ht="20.100000000000001" customHeight="1"/>
    <row r="1452" ht="20.100000000000001" customHeight="1"/>
    <row r="1453" ht="20.100000000000001" customHeight="1"/>
    <row r="1454" ht="20.100000000000001" customHeight="1"/>
    <row r="1455" ht="20.100000000000001" customHeight="1"/>
    <row r="1456" ht="20.100000000000001" customHeight="1"/>
    <row r="1457" ht="20.100000000000001" customHeight="1"/>
    <row r="1458" ht="20.100000000000001" customHeight="1"/>
    <row r="1459" ht="20.100000000000001" customHeight="1"/>
    <row r="1460" ht="20.100000000000001" customHeight="1"/>
    <row r="1461" ht="20.100000000000001" customHeight="1"/>
    <row r="1462" ht="20.100000000000001" customHeight="1"/>
    <row r="1463" ht="20.100000000000001" customHeight="1"/>
    <row r="1464" ht="20.100000000000001" customHeight="1"/>
    <row r="1465" ht="20.100000000000001" customHeight="1"/>
    <row r="1466" ht="20.100000000000001" customHeight="1"/>
    <row r="1467" ht="20.100000000000001" customHeight="1"/>
    <row r="1468" ht="20.100000000000001" customHeight="1"/>
    <row r="1469" ht="20.100000000000001" customHeight="1"/>
    <row r="1470" ht="20.100000000000001" customHeight="1"/>
    <row r="1471" ht="20.100000000000001" customHeight="1"/>
    <row r="1472" ht="20.100000000000001" customHeight="1"/>
    <row r="1473" ht="20.100000000000001" customHeight="1"/>
    <row r="1474" ht="20.100000000000001" customHeight="1"/>
    <row r="1475" ht="20.100000000000001" customHeight="1"/>
    <row r="1476" ht="20.100000000000001" customHeight="1"/>
    <row r="1477" ht="20.100000000000001" customHeight="1"/>
    <row r="1478" ht="20.100000000000001" customHeight="1"/>
    <row r="1479" ht="20.100000000000001" customHeight="1"/>
    <row r="1480" ht="20.100000000000001" customHeight="1"/>
    <row r="1481" ht="20.100000000000001" customHeight="1"/>
    <row r="1482" ht="20.100000000000001" customHeight="1"/>
    <row r="1483" ht="20.100000000000001" customHeight="1"/>
    <row r="1484" ht="20.100000000000001" customHeight="1"/>
    <row r="1485" ht="20.100000000000001" customHeight="1"/>
    <row r="1486" ht="20.100000000000001" customHeight="1"/>
    <row r="1487" ht="20.100000000000001" customHeight="1"/>
    <row r="1488" ht="20.100000000000001" customHeight="1"/>
    <row r="1489" ht="20.100000000000001" customHeight="1"/>
    <row r="1490" ht="20.100000000000001" customHeight="1"/>
    <row r="1491" ht="20.100000000000001" customHeight="1"/>
    <row r="1492" ht="20.100000000000001" customHeight="1"/>
    <row r="1493" ht="20.100000000000001" customHeight="1"/>
    <row r="1494" ht="20.100000000000001" customHeight="1"/>
    <row r="1495" ht="20.100000000000001" customHeight="1"/>
    <row r="1496" ht="20.100000000000001" customHeight="1"/>
    <row r="1497" ht="20.100000000000001" customHeight="1"/>
    <row r="1498" ht="20.100000000000001" customHeight="1"/>
    <row r="1499" ht="20.100000000000001" customHeight="1"/>
    <row r="1500" ht="20.100000000000001" customHeight="1"/>
    <row r="1501" ht="20.100000000000001" customHeight="1"/>
    <row r="1502" ht="20.100000000000001" customHeight="1"/>
    <row r="1503" ht="20.100000000000001" customHeight="1"/>
    <row r="1504" ht="20.100000000000001" customHeight="1"/>
    <row r="1505" ht="20.100000000000001" customHeight="1"/>
    <row r="1506" ht="20.100000000000001" customHeight="1"/>
    <row r="1507" ht="20.100000000000001" customHeight="1"/>
    <row r="1508" ht="20.100000000000001" customHeight="1"/>
    <row r="1509" ht="20.100000000000001" customHeight="1"/>
    <row r="1510" ht="20.100000000000001" customHeight="1"/>
    <row r="1511" ht="20.100000000000001" customHeight="1"/>
    <row r="1512" ht="20.100000000000001" customHeight="1"/>
    <row r="1513" ht="20.100000000000001" customHeight="1"/>
    <row r="1514" ht="20.100000000000001" customHeight="1"/>
    <row r="1515" ht="20.100000000000001" customHeight="1"/>
    <row r="1516" ht="20.100000000000001" customHeight="1"/>
    <row r="1517" ht="20.100000000000001" customHeight="1"/>
    <row r="1518" ht="20.100000000000001" customHeight="1"/>
    <row r="1519" ht="20.100000000000001" customHeight="1"/>
    <row r="1520" ht="20.100000000000001" customHeight="1"/>
    <row r="1521" ht="20.100000000000001" customHeight="1"/>
    <row r="1522" ht="20.100000000000001" customHeight="1"/>
    <row r="1523" ht="20.100000000000001" customHeight="1"/>
    <row r="1524" ht="20.100000000000001" customHeight="1"/>
    <row r="1525" ht="20.100000000000001" customHeight="1"/>
    <row r="1526" ht="20.100000000000001" customHeight="1"/>
    <row r="1527" ht="20.100000000000001" customHeight="1"/>
    <row r="1528" ht="20.100000000000001" customHeight="1"/>
    <row r="1529" ht="20.100000000000001" customHeight="1"/>
    <row r="1530" ht="20.100000000000001" customHeight="1"/>
    <row r="1531" ht="20.100000000000001" customHeight="1"/>
    <row r="1532" ht="20.100000000000001" customHeight="1"/>
    <row r="1533" ht="20.100000000000001" customHeight="1"/>
    <row r="1534" ht="20.100000000000001" customHeight="1"/>
    <row r="1535" ht="20.100000000000001" customHeight="1"/>
    <row r="1536" ht="20.100000000000001" customHeight="1"/>
    <row r="1537" ht="20.100000000000001" customHeight="1"/>
    <row r="1538" ht="20.100000000000001" customHeight="1"/>
    <row r="1539" ht="20.100000000000001" customHeight="1"/>
    <row r="1540" ht="20.100000000000001" customHeight="1"/>
    <row r="1541" ht="20.100000000000001" customHeight="1"/>
    <row r="1542" ht="20.100000000000001" customHeight="1"/>
    <row r="1543" ht="20.100000000000001" customHeight="1"/>
    <row r="1544" ht="20.100000000000001" customHeight="1"/>
    <row r="1545" ht="20.100000000000001" customHeight="1"/>
    <row r="1546" ht="20.100000000000001" customHeight="1"/>
    <row r="1547" ht="20.100000000000001" customHeight="1"/>
    <row r="1548" ht="20.100000000000001" customHeight="1"/>
    <row r="1549" ht="20.100000000000001" customHeight="1"/>
    <row r="1550" ht="20.100000000000001" customHeight="1"/>
    <row r="1551" ht="20.100000000000001" customHeight="1"/>
    <row r="1552" ht="20.100000000000001" customHeight="1"/>
    <row r="1553" ht="20.100000000000001" customHeight="1"/>
    <row r="1554" ht="20.100000000000001" customHeight="1"/>
    <row r="1555" ht="20.100000000000001" customHeight="1"/>
    <row r="1556" ht="20.100000000000001" customHeight="1"/>
    <row r="1557" ht="20.100000000000001" customHeight="1"/>
    <row r="1558" ht="20.100000000000001" customHeight="1"/>
    <row r="1559" ht="20.100000000000001" customHeight="1"/>
    <row r="1560" ht="20.100000000000001" customHeight="1"/>
    <row r="1561" ht="20.100000000000001" customHeight="1"/>
    <row r="1562" ht="20.100000000000001" customHeight="1"/>
    <row r="1563" ht="20.100000000000001" customHeight="1"/>
    <row r="1564" ht="20.100000000000001" customHeight="1"/>
    <row r="1565" ht="20.100000000000001" customHeight="1"/>
    <row r="1566" ht="20.100000000000001" customHeight="1"/>
    <row r="1567" ht="20.100000000000001" customHeight="1"/>
    <row r="1568" ht="20.100000000000001" customHeight="1"/>
    <row r="1569" ht="20.100000000000001" customHeight="1"/>
    <row r="1570" ht="20.100000000000001" customHeight="1"/>
    <row r="1571" ht="20.100000000000001" customHeight="1"/>
    <row r="1572" ht="20.100000000000001" customHeight="1"/>
    <row r="1573" ht="20.100000000000001" customHeight="1"/>
    <row r="1574" ht="20.100000000000001" customHeight="1"/>
    <row r="1575" ht="20.100000000000001" customHeight="1"/>
    <row r="1576" ht="20.100000000000001" customHeight="1"/>
    <row r="1577" ht="20.100000000000001" customHeight="1"/>
    <row r="1578" ht="20.100000000000001" customHeight="1"/>
    <row r="1579" ht="20.100000000000001" customHeight="1"/>
    <row r="1580" ht="20.100000000000001" customHeight="1"/>
    <row r="1581" ht="20.100000000000001" customHeight="1"/>
    <row r="1582" ht="20.100000000000001" customHeight="1"/>
    <row r="1583" ht="20.100000000000001" customHeight="1"/>
    <row r="1584" ht="20.100000000000001" customHeight="1"/>
    <row r="1585" ht="20.100000000000001" customHeight="1"/>
    <row r="1586" ht="20.100000000000001" customHeight="1"/>
    <row r="1587" ht="20.100000000000001" customHeight="1"/>
    <row r="1588" ht="20.100000000000001" customHeight="1"/>
    <row r="1589" ht="20.100000000000001" customHeight="1"/>
    <row r="1590" ht="20.100000000000001" customHeight="1"/>
    <row r="1591" ht="20.100000000000001" customHeight="1"/>
    <row r="1592" ht="20.100000000000001" customHeight="1"/>
    <row r="1593" ht="20.100000000000001" customHeight="1"/>
    <row r="1594" ht="20.100000000000001" customHeight="1"/>
    <row r="1595" ht="20.100000000000001" customHeight="1"/>
    <row r="1596" ht="20.100000000000001" customHeight="1"/>
    <row r="1597" ht="20.100000000000001" customHeight="1"/>
    <row r="1598" ht="20.100000000000001" customHeight="1"/>
    <row r="1599" ht="20.100000000000001" customHeight="1"/>
    <row r="1600" ht="20.100000000000001" customHeight="1"/>
    <row r="1601" ht="20.100000000000001" customHeight="1"/>
    <row r="1602" ht="20.100000000000001" customHeight="1"/>
    <row r="1603" ht="20.100000000000001" customHeight="1"/>
    <row r="1604" ht="20.100000000000001" customHeight="1"/>
    <row r="1605" ht="20.100000000000001" customHeight="1"/>
    <row r="1606" ht="20.100000000000001" customHeight="1"/>
    <row r="1607" ht="20.100000000000001" customHeight="1"/>
    <row r="1608" ht="20.100000000000001" customHeight="1"/>
    <row r="1609" ht="20.100000000000001" customHeight="1"/>
    <row r="1610" ht="20.100000000000001" customHeight="1"/>
    <row r="1611" ht="20.100000000000001" customHeight="1"/>
    <row r="1612" ht="20.100000000000001" customHeight="1"/>
    <row r="1613" ht="20.100000000000001" customHeight="1"/>
    <row r="1614" ht="20.100000000000001" customHeight="1"/>
    <row r="1615" ht="20.100000000000001" customHeight="1"/>
    <row r="1616" ht="20.100000000000001" customHeight="1"/>
    <row r="1617" ht="20.100000000000001" customHeight="1"/>
    <row r="1618" ht="20.100000000000001" customHeight="1"/>
    <row r="1619" ht="20.100000000000001" customHeight="1"/>
    <row r="1620" ht="20.100000000000001" customHeight="1"/>
    <row r="1621" ht="20.100000000000001" customHeight="1"/>
    <row r="1622" ht="20.100000000000001" customHeight="1"/>
    <row r="1623" ht="20.100000000000001" customHeight="1"/>
    <row r="1624" ht="20.100000000000001" customHeight="1"/>
    <row r="1625" ht="20.100000000000001" customHeight="1"/>
    <row r="1626" ht="20.100000000000001" customHeight="1"/>
    <row r="1627" ht="20.100000000000001" customHeight="1"/>
    <row r="1628" ht="20.100000000000001" customHeight="1"/>
    <row r="1629" ht="20.100000000000001" customHeight="1"/>
    <row r="1630" ht="20.100000000000001" customHeight="1"/>
    <row r="1631" ht="20.100000000000001" customHeight="1"/>
    <row r="1632" ht="20.100000000000001" customHeight="1"/>
    <row r="1633" ht="20.100000000000001" customHeight="1"/>
    <row r="1634" ht="20.100000000000001" customHeight="1"/>
    <row r="1635" ht="20.100000000000001" customHeight="1"/>
    <row r="1636" ht="20.100000000000001" customHeight="1"/>
    <row r="1637" ht="20.100000000000001" customHeight="1"/>
    <row r="1638" ht="20.100000000000001" customHeight="1"/>
    <row r="1639" ht="20.100000000000001" customHeight="1"/>
    <row r="1640" ht="20.100000000000001" customHeight="1"/>
    <row r="1641" ht="20.100000000000001" customHeight="1"/>
    <row r="1642" ht="20.100000000000001" customHeight="1"/>
    <row r="1643" ht="20.100000000000001" customHeight="1"/>
    <row r="1644" ht="20.100000000000001" customHeight="1"/>
    <row r="1645" ht="20.100000000000001" customHeight="1"/>
    <row r="1646" ht="20.100000000000001" customHeight="1"/>
    <row r="1647" ht="20.100000000000001" customHeight="1"/>
    <row r="1648" ht="20.100000000000001" customHeight="1"/>
    <row r="1649" ht="20.100000000000001" customHeight="1"/>
    <row r="1650" ht="20.100000000000001" customHeight="1"/>
    <row r="1651" ht="20.100000000000001" customHeight="1"/>
    <row r="1652" ht="20.100000000000001" customHeight="1"/>
    <row r="1653" ht="20.100000000000001" customHeight="1"/>
    <row r="1654" ht="20.100000000000001" customHeight="1"/>
    <row r="1655" ht="20.100000000000001" customHeight="1"/>
    <row r="1656" ht="20.100000000000001" customHeight="1"/>
    <row r="1657" ht="20.100000000000001" customHeight="1"/>
    <row r="1658" ht="20.100000000000001" customHeight="1"/>
    <row r="1659" ht="20.100000000000001" customHeight="1"/>
    <row r="1660" ht="20.100000000000001" customHeight="1"/>
    <row r="1661" ht="20.100000000000001" customHeight="1"/>
    <row r="1662" ht="20.100000000000001" customHeight="1"/>
    <row r="1663" ht="20.100000000000001" customHeight="1"/>
    <row r="1664" ht="20.100000000000001" customHeight="1"/>
    <row r="1665" ht="20.100000000000001" customHeight="1"/>
    <row r="1666" ht="20.100000000000001" customHeight="1"/>
    <row r="1667" ht="20.100000000000001" customHeight="1"/>
    <row r="1668" ht="20.100000000000001" customHeight="1"/>
    <row r="1669" ht="20.100000000000001" customHeight="1"/>
    <row r="1670" ht="20.100000000000001" customHeight="1"/>
    <row r="1671" ht="20.100000000000001" customHeight="1"/>
    <row r="1672" ht="20.100000000000001" customHeight="1"/>
    <row r="1673" ht="20.100000000000001" customHeight="1"/>
    <row r="1674" ht="20.100000000000001" customHeight="1"/>
    <row r="1675" ht="20.100000000000001" customHeight="1"/>
    <row r="1676" ht="20.100000000000001" customHeight="1"/>
    <row r="1677" ht="20.100000000000001" customHeight="1"/>
    <row r="1678" ht="20.100000000000001" customHeight="1"/>
    <row r="1679" ht="20.100000000000001" customHeight="1"/>
    <row r="1680" ht="20.100000000000001" customHeight="1"/>
    <row r="1681" ht="20.100000000000001" customHeight="1"/>
    <row r="1682" ht="20.100000000000001" customHeight="1"/>
    <row r="1683" ht="20.100000000000001" customHeight="1"/>
    <row r="1684" ht="20.100000000000001" customHeight="1"/>
    <row r="1685" ht="20.100000000000001" customHeight="1"/>
    <row r="1686" ht="20.100000000000001" customHeight="1"/>
    <row r="1687" ht="20.100000000000001" customHeight="1"/>
    <row r="1688" ht="20.100000000000001" customHeight="1"/>
    <row r="1689" ht="20.100000000000001" customHeight="1"/>
    <row r="1690" ht="20.100000000000001" customHeight="1"/>
    <row r="1691" ht="20.100000000000001" customHeight="1"/>
    <row r="1692" ht="20.100000000000001" customHeight="1"/>
    <row r="1693" ht="20.100000000000001" customHeight="1"/>
    <row r="1694" ht="20.100000000000001" customHeight="1"/>
    <row r="1695" ht="20.100000000000001" customHeight="1"/>
    <row r="1696" ht="20.100000000000001" customHeight="1"/>
    <row r="1697" ht="20.100000000000001" customHeight="1"/>
    <row r="1698" ht="20.100000000000001" customHeight="1"/>
    <row r="1699" ht="20.100000000000001" customHeight="1"/>
    <row r="1700" ht="20.100000000000001" customHeight="1"/>
    <row r="1701" ht="20.100000000000001" customHeight="1"/>
    <row r="1702" ht="20.100000000000001" customHeight="1"/>
    <row r="1703" ht="20.100000000000001" customHeight="1"/>
    <row r="1704" ht="20.100000000000001" customHeight="1"/>
    <row r="1705" ht="20.100000000000001" customHeight="1"/>
    <row r="1706" ht="20.100000000000001" customHeight="1"/>
    <row r="1707" ht="20.100000000000001" customHeight="1"/>
    <row r="1708" ht="20.100000000000001" customHeight="1"/>
    <row r="1709" ht="20.100000000000001" customHeight="1"/>
    <row r="1710" ht="20.100000000000001" customHeight="1"/>
    <row r="1711" ht="20.100000000000001" customHeight="1"/>
    <row r="1712" ht="20.100000000000001" customHeight="1"/>
    <row r="1713" ht="20.100000000000001" customHeight="1"/>
    <row r="1714" ht="20.100000000000001" customHeight="1"/>
    <row r="1715" ht="20.100000000000001" customHeight="1"/>
    <row r="1716" ht="20.100000000000001" customHeight="1"/>
    <row r="1717" ht="20.100000000000001" customHeight="1"/>
    <row r="1718" ht="20.100000000000001" customHeight="1"/>
    <row r="1719" ht="20.100000000000001" customHeight="1"/>
    <row r="1720" ht="20.100000000000001" customHeight="1"/>
    <row r="1721" ht="20.100000000000001" customHeight="1"/>
    <row r="1722" ht="20.100000000000001" customHeight="1"/>
    <row r="1723" ht="20.100000000000001" customHeight="1"/>
    <row r="1724" ht="20.100000000000001" customHeight="1"/>
    <row r="1725" ht="20.100000000000001" customHeight="1"/>
    <row r="1726" ht="20.100000000000001" customHeight="1"/>
    <row r="1727" ht="20.100000000000001" customHeight="1"/>
    <row r="1728" ht="20.100000000000001" customHeight="1"/>
    <row r="1729" ht="20.100000000000001" customHeight="1"/>
    <row r="1730" ht="20.100000000000001" customHeight="1"/>
    <row r="1731" ht="20.100000000000001" customHeight="1"/>
    <row r="1732" ht="20.100000000000001" customHeight="1"/>
    <row r="1733" ht="20.100000000000001" customHeight="1"/>
    <row r="1734" ht="20.100000000000001" customHeight="1"/>
    <row r="1735" ht="20.100000000000001" customHeight="1"/>
    <row r="1736" ht="20.100000000000001" customHeight="1"/>
    <row r="1737" ht="20.100000000000001" customHeight="1"/>
    <row r="1738" ht="20.100000000000001" customHeight="1"/>
    <row r="1739" ht="20.100000000000001" customHeight="1"/>
    <row r="1740" ht="20.100000000000001" customHeight="1"/>
    <row r="1741" ht="20.100000000000001" customHeight="1"/>
    <row r="1742" ht="20.100000000000001" customHeight="1"/>
    <row r="1743" ht="20.100000000000001" customHeight="1"/>
    <row r="1744" ht="20.100000000000001" customHeight="1"/>
    <row r="1745" ht="20.100000000000001" customHeight="1"/>
    <row r="1746" ht="20.100000000000001" customHeight="1"/>
    <row r="1747" ht="20.100000000000001" customHeight="1"/>
    <row r="1748" ht="20.100000000000001" customHeight="1"/>
    <row r="1749" ht="20.100000000000001" customHeight="1"/>
    <row r="1750" ht="20.100000000000001" customHeight="1"/>
    <row r="1751" ht="20.100000000000001" customHeight="1"/>
    <row r="1752" ht="20.100000000000001" customHeight="1"/>
    <row r="1753" ht="20.100000000000001" customHeight="1"/>
    <row r="1754" ht="20.100000000000001" customHeight="1"/>
    <row r="1755" ht="20.100000000000001" customHeight="1"/>
    <row r="1756" ht="20.100000000000001" customHeight="1"/>
    <row r="1757" ht="20.100000000000001" customHeight="1"/>
    <row r="1758" ht="20.100000000000001" customHeight="1"/>
    <row r="1759" ht="20.100000000000001" customHeight="1"/>
    <row r="1760" ht="20.100000000000001" customHeight="1"/>
    <row r="1761" ht="20.100000000000001" customHeight="1"/>
    <row r="1762" ht="20.100000000000001" customHeight="1"/>
    <row r="1763" ht="20.100000000000001" customHeight="1"/>
    <row r="1764" ht="20.100000000000001" customHeight="1"/>
    <row r="1765" ht="20.100000000000001" customHeight="1"/>
    <row r="1766" ht="20.100000000000001" customHeight="1"/>
    <row r="1767" ht="20.100000000000001" customHeight="1"/>
    <row r="1768" ht="20.100000000000001" customHeight="1"/>
    <row r="1769" ht="20.100000000000001" customHeight="1"/>
    <row r="1770" ht="20.100000000000001" customHeight="1"/>
    <row r="1771" ht="20.100000000000001" customHeight="1"/>
    <row r="1772" ht="20.100000000000001" customHeight="1"/>
    <row r="1773" ht="20.100000000000001" customHeight="1"/>
    <row r="1774" ht="20.100000000000001" customHeight="1"/>
    <row r="1775" ht="20.100000000000001" customHeight="1"/>
    <row r="1776" ht="20.100000000000001" customHeight="1"/>
    <row r="1777" ht="20.100000000000001" customHeight="1"/>
    <row r="1778" ht="20.100000000000001" customHeight="1"/>
    <row r="1779" ht="20.100000000000001" customHeight="1"/>
    <row r="1780" ht="20.100000000000001" customHeight="1"/>
    <row r="1781" ht="20.100000000000001" customHeight="1"/>
    <row r="1782" ht="20.100000000000001" customHeight="1"/>
    <row r="1783" ht="20.100000000000001" customHeight="1"/>
    <row r="1784" ht="20.100000000000001" customHeight="1"/>
    <row r="1785" ht="20.100000000000001" customHeight="1"/>
    <row r="1786" ht="20.100000000000001" customHeight="1"/>
    <row r="1787" ht="20.100000000000001" customHeight="1"/>
    <row r="1788" ht="20.100000000000001" customHeight="1"/>
    <row r="1789" ht="20.100000000000001" customHeight="1"/>
    <row r="1790" ht="20.100000000000001" customHeight="1"/>
    <row r="1791" ht="20.100000000000001" customHeight="1"/>
    <row r="1792" ht="20.100000000000001" customHeight="1"/>
    <row r="1793" ht="20.100000000000001" customHeight="1"/>
    <row r="1794" ht="20.100000000000001" customHeight="1"/>
    <row r="1795" ht="20.100000000000001" customHeight="1"/>
    <row r="1796" ht="20.100000000000001" customHeight="1"/>
    <row r="1797" ht="20.100000000000001" customHeight="1"/>
    <row r="1798" ht="20.100000000000001" customHeight="1"/>
    <row r="1799" ht="20.100000000000001" customHeight="1"/>
    <row r="1800" ht="20.100000000000001" customHeight="1"/>
    <row r="1801" ht="20.100000000000001" customHeight="1"/>
    <row r="1802" ht="20.100000000000001" customHeight="1"/>
    <row r="1803" ht="20.100000000000001" customHeight="1"/>
    <row r="1804" ht="20.100000000000001" customHeight="1"/>
    <row r="1805" ht="20.100000000000001" customHeight="1"/>
    <row r="1806" ht="20.100000000000001" customHeight="1"/>
    <row r="1807" ht="20.100000000000001" customHeight="1"/>
    <row r="1808" ht="20.100000000000001" customHeight="1"/>
    <row r="1809" ht="20.100000000000001" customHeight="1"/>
    <row r="1810" ht="20.100000000000001" customHeight="1"/>
    <row r="1811" ht="20.100000000000001" customHeight="1"/>
    <row r="1812" ht="20.100000000000001" customHeight="1"/>
    <row r="1813" ht="20.100000000000001" customHeight="1"/>
    <row r="1814" ht="20.100000000000001" customHeight="1"/>
    <row r="1815" ht="20.100000000000001" customHeight="1"/>
    <row r="1816" ht="20.100000000000001" customHeight="1"/>
    <row r="1817" ht="20.100000000000001" customHeight="1"/>
    <row r="1818" ht="20.100000000000001" customHeight="1"/>
    <row r="1819" ht="20.100000000000001" customHeight="1"/>
    <row r="1820" ht="20.100000000000001" customHeight="1"/>
    <row r="1821" ht="20.100000000000001" customHeight="1"/>
    <row r="1822" ht="20.100000000000001" customHeight="1"/>
    <row r="1823" ht="20.100000000000001" customHeight="1"/>
    <row r="1824" ht="20.100000000000001" customHeight="1"/>
    <row r="1825" ht="20.100000000000001" customHeight="1"/>
    <row r="1826" ht="20.100000000000001" customHeight="1"/>
    <row r="1827" ht="20.100000000000001" customHeight="1"/>
    <row r="1828" ht="20.100000000000001" customHeight="1"/>
    <row r="1829" ht="20.100000000000001" customHeight="1"/>
    <row r="1830" ht="20.100000000000001" customHeight="1"/>
    <row r="1831" ht="20.100000000000001" customHeight="1"/>
    <row r="1832" ht="20.100000000000001" customHeight="1"/>
    <row r="1833" ht="20.100000000000001" customHeight="1"/>
    <row r="1834" ht="20.100000000000001" customHeight="1"/>
    <row r="1835" ht="20.100000000000001" customHeight="1"/>
    <row r="1836" ht="20.100000000000001" customHeight="1"/>
    <row r="1837" ht="20.100000000000001" customHeight="1"/>
    <row r="1838" ht="20.100000000000001" customHeight="1"/>
    <row r="1839" ht="20.100000000000001" customHeight="1"/>
    <row r="1840" ht="20.100000000000001" customHeight="1"/>
    <row r="1841" ht="20.100000000000001" customHeight="1"/>
    <row r="1842" ht="20.100000000000001" customHeight="1"/>
    <row r="1843" ht="20.100000000000001" customHeight="1"/>
    <row r="1844" ht="20.100000000000001" customHeight="1"/>
    <row r="1845" ht="20.100000000000001" customHeight="1"/>
    <row r="1846" ht="20.100000000000001" customHeight="1"/>
    <row r="1847" ht="20.100000000000001" customHeight="1"/>
    <row r="1848" ht="20.100000000000001" customHeight="1"/>
    <row r="1849" ht="20.100000000000001" customHeight="1"/>
    <row r="1850" ht="20.100000000000001" customHeight="1"/>
    <row r="1851" ht="20.100000000000001" customHeight="1"/>
    <row r="1852" ht="20.100000000000001" customHeight="1"/>
    <row r="1853" ht="20.100000000000001" customHeight="1"/>
    <row r="1854" ht="20.100000000000001" customHeight="1"/>
    <row r="1855" ht="20.100000000000001" customHeight="1"/>
    <row r="1856" ht="20.100000000000001" customHeight="1"/>
    <row r="1857" ht="20.100000000000001" customHeight="1"/>
    <row r="1858" ht="20.100000000000001" customHeight="1"/>
    <row r="1859" ht="20.100000000000001" customHeight="1"/>
    <row r="1860" ht="20.100000000000001" customHeight="1"/>
    <row r="1861" ht="20.100000000000001" customHeight="1"/>
    <row r="1862" ht="20.100000000000001" customHeight="1"/>
    <row r="1863" ht="20.100000000000001" customHeight="1"/>
    <row r="1864" ht="20.100000000000001" customHeight="1"/>
    <row r="1865" ht="20.100000000000001" customHeight="1"/>
    <row r="1866" ht="20.100000000000001" customHeight="1"/>
    <row r="1867" ht="20.100000000000001" customHeight="1"/>
    <row r="1868" ht="20.100000000000001" customHeight="1"/>
    <row r="1869" ht="20.100000000000001" customHeight="1"/>
    <row r="1870" ht="20.100000000000001" customHeight="1"/>
    <row r="1871" ht="20.100000000000001" customHeight="1"/>
    <row r="1872" ht="20.100000000000001" customHeight="1"/>
    <row r="1873" ht="20.100000000000001" customHeight="1"/>
    <row r="1874" ht="20.100000000000001" customHeight="1"/>
    <row r="1875" ht="20.100000000000001" customHeight="1"/>
    <row r="1876" ht="20.100000000000001" customHeight="1"/>
    <row r="1877" ht="20.100000000000001" customHeight="1"/>
    <row r="1878" ht="20.100000000000001" customHeight="1"/>
    <row r="1879" ht="20.100000000000001" customHeight="1"/>
    <row r="1880" ht="20.100000000000001" customHeight="1"/>
    <row r="1881" ht="20.100000000000001" customHeight="1"/>
    <row r="1882" ht="20.100000000000001" customHeight="1"/>
    <row r="1883" ht="20.100000000000001" customHeight="1"/>
    <row r="1884" ht="20.100000000000001" customHeight="1"/>
    <row r="1885" ht="20.100000000000001" customHeight="1"/>
    <row r="1886" ht="20.100000000000001" customHeight="1"/>
    <row r="1887" ht="20.100000000000001" customHeight="1"/>
    <row r="1888" ht="20.100000000000001" customHeight="1"/>
    <row r="1889" ht="20.100000000000001" customHeight="1"/>
    <row r="1890" ht="20.100000000000001" customHeight="1"/>
    <row r="1891" ht="20.100000000000001" customHeight="1"/>
    <row r="1892" ht="20.100000000000001" customHeight="1"/>
    <row r="1893" ht="20.100000000000001" customHeight="1"/>
    <row r="1894" ht="20.100000000000001" customHeight="1"/>
    <row r="1895" ht="20.100000000000001" customHeight="1"/>
    <row r="1896" ht="20.100000000000001" customHeight="1"/>
    <row r="1897" ht="20.100000000000001" customHeight="1"/>
    <row r="1898" ht="20.100000000000001" customHeight="1"/>
    <row r="1899" ht="20.100000000000001" customHeight="1"/>
    <row r="1900" ht="20.100000000000001" customHeight="1"/>
    <row r="1901" ht="20.100000000000001" customHeight="1"/>
    <row r="1902" ht="20.100000000000001" customHeight="1"/>
    <row r="1903" ht="20.100000000000001" customHeight="1"/>
    <row r="1904" ht="20.100000000000001" customHeight="1"/>
    <row r="1905" ht="20.100000000000001" customHeight="1"/>
    <row r="1906" ht="20.100000000000001" customHeight="1"/>
    <row r="1907" ht="20.100000000000001" customHeight="1"/>
    <row r="1908" ht="20.100000000000001" customHeight="1"/>
    <row r="1909" ht="20.100000000000001" customHeight="1"/>
    <row r="1910" ht="20.100000000000001" customHeight="1"/>
    <row r="1911" ht="20.100000000000001" customHeight="1"/>
    <row r="1912" ht="20.100000000000001" customHeight="1"/>
    <row r="1913" ht="20.100000000000001" customHeight="1"/>
    <row r="1914" ht="20.100000000000001" customHeight="1"/>
    <row r="1915" ht="20.100000000000001" customHeight="1"/>
    <row r="1916" ht="20.100000000000001" customHeight="1"/>
    <row r="1917" ht="20.100000000000001" customHeight="1"/>
    <row r="1918" ht="20.100000000000001" customHeight="1"/>
    <row r="1919" ht="20.100000000000001" customHeight="1"/>
    <row r="1920" ht="20.100000000000001" customHeight="1"/>
    <row r="1921" ht="20.100000000000001" customHeight="1"/>
    <row r="1922" ht="20.100000000000001" customHeight="1"/>
    <row r="1923" ht="20.100000000000001" customHeight="1"/>
    <row r="1924" ht="20.100000000000001" customHeight="1"/>
    <row r="1925" ht="20.100000000000001" customHeight="1"/>
    <row r="1926" ht="20.100000000000001" customHeight="1"/>
    <row r="1927" ht="20.100000000000001" customHeight="1"/>
    <row r="1928" ht="20.100000000000001" customHeight="1"/>
    <row r="1929" ht="20.100000000000001" customHeight="1"/>
    <row r="1930" ht="20.100000000000001" customHeight="1"/>
    <row r="1931" ht="20.100000000000001" customHeight="1"/>
    <row r="1932" ht="20.100000000000001" customHeight="1"/>
    <row r="1933" ht="20.100000000000001" customHeight="1"/>
    <row r="1934" ht="20.100000000000001" customHeight="1"/>
    <row r="1935" ht="20.100000000000001" customHeight="1"/>
    <row r="1936" ht="20.100000000000001" customHeight="1"/>
    <row r="1937" ht="20.100000000000001" customHeight="1"/>
    <row r="1938" ht="20.100000000000001" customHeight="1"/>
    <row r="1939" ht="20.100000000000001" customHeight="1"/>
    <row r="1940" ht="20.100000000000001" customHeight="1"/>
    <row r="1941" ht="20.100000000000001" customHeight="1"/>
    <row r="1942" ht="20.100000000000001" customHeight="1"/>
    <row r="1943" ht="20.100000000000001" customHeight="1"/>
    <row r="1944" ht="20.100000000000001" customHeight="1"/>
    <row r="1945" ht="20.100000000000001" customHeight="1"/>
    <row r="1946" ht="20.100000000000001" customHeight="1"/>
    <row r="1947" ht="20.100000000000001" customHeight="1"/>
    <row r="1948" ht="20.100000000000001" customHeight="1"/>
    <row r="1949" ht="20.100000000000001" customHeight="1"/>
    <row r="1950" ht="20.100000000000001" customHeight="1"/>
    <row r="1951" ht="20.100000000000001" customHeight="1"/>
    <row r="1952" ht="20.100000000000001" customHeight="1"/>
    <row r="1953" ht="20.100000000000001" customHeight="1"/>
    <row r="1954" ht="20.100000000000001" customHeight="1"/>
    <row r="1955" ht="20.100000000000001" customHeight="1"/>
    <row r="1956" ht="20.100000000000001" customHeight="1"/>
    <row r="1957" ht="20.100000000000001" customHeight="1"/>
    <row r="1958" ht="20.100000000000001" customHeight="1"/>
    <row r="1959" ht="20.100000000000001" customHeight="1"/>
    <row r="1960" ht="20.100000000000001" customHeight="1"/>
    <row r="1961" ht="20.100000000000001" customHeight="1"/>
    <row r="1962" ht="20.100000000000001" customHeight="1"/>
    <row r="1963" ht="20.100000000000001" customHeight="1"/>
    <row r="1964" ht="20.100000000000001" customHeight="1"/>
    <row r="1965" ht="20.100000000000001" customHeight="1"/>
    <row r="1966" ht="20.100000000000001" customHeight="1"/>
    <row r="1967" ht="20.100000000000001" customHeight="1"/>
    <row r="1968" ht="20.100000000000001" customHeight="1"/>
    <row r="1969" ht="20.100000000000001" customHeight="1"/>
    <row r="1970" ht="20.100000000000001" customHeight="1"/>
    <row r="1971" ht="20.100000000000001" customHeight="1"/>
    <row r="1972" ht="20.100000000000001" customHeight="1"/>
    <row r="1973" ht="20.100000000000001" customHeight="1"/>
    <row r="1974" ht="20.100000000000001" customHeight="1"/>
    <row r="1975" ht="20.100000000000001" customHeight="1"/>
    <row r="1976" ht="20.100000000000001" customHeight="1"/>
    <row r="1977" ht="20.100000000000001" customHeight="1"/>
    <row r="1978" ht="20.100000000000001" customHeight="1"/>
    <row r="1979" ht="20.100000000000001" customHeight="1"/>
    <row r="1980" ht="20.100000000000001" customHeight="1"/>
    <row r="1981" ht="20.100000000000001" customHeight="1"/>
    <row r="1982" ht="20.100000000000001" customHeight="1"/>
    <row r="1983" ht="20.100000000000001" customHeight="1"/>
    <row r="1984" ht="20.100000000000001" customHeight="1"/>
    <row r="1985" ht="20.100000000000001" customHeight="1"/>
    <row r="1986" ht="20.100000000000001" customHeight="1"/>
    <row r="1987" ht="20.100000000000001" customHeight="1"/>
    <row r="1988" ht="20.100000000000001" customHeight="1"/>
    <row r="1989" ht="20.100000000000001" customHeight="1"/>
    <row r="1990" ht="20.100000000000001" customHeight="1"/>
    <row r="1991" ht="20.100000000000001" customHeight="1"/>
    <row r="1992" ht="20.100000000000001" customHeight="1"/>
    <row r="1993" ht="20.100000000000001" customHeight="1"/>
    <row r="1994" ht="20.100000000000001" customHeight="1"/>
    <row r="1995" ht="20.100000000000001" customHeight="1"/>
    <row r="1996" ht="20.100000000000001" customHeight="1"/>
    <row r="1997" ht="20.100000000000001" customHeight="1"/>
    <row r="1998" ht="20.100000000000001" customHeight="1"/>
    <row r="1999" ht="20.100000000000001" customHeight="1"/>
    <row r="2000" ht="20.100000000000001" customHeight="1"/>
    <row r="2001" ht="20.100000000000001" customHeight="1"/>
    <row r="2002" ht="20.100000000000001" customHeight="1"/>
    <row r="2003" ht="20.100000000000001" customHeight="1"/>
    <row r="2004" ht="20.100000000000001" customHeight="1"/>
    <row r="2005" ht="20.100000000000001" customHeight="1"/>
    <row r="2006" ht="20.100000000000001" customHeight="1"/>
    <row r="2007" ht="20.100000000000001" customHeight="1"/>
    <row r="2008" ht="20.100000000000001" customHeight="1"/>
    <row r="2009" ht="20.100000000000001" customHeight="1"/>
    <row r="2010" ht="20.100000000000001" customHeight="1"/>
    <row r="2011" ht="20.100000000000001" customHeight="1"/>
    <row r="2012" ht="20.100000000000001" customHeight="1"/>
    <row r="2013" ht="20.100000000000001" customHeight="1"/>
    <row r="2014" ht="20.100000000000001" customHeight="1"/>
    <row r="2015" ht="20.100000000000001" customHeight="1"/>
    <row r="2016" ht="20.100000000000001" customHeight="1"/>
    <row r="2017" ht="20.100000000000001" customHeight="1"/>
    <row r="2018" ht="20.100000000000001" customHeight="1"/>
    <row r="2019" ht="20.100000000000001" customHeight="1"/>
    <row r="2020" ht="20.100000000000001" customHeight="1"/>
    <row r="2021" ht="20.100000000000001" customHeight="1"/>
    <row r="2022" ht="20.100000000000001" customHeight="1"/>
    <row r="2023" ht="20.100000000000001" customHeight="1"/>
    <row r="2024" ht="20.100000000000001" customHeight="1"/>
    <row r="2025" ht="20.100000000000001" customHeight="1"/>
    <row r="2026" ht="20.100000000000001" customHeight="1"/>
    <row r="2027" ht="20.100000000000001" customHeight="1"/>
    <row r="2028" ht="20.100000000000001" customHeight="1"/>
    <row r="2029" ht="20.100000000000001" customHeight="1"/>
    <row r="2030" ht="20.100000000000001" customHeight="1"/>
    <row r="2031" ht="20.100000000000001" customHeight="1"/>
    <row r="2032" ht="20.100000000000001" customHeight="1"/>
    <row r="2033" ht="20.100000000000001" customHeight="1"/>
    <row r="2034" ht="20.100000000000001" customHeight="1"/>
    <row r="2035" ht="20.100000000000001" customHeight="1"/>
    <row r="2036" ht="20.100000000000001" customHeight="1"/>
    <row r="2037" ht="20.100000000000001" customHeight="1"/>
    <row r="2038" ht="20.100000000000001" customHeight="1"/>
    <row r="2039" ht="20.100000000000001" customHeight="1"/>
    <row r="2040" ht="20.100000000000001" customHeight="1"/>
    <row r="2041" ht="20.100000000000001" customHeight="1"/>
    <row r="2042" ht="20.100000000000001" customHeight="1"/>
    <row r="2043" ht="20.100000000000001" customHeight="1"/>
    <row r="2044" ht="20.100000000000001" customHeight="1"/>
    <row r="2045" ht="20.100000000000001" customHeight="1"/>
    <row r="2046" ht="20.100000000000001" customHeight="1"/>
    <row r="2047" ht="20.100000000000001" customHeight="1"/>
    <row r="2048" ht="20.100000000000001" customHeight="1"/>
    <row r="2049" ht="20.100000000000001" customHeight="1"/>
    <row r="2050" ht="20.100000000000001" customHeight="1"/>
    <row r="2051" ht="20.100000000000001" customHeight="1"/>
    <row r="2052" ht="20.100000000000001" customHeight="1"/>
    <row r="2053" ht="20.100000000000001" customHeight="1"/>
    <row r="2054" ht="20.100000000000001" customHeight="1"/>
    <row r="2055" ht="20.100000000000001" customHeight="1"/>
    <row r="2056" ht="20.100000000000001" customHeight="1"/>
    <row r="2057" ht="20.100000000000001" customHeight="1"/>
    <row r="2058" ht="20.100000000000001" customHeight="1"/>
    <row r="2059" ht="20.100000000000001" customHeight="1"/>
    <row r="2060" ht="20.100000000000001" customHeight="1"/>
    <row r="2061" ht="20.100000000000001" customHeight="1"/>
    <row r="2062" ht="20.100000000000001" customHeight="1"/>
    <row r="2063" ht="20.100000000000001" customHeight="1"/>
    <row r="2064" ht="20.100000000000001" customHeight="1"/>
    <row r="2065" ht="20.100000000000001" customHeight="1"/>
    <row r="2066" ht="20.100000000000001" customHeight="1"/>
    <row r="2067" ht="20.100000000000001" customHeight="1"/>
    <row r="2068" ht="20.100000000000001" customHeight="1"/>
    <row r="2069" ht="20.100000000000001" customHeight="1"/>
    <row r="2070" ht="20.100000000000001" customHeight="1"/>
    <row r="2071" ht="20.100000000000001" customHeight="1"/>
    <row r="2072" ht="20.100000000000001" customHeight="1"/>
    <row r="2073" ht="20.100000000000001" customHeight="1"/>
    <row r="2074" ht="20.100000000000001" customHeight="1"/>
    <row r="2075" ht="20.100000000000001" customHeight="1"/>
    <row r="2076" ht="20.100000000000001" customHeight="1"/>
    <row r="2077" ht="20.100000000000001" customHeight="1"/>
    <row r="2078" ht="20.100000000000001" customHeight="1"/>
    <row r="2079" ht="20.100000000000001" customHeight="1"/>
    <row r="2080" ht="20.100000000000001" customHeight="1"/>
    <row r="2081" ht="20.100000000000001" customHeight="1"/>
    <row r="2082" ht="20.100000000000001" customHeight="1"/>
    <row r="2083" ht="20.100000000000001" customHeight="1"/>
    <row r="2084" ht="20.100000000000001" customHeight="1"/>
    <row r="2085" ht="20.100000000000001" customHeight="1"/>
    <row r="2086" ht="20.100000000000001" customHeight="1"/>
    <row r="2087" ht="20.100000000000001" customHeight="1"/>
    <row r="2088" ht="20.100000000000001" customHeight="1"/>
    <row r="2089" ht="20.100000000000001" customHeight="1"/>
    <row r="2090" ht="20.100000000000001" customHeight="1"/>
    <row r="2091" ht="20.100000000000001" customHeight="1"/>
    <row r="2092" ht="20.100000000000001" customHeight="1"/>
    <row r="2093" ht="20.100000000000001" customHeight="1"/>
    <row r="2094" ht="20.100000000000001" customHeight="1"/>
    <row r="2095" ht="20.100000000000001" customHeight="1"/>
    <row r="2096" ht="20.100000000000001" customHeight="1"/>
    <row r="2097" ht="20.100000000000001" customHeight="1"/>
    <row r="2098" ht="20.100000000000001" customHeight="1"/>
    <row r="2099" ht="20.100000000000001" customHeight="1"/>
    <row r="2100" ht="20.100000000000001" customHeight="1"/>
    <row r="2101" ht="20.100000000000001" customHeight="1"/>
    <row r="2102" ht="20.100000000000001" customHeight="1"/>
    <row r="2103" ht="20.100000000000001" customHeight="1"/>
    <row r="2104" ht="20.100000000000001" customHeight="1"/>
    <row r="2105" ht="20.100000000000001" customHeight="1"/>
    <row r="2106" ht="20.100000000000001" customHeight="1"/>
    <row r="2107" ht="20.100000000000001" customHeight="1"/>
    <row r="2108" ht="20.100000000000001" customHeight="1"/>
    <row r="2109" ht="20.100000000000001" customHeight="1"/>
    <row r="2110" ht="20.100000000000001" customHeight="1"/>
    <row r="2111" ht="20.100000000000001" customHeight="1"/>
    <row r="2112" ht="20.100000000000001" customHeight="1"/>
    <row r="2113" ht="20.100000000000001" customHeight="1"/>
    <row r="2114" ht="20.100000000000001" customHeight="1"/>
    <row r="2115" ht="20.100000000000001" customHeight="1"/>
    <row r="2116" ht="20.100000000000001" customHeight="1"/>
    <row r="2117" ht="20.100000000000001" customHeight="1"/>
    <row r="2118" ht="20.100000000000001" customHeight="1"/>
    <row r="2119" ht="20.100000000000001" customHeight="1"/>
    <row r="2120" ht="20.100000000000001" customHeight="1"/>
    <row r="2121" ht="20.100000000000001" customHeight="1"/>
    <row r="2122" ht="20.100000000000001" customHeight="1"/>
    <row r="2123" ht="20.100000000000001" customHeight="1"/>
    <row r="2124" ht="20.100000000000001" customHeight="1"/>
    <row r="2125" ht="20.100000000000001" customHeight="1"/>
    <row r="2126" ht="20.100000000000001" customHeight="1"/>
    <row r="2127" ht="20.100000000000001" customHeight="1"/>
    <row r="2128" ht="20.100000000000001" customHeight="1"/>
    <row r="2129" ht="20.100000000000001" customHeight="1"/>
    <row r="2130" ht="20.100000000000001" customHeight="1"/>
    <row r="2131" ht="20.100000000000001" customHeight="1"/>
    <row r="2132" ht="20.100000000000001" customHeight="1"/>
    <row r="2133" ht="20.100000000000001" customHeight="1"/>
    <row r="2134" ht="20.100000000000001" customHeight="1"/>
    <row r="2135" ht="20.100000000000001" customHeight="1"/>
    <row r="2136" ht="20.100000000000001" customHeight="1"/>
    <row r="2137" ht="20.100000000000001" customHeight="1"/>
    <row r="2138" ht="20.100000000000001" customHeight="1"/>
    <row r="2139" ht="20.100000000000001" customHeight="1"/>
    <row r="2140" ht="20.100000000000001" customHeight="1"/>
    <row r="2141" ht="20.100000000000001" customHeight="1"/>
    <row r="2142" ht="20.100000000000001" customHeight="1"/>
    <row r="2143" ht="20.100000000000001" customHeight="1"/>
    <row r="2144" ht="20.100000000000001" customHeight="1"/>
    <row r="2145" ht="20.100000000000001" customHeight="1"/>
    <row r="2146" ht="20.100000000000001" customHeight="1"/>
    <row r="2147" ht="20.100000000000001" customHeight="1"/>
    <row r="2148" ht="20.100000000000001" customHeight="1"/>
    <row r="2149" ht="20.100000000000001" customHeight="1"/>
    <row r="2150" ht="20.100000000000001" customHeight="1"/>
    <row r="2151" ht="20.100000000000001" customHeight="1"/>
    <row r="2152" ht="20.100000000000001" customHeight="1"/>
    <row r="2153" ht="20.100000000000001" customHeight="1"/>
    <row r="2154" ht="20.100000000000001" customHeight="1"/>
    <row r="2155" ht="20.100000000000001" customHeight="1"/>
    <row r="2156" ht="20.100000000000001" customHeight="1"/>
    <row r="2157" ht="20.100000000000001" customHeight="1"/>
    <row r="2158" ht="20.100000000000001" customHeight="1"/>
    <row r="2159" ht="20.100000000000001" customHeight="1"/>
    <row r="2160" ht="20.100000000000001" customHeight="1"/>
    <row r="2161" ht="20.100000000000001" customHeight="1"/>
    <row r="2162" ht="20.100000000000001" customHeight="1"/>
    <row r="2163" ht="20.100000000000001" customHeight="1"/>
    <row r="2164" ht="20.100000000000001" customHeight="1"/>
    <row r="2165" ht="20.100000000000001" customHeight="1"/>
    <row r="2166" ht="20.100000000000001" customHeight="1"/>
    <row r="2167" ht="20.100000000000001" customHeight="1"/>
    <row r="2168" ht="20.100000000000001" customHeight="1"/>
    <row r="2169" ht="20.100000000000001" customHeight="1"/>
    <row r="2170" ht="20.100000000000001" customHeight="1"/>
    <row r="2171" ht="20.100000000000001" customHeight="1"/>
    <row r="2172" ht="20.100000000000001" customHeight="1"/>
    <row r="2173" ht="20.100000000000001" customHeight="1"/>
    <row r="2174" ht="20.100000000000001" customHeight="1"/>
    <row r="2175" ht="20.100000000000001" customHeight="1"/>
    <row r="2176" ht="20.100000000000001" customHeight="1"/>
    <row r="2177" ht="20.100000000000001" customHeight="1"/>
    <row r="2178" ht="20.100000000000001" customHeight="1"/>
    <row r="2179" ht="20.100000000000001" customHeight="1"/>
    <row r="2180" ht="20.100000000000001" customHeight="1"/>
    <row r="2181" ht="20.100000000000001" customHeight="1"/>
    <row r="2182" ht="20.100000000000001" customHeight="1"/>
    <row r="2183" ht="20.100000000000001" customHeight="1"/>
    <row r="2184" ht="20.100000000000001" customHeight="1"/>
    <row r="2185" ht="20.100000000000001" customHeight="1"/>
    <row r="2186" ht="20.100000000000001" customHeight="1"/>
    <row r="2187" ht="20.100000000000001" customHeight="1"/>
    <row r="2188" ht="20.100000000000001" customHeight="1"/>
    <row r="2189" ht="20.100000000000001" customHeight="1"/>
    <row r="2190" ht="20.100000000000001" customHeight="1"/>
    <row r="2191" ht="20.100000000000001" customHeight="1"/>
    <row r="2192" ht="20.100000000000001" customHeight="1"/>
    <row r="2193" ht="20.100000000000001" customHeight="1"/>
    <row r="2194" ht="20.100000000000001" customHeight="1"/>
    <row r="2195" ht="20.100000000000001" customHeight="1"/>
    <row r="2196" ht="20.100000000000001" customHeight="1"/>
    <row r="2197" ht="20.100000000000001" customHeight="1"/>
    <row r="2198" ht="20.100000000000001" customHeight="1"/>
    <row r="2199" ht="20.100000000000001" customHeight="1"/>
    <row r="2200" ht="20.100000000000001" customHeight="1"/>
    <row r="2201" ht="20.100000000000001" customHeight="1"/>
    <row r="2202" ht="20.100000000000001" customHeight="1"/>
    <row r="2203" ht="20.100000000000001" customHeight="1"/>
    <row r="2204" ht="20.100000000000001" customHeight="1"/>
    <row r="2205" ht="20.100000000000001" customHeight="1"/>
    <row r="2206" ht="20.100000000000001" customHeight="1"/>
    <row r="2207" ht="20.100000000000001" customHeight="1"/>
    <row r="2208" ht="20.100000000000001" customHeight="1"/>
    <row r="2209" ht="20.100000000000001" customHeight="1"/>
    <row r="2210" ht="20.100000000000001" customHeight="1"/>
    <row r="2211" ht="20.100000000000001" customHeight="1"/>
    <row r="2212" ht="20.100000000000001" customHeight="1"/>
    <row r="2213" ht="20.100000000000001" customHeight="1"/>
    <row r="2214" ht="20.100000000000001" customHeight="1"/>
    <row r="2215" ht="20.100000000000001" customHeight="1"/>
    <row r="2216" ht="20.100000000000001" customHeight="1"/>
    <row r="2217" ht="20.100000000000001" customHeight="1"/>
    <row r="2218" ht="20.100000000000001" customHeight="1"/>
    <row r="2219" ht="20.100000000000001" customHeight="1"/>
    <row r="2220" ht="20.100000000000001" customHeight="1"/>
    <row r="2221" ht="20.100000000000001" customHeight="1"/>
    <row r="2222" ht="20.100000000000001" customHeight="1"/>
    <row r="2223" ht="20.100000000000001" customHeight="1"/>
    <row r="2224" ht="20.100000000000001" customHeight="1"/>
    <row r="2225" ht="20.100000000000001" customHeight="1"/>
    <row r="2226" ht="20.100000000000001" customHeight="1"/>
    <row r="2227" ht="20.100000000000001" customHeight="1"/>
    <row r="2228" ht="20.100000000000001" customHeight="1"/>
    <row r="2229" ht="20.100000000000001" customHeight="1"/>
    <row r="2230" ht="20.100000000000001" customHeight="1"/>
    <row r="2231" ht="20.100000000000001" customHeight="1"/>
    <row r="2232" ht="20.100000000000001" customHeight="1"/>
    <row r="2233" ht="20.100000000000001" customHeight="1"/>
    <row r="2234" ht="20.100000000000001" customHeight="1"/>
    <row r="2235" ht="20.100000000000001" customHeight="1"/>
    <row r="2236" ht="20.100000000000001" customHeight="1"/>
    <row r="2237" ht="20.100000000000001" customHeight="1"/>
    <row r="2238" ht="20.100000000000001" customHeight="1"/>
    <row r="2239" ht="20.100000000000001" customHeight="1"/>
    <row r="2240" ht="20.100000000000001" customHeight="1"/>
    <row r="2241" ht="20.100000000000001" customHeight="1"/>
    <row r="2242" ht="20.100000000000001" customHeight="1"/>
    <row r="2243" ht="20.100000000000001" customHeight="1"/>
    <row r="2244" ht="20.100000000000001" customHeight="1"/>
    <row r="2245" ht="20.100000000000001" customHeight="1"/>
    <row r="2246" ht="20.100000000000001" customHeight="1"/>
    <row r="2247" ht="20.100000000000001" customHeight="1"/>
    <row r="2248" ht="20.100000000000001" customHeight="1"/>
    <row r="2249" ht="20.100000000000001" customHeight="1"/>
    <row r="2250" ht="20.100000000000001" customHeight="1"/>
    <row r="2251" ht="20.100000000000001" customHeight="1"/>
    <row r="2252" ht="20.100000000000001" customHeight="1"/>
    <row r="2253" ht="20.100000000000001" customHeight="1"/>
    <row r="2254" ht="20.100000000000001" customHeight="1"/>
    <row r="2255" ht="20.100000000000001" customHeight="1"/>
    <row r="2256" ht="20.100000000000001" customHeight="1"/>
    <row r="2257" ht="20.100000000000001" customHeight="1"/>
    <row r="2258" ht="20.100000000000001" customHeight="1"/>
    <row r="2259" ht="20.100000000000001" customHeight="1"/>
    <row r="2260" ht="20.100000000000001" customHeight="1"/>
    <row r="2261" ht="20.100000000000001" customHeight="1"/>
    <row r="2262" ht="20.100000000000001" customHeight="1"/>
    <row r="2263" ht="20.100000000000001" customHeight="1"/>
    <row r="2264" ht="20.100000000000001" customHeight="1"/>
    <row r="2265" ht="20.100000000000001" customHeight="1"/>
    <row r="2266" ht="20.100000000000001" customHeight="1"/>
    <row r="2267" ht="20.100000000000001" customHeight="1"/>
    <row r="2268" ht="20.100000000000001" customHeight="1"/>
    <row r="2269" ht="20.100000000000001" customHeight="1"/>
    <row r="2270" ht="20.100000000000001" customHeight="1"/>
    <row r="2271" ht="20.100000000000001" customHeight="1"/>
    <row r="2272" ht="20.100000000000001" customHeight="1"/>
    <row r="2273" ht="20.100000000000001" customHeight="1"/>
    <row r="2274" ht="20.100000000000001" customHeight="1"/>
    <row r="2275" ht="20.100000000000001" customHeight="1"/>
    <row r="2276" ht="20.100000000000001" customHeight="1"/>
    <row r="2277" ht="20.100000000000001" customHeight="1"/>
    <row r="2278" ht="20.100000000000001" customHeight="1"/>
    <row r="2279" ht="20.100000000000001" customHeight="1"/>
    <row r="2280" ht="20.100000000000001" customHeight="1"/>
    <row r="2281" ht="20.100000000000001" customHeight="1"/>
    <row r="2282" ht="20.100000000000001" customHeight="1"/>
    <row r="2283" ht="20.100000000000001" customHeight="1"/>
    <row r="2284" ht="20.100000000000001" customHeight="1"/>
    <row r="2285" ht="20.100000000000001" customHeight="1"/>
    <row r="2286" ht="20.100000000000001" customHeight="1"/>
    <row r="2287" ht="20.100000000000001" customHeight="1"/>
    <row r="2288" ht="20.100000000000001" customHeight="1"/>
    <row r="2289" ht="20.100000000000001" customHeight="1"/>
    <row r="2290" ht="20.100000000000001" customHeight="1"/>
    <row r="2291" ht="20.100000000000001" customHeight="1"/>
    <row r="2292" ht="20.100000000000001" customHeight="1"/>
    <row r="2293" ht="20.100000000000001" customHeight="1"/>
    <row r="2294" ht="20.100000000000001" customHeight="1"/>
    <row r="2295" ht="20.100000000000001" customHeight="1"/>
    <row r="2296" ht="20.100000000000001" customHeight="1"/>
    <row r="2297" ht="20.100000000000001" customHeight="1"/>
    <row r="2298" ht="20.100000000000001" customHeight="1"/>
    <row r="2299" ht="20.100000000000001" customHeight="1"/>
    <row r="2300" ht="20.100000000000001" customHeight="1"/>
    <row r="2301" ht="20.100000000000001" customHeight="1"/>
    <row r="2302" ht="20.100000000000001" customHeight="1"/>
    <row r="2303" ht="20.100000000000001" customHeight="1"/>
    <row r="2304" ht="20.100000000000001" customHeight="1"/>
    <row r="2305" ht="20.100000000000001" customHeight="1"/>
    <row r="2306" ht="20.100000000000001" customHeight="1"/>
    <row r="2307" ht="20.100000000000001" customHeight="1"/>
    <row r="2308" ht="20.100000000000001" customHeight="1"/>
    <row r="2309" ht="20.100000000000001" customHeight="1"/>
    <row r="2310" ht="20.100000000000001" customHeight="1"/>
    <row r="2311" ht="20.100000000000001" customHeight="1"/>
    <row r="2312" ht="20.100000000000001" customHeight="1"/>
    <row r="2313" ht="20.100000000000001" customHeight="1"/>
    <row r="2314" ht="20.100000000000001" customHeight="1"/>
    <row r="2315" ht="20.100000000000001" customHeight="1"/>
    <row r="2316" ht="20.100000000000001" customHeight="1"/>
    <row r="2317" ht="20.100000000000001" customHeight="1"/>
    <row r="2318" ht="20.100000000000001" customHeight="1"/>
    <row r="2319" ht="20.100000000000001" customHeight="1"/>
    <row r="2320" ht="20.100000000000001" customHeight="1"/>
    <row r="2321" ht="20.100000000000001" customHeight="1"/>
    <row r="2322" ht="20.100000000000001" customHeight="1"/>
    <row r="2323" ht="20.100000000000001" customHeight="1"/>
    <row r="2324" ht="20.100000000000001" customHeight="1"/>
    <row r="2325" ht="20.100000000000001" customHeight="1"/>
    <row r="2326" ht="20.100000000000001" customHeight="1"/>
    <row r="2327" ht="20.100000000000001" customHeight="1"/>
    <row r="2328" ht="20.100000000000001" customHeight="1"/>
    <row r="2329" ht="20.100000000000001" customHeight="1"/>
    <row r="2330" ht="20.100000000000001" customHeight="1"/>
    <row r="2331" ht="20.100000000000001" customHeight="1"/>
    <row r="2332" ht="20.100000000000001" customHeight="1"/>
    <row r="2333" ht="20.100000000000001" customHeight="1"/>
    <row r="2334" ht="20.100000000000001" customHeight="1"/>
    <row r="2335" ht="20.100000000000001" customHeight="1"/>
    <row r="2336" ht="20.100000000000001" customHeight="1"/>
    <row r="2337" ht="20.100000000000001" customHeight="1"/>
    <row r="2338" ht="20.100000000000001" customHeight="1"/>
    <row r="2339" ht="20.100000000000001" customHeight="1"/>
    <row r="2340" ht="20.100000000000001" customHeight="1"/>
    <row r="2341" ht="20.100000000000001" customHeight="1"/>
    <row r="2342" ht="20.100000000000001" customHeight="1"/>
    <row r="2343" ht="20.100000000000001" customHeight="1"/>
    <row r="2344" ht="20.100000000000001" customHeight="1"/>
    <row r="2345" ht="20.100000000000001" customHeight="1"/>
    <row r="2346" ht="20.100000000000001" customHeight="1"/>
    <row r="2347" ht="20.100000000000001" customHeight="1"/>
    <row r="2348" ht="20.100000000000001" customHeight="1"/>
    <row r="2349" ht="20.100000000000001" customHeight="1"/>
    <row r="2350" ht="20.100000000000001" customHeight="1"/>
    <row r="2351" ht="20.100000000000001" customHeight="1"/>
    <row r="2352" ht="20.100000000000001" customHeight="1"/>
    <row r="2353" ht="20.100000000000001" customHeight="1"/>
    <row r="2354" ht="20.100000000000001" customHeight="1"/>
    <row r="2355" ht="20.100000000000001" customHeight="1"/>
    <row r="2356" ht="20.100000000000001" customHeight="1"/>
    <row r="2357" ht="20.100000000000001" customHeight="1"/>
    <row r="2358" ht="20.100000000000001" customHeight="1"/>
    <row r="2359" ht="20.100000000000001" customHeight="1"/>
    <row r="2360" ht="20.100000000000001" customHeight="1"/>
    <row r="2361" ht="20.100000000000001" customHeight="1"/>
    <row r="2362" ht="20.100000000000001" customHeight="1"/>
    <row r="2363" ht="20.100000000000001" customHeight="1"/>
    <row r="2364" ht="20.100000000000001" customHeight="1"/>
    <row r="2365" ht="20.100000000000001" customHeight="1"/>
    <row r="2366" ht="20.100000000000001" customHeight="1"/>
    <row r="2367" ht="20.100000000000001" customHeight="1"/>
    <row r="2368" ht="20.100000000000001" customHeight="1"/>
    <row r="2369" ht="20.100000000000001" customHeight="1"/>
    <row r="2370" ht="20.100000000000001" customHeight="1"/>
    <row r="2371" ht="20.100000000000001" customHeight="1"/>
    <row r="2372" ht="20.100000000000001" customHeight="1"/>
    <row r="2373" ht="20.100000000000001" customHeight="1"/>
    <row r="2374" ht="20.100000000000001" customHeight="1"/>
    <row r="2375" ht="20.100000000000001" customHeight="1"/>
    <row r="2376" ht="20.100000000000001" customHeight="1"/>
    <row r="2377" ht="20.100000000000001" customHeight="1"/>
    <row r="2378" ht="20.100000000000001" customHeight="1"/>
    <row r="2379" ht="20.100000000000001" customHeight="1"/>
    <row r="2380" ht="20.100000000000001" customHeight="1"/>
    <row r="2381" ht="20.100000000000001" customHeight="1"/>
    <row r="2382" ht="20.100000000000001" customHeight="1"/>
    <row r="2383" ht="20.100000000000001" customHeight="1"/>
    <row r="2384" ht="20.100000000000001" customHeight="1"/>
    <row r="2385" ht="20.100000000000001" customHeight="1"/>
    <row r="2386" ht="20.100000000000001" customHeight="1"/>
    <row r="2387" ht="20.100000000000001" customHeight="1"/>
    <row r="2388" ht="20.100000000000001" customHeight="1"/>
    <row r="2389" ht="20.100000000000001" customHeight="1"/>
    <row r="2390" ht="20.100000000000001" customHeight="1"/>
    <row r="2391" ht="20.100000000000001" customHeight="1"/>
    <row r="2392" ht="20.100000000000001" customHeight="1"/>
    <row r="2393" ht="20.100000000000001" customHeight="1"/>
    <row r="2394" ht="20.100000000000001" customHeight="1"/>
    <row r="2395" ht="20.100000000000001" customHeight="1"/>
    <row r="2396" ht="20.100000000000001" customHeight="1"/>
    <row r="2397" ht="20.100000000000001" customHeight="1"/>
    <row r="2398" ht="20.100000000000001" customHeight="1"/>
    <row r="2399" ht="20.100000000000001" customHeight="1"/>
    <row r="2400" ht="20.100000000000001" customHeight="1"/>
    <row r="2401" ht="20.100000000000001" customHeight="1"/>
    <row r="2402" ht="20.100000000000001" customHeight="1"/>
    <row r="2403" ht="20.100000000000001" customHeight="1"/>
    <row r="2404" ht="20.100000000000001" customHeight="1"/>
    <row r="2405" ht="20.100000000000001" customHeight="1"/>
    <row r="2406" ht="20.100000000000001" customHeight="1"/>
    <row r="2407" ht="20.100000000000001" customHeight="1"/>
    <row r="2408" ht="20.100000000000001" customHeight="1"/>
    <row r="2409" ht="20.100000000000001" customHeight="1"/>
    <row r="2410" ht="20.100000000000001" customHeight="1"/>
    <row r="2411" ht="20.100000000000001" customHeight="1"/>
    <row r="2412" ht="20.100000000000001" customHeight="1"/>
    <row r="2413" ht="20.100000000000001" customHeight="1"/>
    <row r="2414" ht="20.100000000000001" customHeight="1"/>
    <row r="2415" ht="20.100000000000001" customHeight="1"/>
    <row r="2416" ht="20.100000000000001" customHeight="1"/>
    <row r="2417" ht="20.100000000000001" customHeight="1"/>
    <row r="2418" ht="20.100000000000001" customHeight="1"/>
    <row r="2419" ht="20.100000000000001" customHeight="1"/>
    <row r="2420" ht="20.100000000000001" customHeight="1"/>
    <row r="2421" ht="20.100000000000001" customHeight="1"/>
    <row r="2422" ht="20.100000000000001" customHeight="1"/>
    <row r="2423" ht="20.100000000000001" customHeight="1"/>
    <row r="2424" ht="20.100000000000001" customHeight="1"/>
    <row r="2425" ht="20.100000000000001" customHeight="1"/>
    <row r="2426" ht="20.100000000000001" customHeight="1"/>
    <row r="2427" ht="20.100000000000001" customHeight="1"/>
    <row r="2428" ht="20.100000000000001" customHeight="1"/>
    <row r="2429" ht="20.100000000000001" customHeight="1"/>
    <row r="2430" ht="20.100000000000001" customHeight="1"/>
    <row r="2431" ht="20.100000000000001" customHeight="1"/>
    <row r="2432" ht="20.100000000000001" customHeight="1"/>
    <row r="2433" ht="20.100000000000001" customHeight="1"/>
    <row r="2434" ht="20.100000000000001" customHeight="1"/>
    <row r="2435" ht="20.100000000000001" customHeight="1"/>
    <row r="2436" ht="20.100000000000001" customHeight="1"/>
    <row r="2437" ht="20.100000000000001" customHeight="1"/>
    <row r="2438" ht="20.100000000000001" customHeight="1"/>
    <row r="2439" ht="20.100000000000001" customHeight="1"/>
    <row r="2440" ht="20.100000000000001" customHeight="1"/>
    <row r="2441" ht="20.100000000000001" customHeight="1"/>
    <row r="2442" ht="20.100000000000001" customHeight="1"/>
    <row r="2443" ht="20.100000000000001" customHeight="1"/>
    <row r="2444" ht="20.100000000000001" customHeight="1"/>
    <row r="2445" ht="20.100000000000001" customHeight="1"/>
    <row r="2446" ht="20.100000000000001" customHeight="1"/>
    <row r="2447" ht="20.100000000000001" customHeight="1"/>
    <row r="2448" ht="20.100000000000001" customHeight="1"/>
    <row r="2449" ht="20.100000000000001" customHeight="1"/>
    <row r="2450" ht="20.100000000000001" customHeight="1"/>
    <row r="2451" ht="20.100000000000001" customHeight="1"/>
    <row r="2452" ht="20.100000000000001" customHeight="1"/>
    <row r="2453" ht="20.100000000000001" customHeight="1"/>
    <row r="2454" ht="20.100000000000001" customHeight="1"/>
    <row r="2455" ht="20.100000000000001" customHeight="1"/>
    <row r="2456" ht="20.100000000000001" customHeight="1"/>
    <row r="2457" ht="20.100000000000001" customHeight="1"/>
    <row r="2458" ht="20.100000000000001" customHeight="1"/>
    <row r="2459" ht="20.100000000000001" customHeight="1"/>
    <row r="2460" ht="20.100000000000001" customHeight="1"/>
    <row r="2461" ht="20.100000000000001" customHeight="1"/>
    <row r="2462" ht="20.100000000000001" customHeight="1"/>
    <row r="2463" ht="20.100000000000001" customHeight="1"/>
    <row r="2464" ht="20.100000000000001" customHeight="1"/>
    <row r="2465" ht="20.100000000000001" customHeight="1"/>
    <row r="2466" ht="20.100000000000001" customHeight="1"/>
    <row r="2467" ht="20.100000000000001" customHeight="1"/>
    <row r="2468" ht="20.100000000000001" customHeight="1"/>
    <row r="2469" ht="20.100000000000001" customHeight="1"/>
    <row r="2470" ht="20.100000000000001" customHeight="1"/>
    <row r="2471" ht="20.100000000000001" customHeight="1"/>
    <row r="2472" ht="20.100000000000001" customHeight="1"/>
    <row r="2473" ht="20.100000000000001" customHeight="1"/>
    <row r="2474" ht="20.100000000000001" customHeight="1"/>
    <row r="2475" ht="20.100000000000001" customHeight="1"/>
    <row r="2476" ht="20.100000000000001" customHeight="1"/>
    <row r="2477" ht="20.100000000000001" customHeight="1"/>
    <row r="2478" ht="20.100000000000001" customHeight="1"/>
    <row r="2479" ht="20.100000000000001" customHeight="1"/>
    <row r="2480" ht="20.100000000000001" customHeight="1"/>
    <row r="2481" ht="20.100000000000001" customHeight="1"/>
    <row r="2482" ht="20.100000000000001" customHeight="1"/>
    <row r="2483" ht="20.100000000000001" customHeight="1"/>
    <row r="2484" ht="20.100000000000001" customHeight="1"/>
    <row r="2485" ht="20.100000000000001" customHeight="1"/>
    <row r="2486" ht="20.100000000000001" customHeight="1"/>
    <row r="2487" ht="20.100000000000001" customHeight="1"/>
    <row r="2488" ht="20.100000000000001" customHeight="1"/>
    <row r="2489" ht="20.100000000000001" customHeight="1"/>
    <row r="2490" ht="20.100000000000001" customHeight="1"/>
    <row r="2491" ht="20.100000000000001" customHeight="1"/>
    <row r="2492" ht="20.100000000000001" customHeight="1"/>
    <row r="2493" ht="20.100000000000001" customHeight="1"/>
    <row r="2494" ht="20.100000000000001" customHeight="1"/>
    <row r="2495" ht="20.100000000000001" customHeight="1"/>
    <row r="2496" ht="20.100000000000001" customHeight="1"/>
    <row r="2497" ht="20.100000000000001" customHeight="1"/>
    <row r="2498" ht="20.100000000000001" customHeight="1"/>
    <row r="2499" ht="20.100000000000001" customHeight="1"/>
    <row r="2500" ht="20.100000000000001" customHeight="1"/>
    <row r="2501" ht="20.100000000000001" customHeight="1"/>
    <row r="2502" ht="20.100000000000001" customHeight="1"/>
    <row r="2503" ht="20.100000000000001" customHeight="1"/>
    <row r="2504" ht="20.100000000000001" customHeight="1"/>
    <row r="2505" ht="20.100000000000001" customHeight="1"/>
    <row r="2506" ht="20.100000000000001" customHeight="1"/>
    <row r="2507" ht="20.100000000000001" customHeight="1"/>
    <row r="2508" ht="20.100000000000001" customHeight="1"/>
    <row r="2509" ht="20.100000000000001" customHeight="1"/>
    <row r="2510" ht="20.100000000000001" customHeight="1"/>
    <row r="2511" ht="20.100000000000001" customHeight="1"/>
    <row r="2512" ht="20.100000000000001" customHeight="1"/>
    <row r="2513" ht="20.100000000000001" customHeight="1"/>
    <row r="2514" ht="20.100000000000001" customHeight="1"/>
    <row r="2515" ht="20.100000000000001" customHeight="1"/>
    <row r="2516" ht="20.100000000000001" customHeight="1"/>
    <row r="2517" ht="20.100000000000001" customHeight="1"/>
    <row r="2518" ht="20.100000000000001" customHeight="1"/>
    <row r="2519" ht="20.100000000000001" customHeight="1"/>
    <row r="2520" ht="20.100000000000001" customHeight="1"/>
    <row r="2521" ht="20.100000000000001" customHeight="1"/>
    <row r="2522" ht="20.100000000000001" customHeight="1"/>
    <row r="2523" ht="20.100000000000001" customHeight="1"/>
    <row r="2524" ht="20.100000000000001" customHeight="1"/>
    <row r="2525" ht="20.100000000000001" customHeight="1"/>
    <row r="2526" ht="20.100000000000001" customHeight="1"/>
    <row r="2527" ht="20.100000000000001" customHeight="1"/>
    <row r="2528" ht="20.100000000000001" customHeight="1"/>
    <row r="2529" ht="20.100000000000001" customHeight="1"/>
    <row r="2530" ht="20.100000000000001" customHeight="1"/>
    <row r="2531" ht="20.100000000000001" customHeight="1"/>
    <row r="2532" ht="20.100000000000001" customHeight="1"/>
    <row r="2533" ht="20.100000000000001" customHeight="1"/>
    <row r="2534" ht="20.100000000000001" customHeight="1"/>
    <row r="2535" ht="20.100000000000001" customHeight="1"/>
    <row r="2536" ht="20.100000000000001" customHeight="1"/>
    <row r="2537" ht="20.100000000000001" customHeight="1"/>
    <row r="2538" ht="20.100000000000001" customHeight="1"/>
    <row r="2539" ht="20.100000000000001" customHeight="1"/>
    <row r="2540" ht="20.100000000000001" customHeight="1"/>
    <row r="2541" ht="20.100000000000001" customHeight="1"/>
    <row r="2542" ht="20.100000000000001" customHeight="1"/>
    <row r="2543" ht="20.100000000000001" customHeight="1"/>
    <row r="2544" ht="20.100000000000001" customHeight="1"/>
    <row r="2545" ht="20.100000000000001" customHeight="1"/>
    <row r="2546" ht="20.100000000000001" customHeight="1"/>
    <row r="2547" ht="20.100000000000001" customHeight="1"/>
    <row r="2548" ht="20.100000000000001" customHeight="1"/>
    <row r="2549" ht="20.100000000000001" customHeight="1"/>
    <row r="2550" ht="20.100000000000001" customHeight="1"/>
    <row r="2551" ht="20.100000000000001" customHeight="1"/>
    <row r="2552" ht="20.100000000000001" customHeight="1"/>
    <row r="2553" ht="20.100000000000001" customHeight="1"/>
    <row r="2554" ht="20.100000000000001" customHeight="1"/>
    <row r="2555" ht="20.100000000000001" customHeight="1"/>
    <row r="2556" ht="20.100000000000001" customHeight="1"/>
    <row r="2557" ht="20.100000000000001" customHeight="1"/>
    <row r="2558" ht="20.100000000000001" customHeight="1"/>
    <row r="2559" ht="20.100000000000001" customHeight="1"/>
    <row r="2560" ht="20.100000000000001" customHeight="1"/>
    <row r="2561" ht="20.100000000000001" customHeight="1"/>
    <row r="2562" ht="20.100000000000001" customHeight="1"/>
    <row r="2563" ht="20.100000000000001" customHeight="1"/>
    <row r="2564" ht="20.100000000000001" customHeight="1"/>
    <row r="2565" ht="20.100000000000001" customHeight="1"/>
    <row r="2566" ht="20.100000000000001" customHeight="1"/>
    <row r="2567" ht="20.100000000000001" customHeight="1"/>
    <row r="2568" ht="20.100000000000001" customHeight="1"/>
    <row r="2569" ht="20.100000000000001" customHeight="1"/>
    <row r="2570" ht="20.100000000000001" customHeight="1"/>
    <row r="2571" ht="20.100000000000001" customHeight="1"/>
    <row r="2572" ht="20.100000000000001" customHeight="1"/>
    <row r="2573" ht="20.100000000000001" customHeight="1"/>
    <row r="2574" ht="20.100000000000001" customHeight="1"/>
  </sheetData>
  <sheetProtection algorithmName="SHA-512" hashValue="/7VQa1+HTymNcRejsJh3CUif9bDCmHH4XmPrsFNTOAY9RcWixFeLSdDqYCFqb8XqVUdaPdJoZ14KuFhYGOKUOQ==" saltValue="Q9Lab2RYmDrpulbyQGjqlw==" spinCount="100000" sheet="1" objects="1" scenarios="1" formatCells="0" insertHyperlinks="0"/>
  <protectedRanges>
    <protectedRange sqref="D3:D10 I3 I4:Z4 AA4:AC4 AA3 D14:AH14" name="text"/>
    <protectedRange sqref="D2 F3 AK6 AA10:AC10" name="set"/>
    <protectedRange sqref="AE13:AH20200 D13:I20200" name="log1"/>
    <protectedRange sqref="A13:B20200" name="Range3"/>
  </protectedRanges>
  <mergeCells count="18">
    <mergeCell ref="F4:G4"/>
    <mergeCell ref="F5:G5"/>
    <mergeCell ref="AB4:AC4"/>
    <mergeCell ref="AB5:AC5"/>
    <mergeCell ref="AA3:AC3"/>
    <mergeCell ref="AB10:AC10"/>
    <mergeCell ref="AB11:AC11"/>
    <mergeCell ref="F9:G9"/>
    <mergeCell ref="F10:G10"/>
    <mergeCell ref="AB9:AC9"/>
    <mergeCell ref="I10:T10"/>
    <mergeCell ref="U10:Z10"/>
    <mergeCell ref="F6:G6"/>
    <mergeCell ref="F7:G7"/>
    <mergeCell ref="F8:G8"/>
    <mergeCell ref="AB6:AC6"/>
    <mergeCell ref="AB7:AC7"/>
    <mergeCell ref="AB8:AC8"/>
  </mergeCells>
  <conditionalFormatting sqref="F10 H10">
    <cfRule type="containsText" dxfId="228" priority="3585" operator="containsText" text="file">
      <formula>NOT(ISERROR(SEARCH("file",F10)))</formula>
    </cfRule>
  </conditionalFormatting>
  <conditionalFormatting sqref="H10">
    <cfRule type="containsText" dxfId="227" priority="3591" operator="containsText" text="FUNDS">
      <formula>NOT(ISERROR(SEARCH("FUNDS",H10)))</formula>
    </cfRule>
  </conditionalFormatting>
  <conditionalFormatting sqref="I5:I9 T5:V9 Z5:Z9">
    <cfRule type="cellIs" dxfId="226" priority="3482" operator="equal">
      <formula>0</formula>
    </cfRule>
  </conditionalFormatting>
  <conditionalFormatting sqref="U10">
    <cfRule type="expression" dxfId="225" priority="3471">
      <formula>$AK$11&gt;0</formula>
    </cfRule>
  </conditionalFormatting>
  <conditionalFormatting sqref="F5:H8">
    <cfRule type="cellIs" dxfId="224" priority="2925" operator="lessThan">
      <formula>0</formula>
    </cfRule>
    <cfRule type="cellIs" dxfId="223" priority="3472" operator="greaterThan">
      <formula>0</formula>
    </cfRule>
  </conditionalFormatting>
  <conditionalFormatting sqref="Z13:AC13 Z15:AC64">
    <cfRule type="cellIs" dxfId="222" priority="1121" operator="equal">
      <formula>0</formula>
    </cfRule>
  </conditionalFormatting>
  <conditionalFormatting sqref="F13">
    <cfRule type="expression" dxfId="221" priority="190">
      <formula>OR(F13="SELL",F13="SHORT")</formula>
    </cfRule>
  </conditionalFormatting>
  <conditionalFormatting sqref="Z13:AA13 AC13">
    <cfRule type="cellIs" dxfId="220" priority="192" operator="lessThan">
      <formula>0</formula>
    </cfRule>
    <cfRule type="cellIs" dxfId="219" priority="193" operator="greaterThan">
      <formula>0</formula>
    </cfRule>
  </conditionalFormatting>
  <conditionalFormatting sqref="Z15:AA64 AC15:AC64">
    <cfRule type="cellIs" dxfId="218" priority="2" operator="lessThan">
      <formula>0</formula>
    </cfRule>
    <cfRule type="cellIs" dxfId="217" priority="3" operator="greaterThan">
      <formula>0</formula>
    </cfRule>
  </conditionalFormatting>
  <conditionalFormatting sqref="F15:F64">
    <cfRule type="expression" dxfId="216" priority="1">
      <formula>OR(F15="SELL",F15="SHORT")</formula>
    </cfRule>
  </conditionalFormatting>
  <dataValidations xWindow="461" yWindow="528" count="6">
    <dataValidation allowBlank="1" showInputMessage="1" showErrorMessage="1" prompt="Date entry should be the same with PC date format" sqref="D14" xr:uid="{00000000-0002-0000-0200-000000000000}"/>
    <dataValidation errorStyle="information" allowBlank="1" showInputMessage="1" showErrorMessage="1" sqref="T14" xr:uid="{00000000-0002-0000-0200-000002000000}"/>
    <dataValidation type="list" allowBlank="1" showInputMessage="1" showErrorMessage="1" sqref="F12:F13 F15:F64" xr:uid="{00000000-0002-0000-0200-000003000000}">
      <formula1>"BUY,SELL,SHORT,COVER"</formula1>
    </dataValidation>
    <dataValidation type="decimal" errorStyle="warning" allowBlank="1" showInputMessage="1" showErrorMessage="1" errorTitle="Invalid input" error="Enter positive decimal value" sqref="AD13 V13:Y13 AD15:AD64 V15:Y64" xr:uid="{00000000-0002-0000-0200-000001000000}">
      <formula1>0</formula1>
      <formula2>99999999999</formula2>
    </dataValidation>
    <dataValidation type="list" allowBlank="1" showInputMessage="1" showErrorMessage="1" sqref="AE13 AE15:AE64" xr:uid="{00000000-0002-0000-0200-000004000000}">
      <formula1>listSetup</formula1>
    </dataValidation>
    <dataValidation type="list" allowBlank="1" showInputMessage="1" showErrorMessage="1" sqref="AF13 AF15:AF64" xr:uid="{00000000-0002-0000-0200-000005000000}">
      <formula1>listReason</formula1>
    </dataValidation>
  </dataValidations>
  <hyperlinks>
    <hyperlink ref="F4:G4" location="'Bank Transfers'!D15" tooltip="Input Capital" display="'Bank Transfers'!D15" xr:uid="{00000000-0004-0000-0200-000000000000}"/>
  </hyperlinks>
  <printOptions horizontalCentered="1"/>
  <pageMargins left="0.25" right="0.25" top="0.75" bottom="0.75" header="0.3" footer="0.3"/>
  <pageSetup paperSize="9" scale="66" orientation="landscape" horizontalDpi="1200" verticalDpi="1200" r:id="rId1"/>
  <colBreaks count="1" manualBreakCount="1">
    <brk id="562"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ankTransfers">
    <tabColor theme="4"/>
  </sheetPr>
  <dimension ref="A1:AN514"/>
  <sheetViews>
    <sheetView showGridLines="0" showRowColHeaders="0" topLeftCell="C1" zoomScaleNormal="100" workbookViewId="0">
      <pane ySplit="14" topLeftCell="A15" activePane="bottomLeft" state="frozen"/>
      <selection activeCell="G13" sqref="G13"/>
      <selection pane="bottomLeft" activeCell="F17" sqref="F17"/>
    </sheetView>
  </sheetViews>
  <sheetFormatPr defaultColWidth="0" defaultRowHeight="15"/>
  <cols>
    <col min="1" max="1" width="2.28515625" hidden="1" customWidth="1"/>
    <col min="2" max="2" width="1.85546875" hidden="1" customWidth="1"/>
    <col min="3" max="3" width="4.28515625" customWidth="1"/>
    <col min="4" max="7" width="21.140625" customWidth="1"/>
    <col min="8" max="10" width="24.42578125" customWidth="1"/>
    <col min="11" max="11" width="26.140625" customWidth="1"/>
    <col min="12" max="12" width="90.7109375" customWidth="1"/>
    <col min="13" max="13" width="10.85546875" hidden="1" customWidth="1"/>
    <col min="14" max="14" width="12.42578125" hidden="1" customWidth="1"/>
    <col min="15" max="15" width="14" hidden="1" customWidth="1"/>
    <col min="16" max="19" width="11" hidden="1" customWidth="1"/>
    <col min="20" max="20" width="7.7109375" hidden="1" customWidth="1"/>
    <col min="21" max="21" width="1.28515625" hidden="1" customWidth="1"/>
    <col min="22" max="22" width="11.42578125" hidden="1" customWidth="1"/>
    <col min="23" max="31" width="8" hidden="1" customWidth="1"/>
    <col min="32" max="33" width="8.28515625" hidden="1" customWidth="1"/>
    <col min="34" max="34" width="10" hidden="1" customWidth="1"/>
    <col min="35" max="38" width="11" hidden="1" customWidth="1"/>
    <col min="39" max="39" width="7.7109375" hidden="1" customWidth="1"/>
    <col min="40" max="40" width="1.28515625" hidden="1" customWidth="1"/>
    <col min="41" max="16384" width="8" hidden="1"/>
  </cols>
  <sheetData>
    <row r="1" spans="1:16" ht="24.95" customHeight="1">
      <c r="A1" s="157">
        <v>1</v>
      </c>
      <c r="B1" s="157"/>
      <c r="C1" s="268" t="s">
        <v>272</v>
      </c>
      <c r="D1" s="675"/>
      <c r="E1" s="675"/>
      <c r="F1" s="676"/>
      <c r="G1" s="677"/>
      <c r="H1" s="676"/>
      <c r="I1" s="676"/>
      <c r="J1" s="676"/>
      <c r="K1" s="676"/>
      <c r="L1" s="672"/>
    </row>
    <row r="2" spans="1:16" ht="3.75" customHeight="1">
      <c r="A2" s="157"/>
      <c r="B2" s="157"/>
      <c r="C2" s="678"/>
      <c r="D2" s="675"/>
      <c r="E2" s="675"/>
      <c r="F2" s="676"/>
      <c r="G2" s="677"/>
      <c r="H2" s="676"/>
      <c r="I2" s="676"/>
      <c r="J2" s="676"/>
      <c r="K2" s="676"/>
      <c r="L2" s="672"/>
    </row>
    <row r="3" spans="1:16" ht="10.5" hidden="1" customHeight="1">
      <c r="A3" s="157"/>
      <c r="B3" s="157"/>
      <c r="C3" s="678"/>
      <c r="D3" s="12"/>
      <c r="E3" s="12"/>
      <c r="F3" s="11"/>
      <c r="G3" s="29"/>
      <c r="H3" s="29"/>
      <c r="I3" s="29"/>
      <c r="J3" s="29"/>
      <c r="K3" s="14"/>
      <c r="L3" s="673"/>
    </row>
    <row r="4" spans="1:16" ht="15" customHeight="1">
      <c r="A4" s="157"/>
      <c r="B4" s="157"/>
      <c r="C4" s="678"/>
      <c r="D4" s="716" t="s">
        <v>441</v>
      </c>
      <c r="E4" s="682"/>
      <c r="F4" s="289"/>
      <c r="G4" s="289"/>
      <c r="H4" s="740" t="s">
        <v>549</v>
      </c>
      <c r="I4" s="740" t="s">
        <v>550</v>
      </c>
      <c r="J4" s="740" t="s">
        <v>551</v>
      </c>
      <c r="K4" s="683" t="str">
        <f>Settings!T3</f>
        <v>Php</v>
      </c>
      <c r="L4" s="673" t="s">
        <v>12</v>
      </c>
    </row>
    <row r="5" spans="1:16" ht="18" customHeight="1">
      <c r="A5" s="157"/>
      <c r="B5" s="157"/>
      <c r="C5" s="678" t="str">
        <f>"d"&amp;COUNT(D15:D1472)+15</f>
        <v>d17</v>
      </c>
      <c r="D5" s="647"/>
      <c r="E5" s="972" t="s">
        <v>568</v>
      </c>
      <c r="F5" s="973" t="s">
        <v>569</v>
      </c>
      <c r="G5" s="739"/>
      <c r="H5" s="974" t="str">
        <f>TEXT(N8,"mmm-yy")</f>
        <v>Sep-17</v>
      </c>
      <c r="I5" s="974" t="str">
        <f>TEXT(N7,"mmm-yy")</f>
        <v>Oct-17</v>
      </c>
      <c r="J5" s="974" t="str">
        <f>I5</f>
        <v>Oct-17</v>
      </c>
      <c r="K5" s="684"/>
      <c r="L5" s="673" t="s">
        <v>22</v>
      </c>
      <c r="N5">
        <f ca="1">J9+J7</f>
        <v>38931.534849999967</v>
      </c>
    </row>
    <row r="6" spans="1:16" ht="18" customHeight="1">
      <c r="A6" s="157"/>
      <c r="B6" s="157"/>
      <c r="C6" s="678"/>
      <c r="D6" s="860" t="s">
        <v>565</v>
      </c>
      <c r="E6" s="921">
        <f>'Monthly Report'!G21</f>
        <v>51426.900049999982</v>
      </c>
      <c r="F6" s="632">
        <f ca="1">IFERROR(E6/'Bank Transfers'!J6,0)</f>
        <v>0.42855750041666651</v>
      </c>
      <c r="G6" s="859" t="s">
        <v>699</v>
      </c>
      <c r="H6" s="929">
        <f ca="1">J6-I6</f>
        <v>100000</v>
      </c>
      <c r="I6" s="930">
        <f>'Monthly Report'!A22</f>
        <v>20000</v>
      </c>
      <c r="J6" s="929">
        <f ca="1">SUMIF(E15:E1048576,"Deposit",$H$15:$H$514)</f>
        <v>120000</v>
      </c>
      <c r="K6" s="684"/>
      <c r="L6" s="673"/>
    </row>
    <row r="7" spans="1:16" ht="18" customHeight="1">
      <c r="A7" s="157"/>
      <c r="B7" s="157"/>
      <c r="C7" s="678"/>
      <c r="D7" s="860" t="s">
        <v>564</v>
      </c>
      <c r="E7" s="922">
        <f>'Monthly Report'!H21</f>
        <v>-12495.365200000015</v>
      </c>
      <c r="F7" s="720">
        <f ca="1">IFERROR(E7/'Bank Transfers'!J6,0)</f>
        <v>-0.10412804333333346</v>
      </c>
      <c r="G7" s="859" t="s">
        <v>700</v>
      </c>
      <c r="H7" s="931">
        <f ca="1">J7-I7</f>
        <v>0</v>
      </c>
      <c r="I7" s="931">
        <f>'Trade Log'!F8</f>
        <v>0</v>
      </c>
      <c r="J7" s="931">
        <f ca="1">SUMIF(E15:E1048576,"Withdraw",$H$15:$H$514)</f>
        <v>0</v>
      </c>
      <c r="K7" s="684"/>
      <c r="L7" s="673"/>
      <c r="N7">
        <f>'Monthly Report'!W4</f>
        <v>43009</v>
      </c>
    </row>
    <row r="8" spans="1:16" ht="18" customHeight="1">
      <c r="A8" s="157"/>
      <c r="B8" s="157"/>
      <c r="C8" s="678"/>
      <c r="D8" s="860" t="s">
        <v>566</v>
      </c>
      <c r="E8" s="923">
        <f>'Monthly Report'!I21</f>
        <v>5555</v>
      </c>
      <c r="F8" s="632">
        <f ca="1">IFERROR(E8/'Bank Transfers'!J6,0)</f>
        <v>4.6291666666666668E-2</v>
      </c>
      <c r="G8" s="859" t="s">
        <v>701</v>
      </c>
      <c r="H8" s="930">
        <f>J8-I8</f>
        <v>0</v>
      </c>
      <c r="I8" s="930">
        <f>'Trade Log'!F6</f>
        <v>5555</v>
      </c>
      <c r="J8" s="930">
        <f>'Monthly Report'!I21</f>
        <v>5555</v>
      </c>
      <c r="K8" s="685"/>
      <c r="L8" s="673"/>
      <c r="N8">
        <f>EOMONTH(N7,-2)+1</f>
        <v>42979</v>
      </c>
    </row>
    <row r="9" spans="1:16" ht="18" customHeight="1">
      <c r="A9" s="157"/>
      <c r="B9" s="157"/>
      <c r="C9" s="678"/>
      <c r="D9" s="861" t="s">
        <v>567</v>
      </c>
      <c r="E9" s="923">
        <f>IFERROR('Monthly Report'!M21,0)</f>
        <v>44486.534849999967</v>
      </c>
      <c r="F9" s="632">
        <f ca="1">F7+F6+F8</f>
        <v>0.37072112374999971</v>
      </c>
      <c r="G9" s="859" t="s">
        <v>702</v>
      </c>
      <c r="H9" s="932">
        <f>J9-I9</f>
        <v>42474.509149999969</v>
      </c>
      <c r="I9" s="932">
        <f>'Monthly Report'!G22+'Monthly Report'!H22</f>
        <v>-3542.9743000000017</v>
      </c>
      <c r="J9" s="932">
        <f>'Monthly Report'!M21-J8</f>
        <v>38931.534849999967</v>
      </c>
      <c r="K9" s="686"/>
      <c r="L9" s="673"/>
    </row>
    <row r="10" spans="1:16" ht="18" customHeight="1">
      <c r="A10" s="157"/>
      <c r="B10" s="157"/>
      <c r="C10" s="678"/>
      <c r="D10" s="687"/>
      <c r="E10" s="681"/>
      <c r="F10" s="688"/>
      <c r="G10" s="859" t="s">
        <v>703</v>
      </c>
      <c r="H10" s="933">
        <f ca="1">J10-I10</f>
        <v>142474.50914999997</v>
      </c>
      <c r="I10" s="934">
        <f>SUM(I6:I9)</f>
        <v>22012.025699999998</v>
      </c>
      <c r="J10" s="933">
        <f ca="1">SUM(J6:J9)</f>
        <v>164486.53484999997</v>
      </c>
      <c r="K10" s="686"/>
      <c r="L10" s="672"/>
    </row>
    <row r="11" spans="1:16" ht="6" customHeight="1">
      <c r="A11" s="157"/>
      <c r="B11" s="157"/>
      <c r="C11" s="678"/>
      <c r="D11" s="689"/>
      <c r="E11" s="689"/>
      <c r="F11" s="690"/>
      <c r="G11" s="690"/>
      <c r="H11" s="691"/>
      <c r="I11" s="686"/>
      <c r="J11" s="686"/>
      <c r="K11" s="686"/>
      <c r="L11" s="674"/>
    </row>
    <row r="12" spans="1:16" ht="6.75" hidden="1" customHeight="1">
      <c r="A12" s="157"/>
      <c r="B12" s="157"/>
      <c r="C12" s="157"/>
      <c r="I12" s="11"/>
      <c r="J12" s="11"/>
      <c r="L12" s="157"/>
    </row>
    <row r="13" spans="1:16" ht="5.0999999999999996" customHeight="1">
      <c r="A13" s="157"/>
      <c r="B13" s="157"/>
      <c r="C13" s="679"/>
      <c r="D13" s="692"/>
      <c r="E13" s="692"/>
      <c r="F13" s="692"/>
      <c r="G13" s="692"/>
      <c r="H13" s="692"/>
      <c r="I13" s="692"/>
      <c r="J13" s="692"/>
      <c r="K13" s="692"/>
      <c r="L13" s="674"/>
    </row>
    <row r="14" spans="1:16" ht="21.95" customHeight="1">
      <c r="A14" s="157"/>
      <c r="B14" s="157"/>
      <c r="C14" s="700"/>
      <c r="D14" s="975" t="s">
        <v>79</v>
      </c>
      <c r="E14" s="975" t="s">
        <v>268</v>
      </c>
      <c r="F14" s="975" t="s">
        <v>415</v>
      </c>
      <c r="G14" s="975" t="s">
        <v>200</v>
      </c>
      <c r="H14" s="975" t="s">
        <v>270</v>
      </c>
      <c r="I14" s="975" t="s">
        <v>373</v>
      </c>
      <c r="J14" s="976"/>
      <c r="K14" s="977"/>
      <c r="L14" s="674"/>
      <c r="O14">
        <f>COUNTIF('Trade Log'!$D$14:$D$17341,"&gt;"&amp;'Bank Transfers'!D15)</f>
        <v>47</v>
      </c>
    </row>
    <row r="15" spans="1:16" ht="20.100000000000001" customHeight="1">
      <c r="A15" s="157"/>
      <c r="B15" s="157"/>
      <c r="C15" s="741">
        <v>1</v>
      </c>
      <c r="D15" s="510">
        <v>42981</v>
      </c>
      <c r="E15" s="506" t="s">
        <v>40</v>
      </c>
      <c r="F15" s="924">
        <v>100000</v>
      </c>
      <c r="G15" s="925"/>
      <c r="H15" s="926">
        <f>IF(F15="","",IF(D15="","***Enter Transaction Date***",IF(E15="Withdraw",(-(F15-G15)),IF(F15=0,"",F15-G15))))</f>
        <v>100000</v>
      </c>
      <c r="I15" s="1057"/>
      <c r="J15" s="1058"/>
      <c r="K15" s="1059"/>
      <c r="L15" s="728">
        <f>IFERROR(DATE(YEAR(D15),MONTH(D15),DAY(1)),"")</f>
        <v>42979</v>
      </c>
      <c r="M15" s="10">
        <f>Settings!AG1</f>
        <v>43038</v>
      </c>
      <c r="O15">
        <f t="shared" ref="O15:O46" si="0">COUNTIFS(dateLog,"&lt;"&amp;D15,dateLog,"&gt;="&amp;D14)</f>
        <v>0</v>
      </c>
      <c r="P15">
        <f>O15</f>
        <v>0</v>
      </c>
    </row>
    <row r="16" spans="1:16" ht="20.100000000000001" customHeight="1">
      <c r="A16" s="157"/>
      <c r="B16" s="157"/>
      <c r="C16" s="553">
        <f>C15+1</f>
        <v>2</v>
      </c>
      <c r="D16" s="510">
        <v>43009</v>
      </c>
      <c r="E16" s="506" t="s">
        <v>40</v>
      </c>
      <c r="F16" s="924">
        <v>20000</v>
      </c>
      <c r="G16" s="925"/>
      <c r="H16" s="927">
        <f t="shared" ref="H16:H79" si="1">IF(F16="","",IF(D16="","***Enter Transaction Date***",IF(E16="Withdraw",(-(F16-G16)),IF(F16=0,"",F16-G16))))</f>
        <v>20000</v>
      </c>
      <c r="I16" s="1057"/>
      <c r="J16" s="1058"/>
      <c r="K16" s="1059"/>
      <c r="L16" s="728">
        <f>DATE(YEAR(D16),MONTH(D16),DAY(1))</f>
        <v>43009</v>
      </c>
      <c r="M16" s="10">
        <f>DATE(YEAR(M15),MONTH(M15),DAY(1))</f>
        <v>43009</v>
      </c>
      <c r="O16">
        <f t="shared" si="0"/>
        <v>41</v>
      </c>
      <c r="P16">
        <f>O16</f>
        <v>41</v>
      </c>
    </row>
    <row r="17" spans="1:16" ht="20.100000000000001" customHeight="1">
      <c r="A17" s="157"/>
      <c r="B17" s="157"/>
      <c r="C17" s="553">
        <f t="shared" ref="C17:C80" si="2">C16+1</f>
        <v>3</v>
      </c>
      <c r="D17" s="510"/>
      <c r="E17" s="506"/>
      <c r="F17" s="924"/>
      <c r="G17" s="925"/>
      <c r="H17" s="927" t="str">
        <f t="shared" si="1"/>
        <v/>
      </c>
      <c r="I17" s="1057"/>
      <c r="J17" s="1058"/>
      <c r="K17" s="1059"/>
      <c r="L17" s="728">
        <f t="shared" ref="L17:L80" si="3">DATE(YEAR(D17),MONTH(D17),DAY(1))</f>
        <v>1</v>
      </c>
      <c r="M17" s="10">
        <f>SUMIFS(H15:H514,L15:L514,M16,E15:E514,"deposit")</f>
        <v>20000</v>
      </c>
      <c r="O17">
        <f t="shared" si="0"/>
        <v>0</v>
      </c>
      <c r="P17">
        <f>O17+P16</f>
        <v>41</v>
      </c>
    </row>
    <row r="18" spans="1:16" ht="20.100000000000001" customHeight="1">
      <c r="A18" s="157"/>
      <c r="B18" s="157"/>
      <c r="C18" s="553">
        <f t="shared" si="2"/>
        <v>4</v>
      </c>
      <c r="D18" s="510"/>
      <c r="E18" s="506"/>
      <c r="F18" s="924"/>
      <c r="G18" s="925"/>
      <c r="H18" s="927" t="str">
        <f t="shared" si="1"/>
        <v/>
      </c>
      <c r="I18" s="1057"/>
      <c r="J18" s="1058"/>
      <c r="K18" s="1059"/>
      <c r="L18" s="728">
        <f t="shared" si="3"/>
        <v>1</v>
      </c>
      <c r="M18" s="10">
        <f>SUMIFS(H15:H514,L15:L514,M16,E15:E514,"withdraw")</f>
        <v>0</v>
      </c>
      <c r="O18">
        <f t="shared" si="0"/>
        <v>0</v>
      </c>
      <c r="P18">
        <f>O18+P17</f>
        <v>41</v>
      </c>
    </row>
    <row r="19" spans="1:16" ht="20.100000000000001" customHeight="1">
      <c r="A19" s="157"/>
      <c r="B19" s="157"/>
      <c r="C19" s="553">
        <f t="shared" si="2"/>
        <v>5</v>
      </c>
      <c r="D19" s="510"/>
      <c r="E19" s="506"/>
      <c r="F19" s="924"/>
      <c r="G19" s="925"/>
      <c r="H19" s="927" t="str">
        <f t="shared" si="1"/>
        <v/>
      </c>
      <c r="I19" s="1057"/>
      <c r="J19" s="1058"/>
      <c r="K19" s="1059"/>
      <c r="L19" s="728">
        <f t="shared" si="3"/>
        <v>1</v>
      </c>
      <c r="O19">
        <f t="shared" si="0"/>
        <v>0</v>
      </c>
      <c r="P19">
        <f>O19+P18</f>
        <v>41</v>
      </c>
    </row>
    <row r="20" spans="1:16" ht="20.100000000000001" customHeight="1">
      <c r="A20" s="157"/>
      <c r="B20" s="157"/>
      <c r="C20" s="553">
        <f t="shared" si="2"/>
        <v>6</v>
      </c>
      <c r="D20" s="510"/>
      <c r="E20" s="506"/>
      <c r="F20" s="924"/>
      <c r="G20" s="925"/>
      <c r="H20" s="927" t="str">
        <f t="shared" si="1"/>
        <v/>
      </c>
      <c r="I20" s="1057"/>
      <c r="J20" s="1058"/>
      <c r="K20" s="1059"/>
      <c r="L20" s="728">
        <f t="shared" si="3"/>
        <v>1</v>
      </c>
      <c r="O20">
        <f t="shared" si="0"/>
        <v>0</v>
      </c>
      <c r="P20">
        <f t="shared" ref="P20:P83" si="4">O20+P19</f>
        <v>41</v>
      </c>
    </row>
    <row r="21" spans="1:16" ht="20.100000000000001" customHeight="1">
      <c r="A21" s="157"/>
      <c r="B21" s="157"/>
      <c r="C21" s="553">
        <f t="shared" si="2"/>
        <v>7</v>
      </c>
      <c r="D21" s="510"/>
      <c r="E21" s="506"/>
      <c r="F21" s="924"/>
      <c r="G21" s="925"/>
      <c r="H21" s="927" t="str">
        <f t="shared" si="1"/>
        <v/>
      </c>
      <c r="I21" s="1057"/>
      <c r="J21" s="1058"/>
      <c r="K21" s="1059"/>
      <c r="L21" s="728">
        <f t="shared" si="3"/>
        <v>1</v>
      </c>
      <c r="O21">
        <f t="shared" si="0"/>
        <v>0</v>
      </c>
      <c r="P21">
        <f t="shared" si="4"/>
        <v>41</v>
      </c>
    </row>
    <row r="22" spans="1:16" ht="20.100000000000001" customHeight="1">
      <c r="A22" s="157"/>
      <c r="B22" s="157"/>
      <c r="C22" s="553">
        <f t="shared" si="2"/>
        <v>8</v>
      </c>
      <c r="D22" s="510"/>
      <c r="E22" s="506"/>
      <c r="F22" s="924"/>
      <c r="G22" s="925"/>
      <c r="H22" s="927" t="str">
        <f t="shared" si="1"/>
        <v/>
      </c>
      <c r="I22" s="1057"/>
      <c r="J22" s="1058"/>
      <c r="K22" s="1059"/>
      <c r="L22" s="728">
        <f t="shared" si="3"/>
        <v>1</v>
      </c>
      <c r="O22">
        <f t="shared" si="0"/>
        <v>0</v>
      </c>
      <c r="P22">
        <f t="shared" si="4"/>
        <v>41</v>
      </c>
    </row>
    <row r="23" spans="1:16" ht="20.100000000000001" customHeight="1">
      <c r="A23" s="157"/>
      <c r="B23" s="157"/>
      <c r="C23" s="553">
        <f t="shared" si="2"/>
        <v>9</v>
      </c>
      <c r="D23" s="510"/>
      <c r="E23" s="506"/>
      <c r="F23" s="924"/>
      <c r="G23" s="925"/>
      <c r="H23" s="927" t="str">
        <f t="shared" si="1"/>
        <v/>
      </c>
      <c r="I23" s="1057"/>
      <c r="J23" s="1058"/>
      <c r="K23" s="1059"/>
      <c r="L23" s="728">
        <f t="shared" si="3"/>
        <v>1</v>
      </c>
      <c r="O23">
        <f t="shared" si="0"/>
        <v>0</v>
      </c>
      <c r="P23">
        <f t="shared" si="4"/>
        <v>41</v>
      </c>
    </row>
    <row r="24" spans="1:16" ht="20.100000000000001" customHeight="1">
      <c r="A24" s="157"/>
      <c r="B24" s="157"/>
      <c r="C24" s="553">
        <f t="shared" si="2"/>
        <v>10</v>
      </c>
      <c r="D24" s="510"/>
      <c r="E24" s="506"/>
      <c r="F24" s="924"/>
      <c r="G24" s="925"/>
      <c r="H24" s="927" t="str">
        <f t="shared" si="1"/>
        <v/>
      </c>
      <c r="I24" s="1057"/>
      <c r="J24" s="1058"/>
      <c r="K24" s="1059"/>
      <c r="L24" s="728">
        <f t="shared" si="3"/>
        <v>1</v>
      </c>
      <c r="O24">
        <f t="shared" si="0"/>
        <v>0</v>
      </c>
      <c r="P24">
        <f t="shared" si="4"/>
        <v>41</v>
      </c>
    </row>
    <row r="25" spans="1:16" ht="20.100000000000001" customHeight="1">
      <c r="A25" s="157"/>
      <c r="B25" s="157"/>
      <c r="C25" s="553">
        <f t="shared" si="2"/>
        <v>11</v>
      </c>
      <c r="D25" s="510"/>
      <c r="E25" s="506"/>
      <c r="F25" s="924"/>
      <c r="G25" s="925"/>
      <c r="H25" s="927" t="str">
        <f t="shared" si="1"/>
        <v/>
      </c>
      <c r="I25" s="1057"/>
      <c r="J25" s="1058"/>
      <c r="K25" s="1059"/>
      <c r="L25" s="728">
        <f t="shared" si="3"/>
        <v>1</v>
      </c>
      <c r="O25">
        <f t="shared" si="0"/>
        <v>0</v>
      </c>
      <c r="P25">
        <f t="shared" si="4"/>
        <v>41</v>
      </c>
    </row>
    <row r="26" spans="1:16" ht="20.100000000000001" customHeight="1">
      <c r="A26" s="157"/>
      <c r="B26" s="157"/>
      <c r="C26" s="553">
        <f t="shared" si="2"/>
        <v>12</v>
      </c>
      <c r="D26" s="510"/>
      <c r="E26" s="506"/>
      <c r="F26" s="924"/>
      <c r="G26" s="925"/>
      <c r="H26" s="927" t="str">
        <f t="shared" si="1"/>
        <v/>
      </c>
      <c r="I26" s="1057"/>
      <c r="J26" s="1058"/>
      <c r="K26" s="1059"/>
      <c r="L26" s="728">
        <f t="shared" si="3"/>
        <v>1</v>
      </c>
      <c r="O26">
        <f t="shared" si="0"/>
        <v>0</v>
      </c>
      <c r="P26">
        <f t="shared" si="4"/>
        <v>41</v>
      </c>
    </row>
    <row r="27" spans="1:16" ht="20.100000000000001" customHeight="1">
      <c r="A27" s="157"/>
      <c r="B27" s="157"/>
      <c r="C27" s="553">
        <f t="shared" si="2"/>
        <v>13</v>
      </c>
      <c r="D27" s="510"/>
      <c r="E27" s="506"/>
      <c r="F27" s="924"/>
      <c r="G27" s="925"/>
      <c r="H27" s="927" t="str">
        <f t="shared" si="1"/>
        <v/>
      </c>
      <c r="I27" s="1057"/>
      <c r="J27" s="1058"/>
      <c r="K27" s="1059"/>
      <c r="L27" s="728">
        <f t="shared" si="3"/>
        <v>1</v>
      </c>
      <c r="O27">
        <f t="shared" si="0"/>
        <v>0</v>
      </c>
      <c r="P27">
        <f t="shared" si="4"/>
        <v>41</v>
      </c>
    </row>
    <row r="28" spans="1:16" ht="20.100000000000001" customHeight="1">
      <c r="A28" s="157"/>
      <c r="B28" s="157"/>
      <c r="C28" s="553">
        <f t="shared" si="2"/>
        <v>14</v>
      </c>
      <c r="D28" s="510"/>
      <c r="E28" s="506"/>
      <c r="F28" s="924"/>
      <c r="G28" s="925"/>
      <c r="H28" s="927" t="str">
        <f t="shared" si="1"/>
        <v/>
      </c>
      <c r="I28" s="1057"/>
      <c r="J28" s="1058"/>
      <c r="K28" s="1059"/>
      <c r="L28" s="728">
        <f t="shared" si="3"/>
        <v>1</v>
      </c>
      <c r="O28">
        <f t="shared" si="0"/>
        <v>0</v>
      </c>
      <c r="P28">
        <f t="shared" si="4"/>
        <v>41</v>
      </c>
    </row>
    <row r="29" spans="1:16" ht="20.100000000000001" customHeight="1">
      <c r="A29" s="157"/>
      <c r="B29" s="157"/>
      <c r="C29" s="553">
        <f t="shared" si="2"/>
        <v>15</v>
      </c>
      <c r="D29" s="510"/>
      <c r="E29" s="506"/>
      <c r="F29" s="924"/>
      <c r="G29" s="925"/>
      <c r="H29" s="927" t="str">
        <f t="shared" si="1"/>
        <v/>
      </c>
      <c r="I29" s="1057"/>
      <c r="J29" s="1058"/>
      <c r="K29" s="1059"/>
      <c r="L29" s="728">
        <f t="shared" si="3"/>
        <v>1</v>
      </c>
      <c r="O29">
        <f t="shared" si="0"/>
        <v>0</v>
      </c>
      <c r="P29">
        <f t="shared" si="4"/>
        <v>41</v>
      </c>
    </row>
    <row r="30" spans="1:16" ht="20.100000000000001" customHeight="1">
      <c r="A30" s="157"/>
      <c r="B30" s="157"/>
      <c r="C30" s="553">
        <f t="shared" si="2"/>
        <v>16</v>
      </c>
      <c r="D30" s="510"/>
      <c r="E30" s="506"/>
      <c r="F30" s="924"/>
      <c r="G30" s="925"/>
      <c r="H30" s="927" t="str">
        <f t="shared" si="1"/>
        <v/>
      </c>
      <c r="I30" s="1057"/>
      <c r="J30" s="1058"/>
      <c r="K30" s="1059"/>
      <c r="L30" s="728">
        <f t="shared" si="3"/>
        <v>1</v>
      </c>
      <c r="O30">
        <f t="shared" si="0"/>
        <v>0</v>
      </c>
      <c r="P30">
        <f t="shared" si="4"/>
        <v>41</v>
      </c>
    </row>
    <row r="31" spans="1:16" ht="20.100000000000001" customHeight="1">
      <c r="A31" s="157"/>
      <c r="B31" s="157"/>
      <c r="C31" s="553">
        <f t="shared" si="2"/>
        <v>17</v>
      </c>
      <c r="D31" s="510"/>
      <c r="E31" s="506"/>
      <c r="F31" s="924"/>
      <c r="G31" s="925"/>
      <c r="H31" s="927" t="str">
        <f t="shared" si="1"/>
        <v/>
      </c>
      <c r="I31" s="1057"/>
      <c r="J31" s="1058"/>
      <c r="K31" s="1059"/>
      <c r="L31" s="728">
        <f t="shared" si="3"/>
        <v>1</v>
      </c>
      <c r="O31">
        <f t="shared" si="0"/>
        <v>0</v>
      </c>
      <c r="P31">
        <f t="shared" si="4"/>
        <v>41</v>
      </c>
    </row>
    <row r="32" spans="1:16" ht="20.100000000000001" customHeight="1">
      <c r="A32" s="157"/>
      <c r="B32" s="157"/>
      <c r="C32" s="553">
        <f t="shared" si="2"/>
        <v>18</v>
      </c>
      <c r="D32" s="510"/>
      <c r="E32" s="506"/>
      <c r="F32" s="924"/>
      <c r="G32" s="925"/>
      <c r="H32" s="927" t="str">
        <f t="shared" si="1"/>
        <v/>
      </c>
      <c r="I32" s="1057"/>
      <c r="J32" s="1058"/>
      <c r="K32" s="1059"/>
      <c r="L32" s="728">
        <f t="shared" si="3"/>
        <v>1</v>
      </c>
      <c r="O32">
        <f t="shared" si="0"/>
        <v>0</v>
      </c>
      <c r="P32">
        <f t="shared" si="4"/>
        <v>41</v>
      </c>
    </row>
    <row r="33" spans="1:16" ht="20.100000000000001" customHeight="1">
      <c r="A33" s="157"/>
      <c r="B33" s="157"/>
      <c r="C33" s="553">
        <f t="shared" si="2"/>
        <v>19</v>
      </c>
      <c r="D33" s="510"/>
      <c r="E33" s="506"/>
      <c r="F33" s="924"/>
      <c r="G33" s="925"/>
      <c r="H33" s="927" t="str">
        <f t="shared" si="1"/>
        <v/>
      </c>
      <c r="I33" s="1057"/>
      <c r="J33" s="1058"/>
      <c r="K33" s="1059"/>
      <c r="L33" s="728">
        <f t="shared" si="3"/>
        <v>1</v>
      </c>
      <c r="O33">
        <f t="shared" si="0"/>
        <v>0</v>
      </c>
      <c r="P33">
        <f t="shared" si="4"/>
        <v>41</v>
      </c>
    </row>
    <row r="34" spans="1:16" ht="20.100000000000001" customHeight="1">
      <c r="A34" s="157"/>
      <c r="B34" s="157"/>
      <c r="C34" s="553">
        <f t="shared" si="2"/>
        <v>20</v>
      </c>
      <c r="D34" s="510"/>
      <c r="E34" s="506"/>
      <c r="F34" s="924"/>
      <c r="G34" s="925"/>
      <c r="H34" s="927" t="str">
        <f t="shared" si="1"/>
        <v/>
      </c>
      <c r="I34" s="1057"/>
      <c r="J34" s="1058"/>
      <c r="K34" s="1059"/>
      <c r="L34" s="728">
        <f t="shared" si="3"/>
        <v>1</v>
      </c>
      <c r="O34">
        <f t="shared" si="0"/>
        <v>0</v>
      </c>
      <c r="P34">
        <f t="shared" si="4"/>
        <v>41</v>
      </c>
    </row>
    <row r="35" spans="1:16" ht="20.100000000000001" customHeight="1">
      <c r="A35" s="157"/>
      <c r="B35" s="157"/>
      <c r="C35" s="553">
        <f t="shared" si="2"/>
        <v>21</v>
      </c>
      <c r="D35" s="510"/>
      <c r="E35" s="506"/>
      <c r="F35" s="924"/>
      <c r="G35" s="925"/>
      <c r="H35" s="927" t="str">
        <f t="shared" si="1"/>
        <v/>
      </c>
      <c r="I35" s="1057"/>
      <c r="J35" s="1058"/>
      <c r="K35" s="1059"/>
      <c r="L35" s="728">
        <f t="shared" si="3"/>
        <v>1</v>
      </c>
      <c r="O35">
        <f t="shared" si="0"/>
        <v>0</v>
      </c>
      <c r="P35">
        <f t="shared" si="4"/>
        <v>41</v>
      </c>
    </row>
    <row r="36" spans="1:16" ht="20.100000000000001" customHeight="1">
      <c r="A36" s="157"/>
      <c r="B36" s="157"/>
      <c r="C36" s="553">
        <f t="shared" si="2"/>
        <v>22</v>
      </c>
      <c r="D36" s="510"/>
      <c r="E36" s="506"/>
      <c r="F36" s="924"/>
      <c r="G36" s="925"/>
      <c r="H36" s="927" t="str">
        <f t="shared" si="1"/>
        <v/>
      </c>
      <c r="I36" s="1057"/>
      <c r="J36" s="1058"/>
      <c r="K36" s="1059"/>
      <c r="L36" s="728">
        <f t="shared" si="3"/>
        <v>1</v>
      </c>
      <c r="O36">
        <f t="shared" si="0"/>
        <v>0</v>
      </c>
      <c r="P36">
        <f t="shared" si="4"/>
        <v>41</v>
      </c>
    </row>
    <row r="37" spans="1:16" ht="20.100000000000001" customHeight="1">
      <c r="A37" s="157"/>
      <c r="B37" s="157"/>
      <c r="C37" s="553">
        <f t="shared" si="2"/>
        <v>23</v>
      </c>
      <c r="D37" s="510"/>
      <c r="E37" s="506"/>
      <c r="F37" s="924"/>
      <c r="G37" s="925"/>
      <c r="H37" s="927" t="str">
        <f t="shared" si="1"/>
        <v/>
      </c>
      <c r="I37" s="1057"/>
      <c r="J37" s="1058"/>
      <c r="K37" s="1059"/>
      <c r="L37" s="728">
        <f t="shared" si="3"/>
        <v>1</v>
      </c>
      <c r="O37">
        <f t="shared" si="0"/>
        <v>0</v>
      </c>
      <c r="P37">
        <f t="shared" si="4"/>
        <v>41</v>
      </c>
    </row>
    <row r="38" spans="1:16" ht="20.100000000000001" customHeight="1">
      <c r="A38" s="157"/>
      <c r="B38" s="157"/>
      <c r="C38" s="553">
        <f t="shared" si="2"/>
        <v>24</v>
      </c>
      <c r="D38" s="510"/>
      <c r="E38" s="506"/>
      <c r="F38" s="924"/>
      <c r="G38" s="925"/>
      <c r="H38" s="927" t="str">
        <f t="shared" si="1"/>
        <v/>
      </c>
      <c r="I38" s="1057"/>
      <c r="J38" s="1058"/>
      <c r="K38" s="1059"/>
      <c r="L38" s="728">
        <f t="shared" si="3"/>
        <v>1</v>
      </c>
      <c r="O38">
        <f t="shared" si="0"/>
        <v>0</v>
      </c>
      <c r="P38">
        <f t="shared" si="4"/>
        <v>41</v>
      </c>
    </row>
    <row r="39" spans="1:16" ht="20.100000000000001" customHeight="1">
      <c r="A39" s="157"/>
      <c r="B39" s="157"/>
      <c r="C39" s="553">
        <f t="shared" si="2"/>
        <v>25</v>
      </c>
      <c r="D39" s="510"/>
      <c r="E39" s="506"/>
      <c r="F39" s="924"/>
      <c r="G39" s="925"/>
      <c r="H39" s="927" t="str">
        <f t="shared" si="1"/>
        <v/>
      </c>
      <c r="I39" s="1057"/>
      <c r="J39" s="1058"/>
      <c r="K39" s="1059"/>
      <c r="L39" s="728">
        <f t="shared" si="3"/>
        <v>1</v>
      </c>
      <c r="O39">
        <f t="shared" si="0"/>
        <v>0</v>
      </c>
      <c r="P39">
        <f t="shared" si="4"/>
        <v>41</v>
      </c>
    </row>
    <row r="40" spans="1:16" ht="20.100000000000001" customHeight="1">
      <c r="A40" s="157"/>
      <c r="B40" s="157"/>
      <c r="C40" s="553">
        <f t="shared" si="2"/>
        <v>26</v>
      </c>
      <c r="D40" s="510"/>
      <c r="E40" s="506"/>
      <c r="F40" s="924"/>
      <c r="G40" s="925"/>
      <c r="H40" s="927" t="str">
        <f t="shared" si="1"/>
        <v/>
      </c>
      <c r="I40" s="1057"/>
      <c r="J40" s="1058"/>
      <c r="K40" s="1059"/>
      <c r="L40" s="728">
        <f t="shared" si="3"/>
        <v>1</v>
      </c>
      <c r="O40">
        <f t="shared" si="0"/>
        <v>0</v>
      </c>
      <c r="P40">
        <f t="shared" si="4"/>
        <v>41</v>
      </c>
    </row>
    <row r="41" spans="1:16" ht="20.100000000000001" customHeight="1">
      <c r="A41" s="157"/>
      <c r="B41" s="157"/>
      <c r="C41" s="553">
        <f t="shared" si="2"/>
        <v>27</v>
      </c>
      <c r="D41" s="510"/>
      <c r="E41" s="506"/>
      <c r="F41" s="924"/>
      <c r="G41" s="925"/>
      <c r="H41" s="927" t="str">
        <f t="shared" si="1"/>
        <v/>
      </c>
      <c r="I41" s="1057"/>
      <c r="J41" s="1058"/>
      <c r="K41" s="1059"/>
      <c r="L41" s="728">
        <f t="shared" si="3"/>
        <v>1</v>
      </c>
      <c r="O41">
        <f t="shared" si="0"/>
        <v>0</v>
      </c>
      <c r="P41">
        <f t="shared" si="4"/>
        <v>41</v>
      </c>
    </row>
    <row r="42" spans="1:16" ht="20.100000000000001" customHeight="1">
      <c r="A42" s="157"/>
      <c r="B42" s="157"/>
      <c r="C42" s="553">
        <f t="shared" si="2"/>
        <v>28</v>
      </c>
      <c r="D42" s="510"/>
      <c r="E42" s="506"/>
      <c r="F42" s="924"/>
      <c r="G42" s="925"/>
      <c r="H42" s="927" t="str">
        <f t="shared" si="1"/>
        <v/>
      </c>
      <c r="I42" s="1057"/>
      <c r="J42" s="1058"/>
      <c r="K42" s="1059"/>
      <c r="L42" s="728">
        <f t="shared" si="3"/>
        <v>1</v>
      </c>
      <c r="O42">
        <f t="shared" si="0"/>
        <v>0</v>
      </c>
      <c r="P42">
        <f t="shared" si="4"/>
        <v>41</v>
      </c>
    </row>
    <row r="43" spans="1:16" ht="20.100000000000001" customHeight="1">
      <c r="A43" s="157"/>
      <c r="B43" s="157"/>
      <c r="C43" s="553">
        <f t="shared" si="2"/>
        <v>29</v>
      </c>
      <c r="D43" s="510"/>
      <c r="E43" s="506"/>
      <c r="F43" s="924"/>
      <c r="G43" s="925"/>
      <c r="H43" s="927" t="str">
        <f t="shared" si="1"/>
        <v/>
      </c>
      <c r="I43" s="1057"/>
      <c r="J43" s="1058"/>
      <c r="K43" s="1059"/>
      <c r="L43" s="728">
        <f t="shared" si="3"/>
        <v>1</v>
      </c>
      <c r="O43">
        <f t="shared" si="0"/>
        <v>0</v>
      </c>
      <c r="P43">
        <f t="shared" si="4"/>
        <v>41</v>
      </c>
    </row>
    <row r="44" spans="1:16" ht="20.100000000000001" customHeight="1">
      <c r="A44" s="157"/>
      <c r="B44" s="157"/>
      <c r="C44" s="553">
        <f t="shared" si="2"/>
        <v>30</v>
      </c>
      <c r="D44" s="510"/>
      <c r="E44" s="506"/>
      <c r="F44" s="924"/>
      <c r="G44" s="925"/>
      <c r="H44" s="927" t="str">
        <f t="shared" si="1"/>
        <v/>
      </c>
      <c r="I44" s="1057"/>
      <c r="J44" s="1058"/>
      <c r="K44" s="1059"/>
      <c r="L44" s="728">
        <f t="shared" si="3"/>
        <v>1</v>
      </c>
      <c r="O44">
        <f t="shared" si="0"/>
        <v>0</v>
      </c>
      <c r="P44">
        <f t="shared" si="4"/>
        <v>41</v>
      </c>
    </row>
    <row r="45" spans="1:16" ht="20.100000000000001" customHeight="1">
      <c r="A45" s="157"/>
      <c r="B45" s="157"/>
      <c r="C45" s="553">
        <f t="shared" si="2"/>
        <v>31</v>
      </c>
      <c r="D45" s="510"/>
      <c r="E45" s="506"/>
      <c r="F45" s="924"/>
      <c r="G45" s="925"/>
      <c r="H45" s="927" t="str">
        <f t="shared" si="1"/>
        <v/>
      </c>
      <c r="I45" s="1057"/>
      <c r="J45" s="1058"/>
      <c r="K45" s="1059"/>
      <c r="L45" s="728">
        <f t="shared" si="3"/>
        <v>1</v>
      </c>
      <c r="O45">
        <f t="shared" si="0"/>
        <v>0</v>
      </c>
      <c r="P45">
        <f t="shared" si="4"/>
        <v>41</v>
      </c>
    </row>
    <row r="46" spans="1:16" ht="20.100000000000001" customHeight="1">
      <c r="A46" s="157"/>
      <c r="B46" s="157"/>
      <c r="C46" s="553">
        <f t="shared" si="2"/>
        <v>32</v>
      </c>
      <c r="D46" s="510"/>
      <c r="E46" s="506"/>
      <c r="F46" s="924"/>
      <c r="G46" s="925"/>
      <c r="H46" s="927" t="str">
        <f t="shared" si="1"/>
        <v/>
      </c>
      <c r="I46" s="1057"/>
      <c r="J46" s="1058"/>
      <c r="K46" s="1059"/>
      <c r="L46" s="728">
        <f t="shared" si="3"/>
        <v>1</v>
      </c>
      <c r="O46">
        <f t="shared" si="0"/>
        <v>0</v>
      </c>
      <c r="P46">
        <f t="shared" si="4"/>
        <v>41</v>
      </c>
    </row>
    <row r="47" spans="1:16" ht="20.100000000000001" customHeight="1">
      <c r="A47" s="157"/>
      <c r="B47" s="157"/>
      <c r="C47" s="553">
        <f t="shared" si="2"/>
        <v>33</v>
      </c>
      <c r="D47" s="510"/>
      <c r="E47" s="506"/>
      <c r="F47" s="924"/>
      <c r="G47" s="925"/>
      <c r="H47" s="927" t="str">
        <f t="shared" si="1"/>
        <v/>
      </c>
      <c r="I47" s="1057"/>
      <c r="J47" s="1058"/>
      <c r="K47" s="1059"/>
      <c r="L47" s="728">
        <f t="shared" si="3"/>
        <v>1</v>
      </c>
      <c r="O47">
        <f t="shared" ref="O47:O78" si="5">COUNTIFS(dateLog,"&lt;"&amp;D47,dateLog,"&gt;="&amp;D46)</f>
        <v>0</v>
      </c>
      <c r="P47">
        <f t="shared" si="4"/>
        <v>41</v>
      </c>
    </row>
    <row r="48" spans="1:16" ht="20.100000000000001" customHeight="1">
      <c r="A48" s="157"/>
      <c r="B48" s="157"/>
      <c r="C48" s="553">
        <f t="shared" si="2"/>
        <v>34</v>
      </c>
      <c r="D48" s="510"/>
      <c r="E48" s="506"/>
      <c r="F48" s="924"/>
      <c r="G48" s="925"/>
      <c r="H48" s="927" t="str">
        <f t="shared" si="1"/>
        <v/>
      </c>
      <c r="I48" s="1057"/>
      <c r="J48" s="1058"/>
      <c r="K48" s="1059"/>
      <c r="L48" s="728">
        <f t="shared" si="3"/>
        <v>1</v>
      </c>
      <c r="O48">
        <f t="shared" si="5"/>
        <v>0</v>
      </c>
      <c r="P48">
        <f t="shared" si="4"/>
        <v>41</v>
      </c>
    </row>
    <row r="49" spans="1:16" ht="20.100000000000001" customHeight="1">
      <c r="A49" s="157"/>
      <c r="B49" s="157"/>
      <c r="C49" s="553">
        <f t="shared" si="2"/>
        <v>35</v>
      </c>
      <c r="D49" s="510"/>
      <c r="E49" s="506"/>
      <c r="F49" s="924"/>
      <c r="G49" s="925"/>
      <c r="H49" s="927" t="str">
        <f t="shared" si="1"/>
        <v/>
      </c>
      <c r="I49" s="1057"/>
      <c r="J49" s="1058"/>
      <c r="K49" s="1059"/>
      <c r="L49" s="728">
        <f t="shared" si="3"/>
        <v>1</v>
      </c>
      <c r="O49">
        <f t="shared" si="5"/>
        <v>0</v>
      </c>
      <c r="P49">
        <f t="shared" si="4"/>
        <v>41</v>
      </c>
    </row>
    <row r="50" spans="1:16" ht="20.100000000000001" customHeight="1">
      <c r="A50" s="157"/>
      <c r="B50" s="157"/>
      <c r="C50" s="553">
        <f t="shared" si="2"/>
        <v>36</v>
      </c>
      <c r="D50" s="510"/>
      <c r="E50" s="506"/>
      <c r="F50" s="924"/>
      <c r="G50" s="925"/>
      <c r="H50" s="927" t="str">
        <f t="shared" si="1"/>
        <v/>
      </c>
      <c r="I50" s="1057"/>
      <c r="J50" s="1058"/>
      <c r="K50" s="1059"/>
      <c r="L50" s="728">
        <f t="shared" si="3"/>
        <v>1</v>
      </c>
      <c r="O50">
        <f t="shared" si="5"/>
        <v>0</v>
      </c>
      <c r="P50">
        <f t="shared" si="4"/>
        <v>41</v>
      </c>
    </row>
    <row r="51" spans="1:16" ht="20.100000000000001" customHeight="1">
      <c r="A51" s="157"/>
      <c r="B51" s="157"/>
      <c r="C51" s="553">
        <f t="shared" si="2"/>
        <v>37</v>
      </c>
      <c r="D51" s="510"/>
      <c r="E51" s="506"/>
      <c r="F51" s="924"/>
      <c r="G51" s="925"/>
      <c r="H51" s="927" t="str">
        <f t="shared" si="1"/>
        <v/>
      </c>
      <c r="I51" s="1057"/>
      <c r="J51" s="1058"/>
      <c r="K51" s="1059"/>
      <c r="L51" s="728">
        <f t="shared" si="3"/>
        <v>1</v>
      </c>
      <c r="O51">
        <f t="shared" si="5"/>
        <v>0</v>
      </c>
      <c r="P51">
        <f t="shared" si="4"/>
        <v>41</v>
      </c>
    </row>
    <row r="52" spans="1:16" ht="20.100000000000001" customHeight="1">
      <c r="A52" s="157"/>
      <c r="B52" s="157"/>
      <c r="C52" s="553">
        <f t="shared" si="2"/>
        <v>38</v>
      </c>
      <c r="D52" s="510"/>
      <c r="E52" s="506"/>
      <c r="F52" s="924"/>
      <c r="G52" s="925"/>
      <c r="H52" s="927" t="str">
        <f t="shared" si="1"/>
        <v/>
      </c>
      <c r="I52" s="1057"/>
      <c r="J52" s="1058"/>
      <c r="K52" s="1059"/>
      <c r="L52" s="728">
        <f t="shared" si="3"/>
        <v>1</v>
      </c>
      <c r="O52">
        <f t="shared" si="5"/>
        <v>0</v>
      </c>
      <c r="P52">
        <f t="shared" si="4"/>
        <v>41</v>
      </c>
    </row>
    <row r="53" spans="1:16" ht="20.100000000000001" customHeight="1">
      <c r="A53" s="157"/>
      <c r="B53" s="157"/>
      <c r="C53" s="553">
        <f t="shared" si="2"/>
        <v>39</v>
      </c>
      <c r="D53" s="510"/>
      <c r="E53" s="506"/>
      <c r="F53" s="924"/>
      <c r="G53" s="925"/>
      <c r="H53" s="927" t="str">
        <f t="shared" si="1"/>
        <v/>
      </c>
      <c r="I53" s="1057"/>
      <c r="J53" s="1058"/>
      <c r="K53" s="1059"/>
      <c r="L53" s="728">
        <f t="shared" si="3"/>
        <v>1</v>
      </c>
      <c r="O53">
        <f t="shared" si="5"/>
        <v>0</v>
      </c>
      <c r="P53">
        <f t="shared" si="4"/>
        <v>41</v>
      </c>
    </row>
    <row r="54" spans="1:16" ht="20.100000000000001" customHeight="1">
      <c r="A54" s="157"/>
      <c r="B54" s="157"/>
      <c r="C54" s="553">
        <f t="shared" si="2"/>
        <v>40</v>
      </c>
      <c r="D54" s="510"/>
      <c r="E54" s="506"/>
      <c r="F54" s="924"/>
      <c r="G54" s="925"/>
      <c r="H54" s="927" t="str">
        <f t="shared" si="1"/>
        <v/>
      </c>
      <c r="I54" s="1057"/>
      <c r="J54" s="1058"/>
      <c r="K54" s="1059"/>
      <c r="L54" s="728">
        <f t="shared" si="3"/>
        <v>1</v>
      </c>
      <c r="O54">
        <f t="shared" si="5"/>
        <v>0</v>
      </c>
      <c r="P54">
        <f t="shared" si="4"/>
        <v>41</v>
      </c>
    </row>
    <row r="55" spans="1:16" ht="20.100000000000001" customHeight="1">
      <c r="A55" s="157"/>
      <c r="B55" s="157"/>
      <c r="C55" s="553">
        <f t="shared" si="2"/>
        <v>41</v>
      </c>
      <c r="D55" s="510"/>
      <c r="E55" s="506"/>
      <c r="F55" s="924"/>
      <c r="G55" s="925"/>
      <c r="H55" s="927" t="str">
        <f t="shared" si="1"/>
        <v/>
      </c>
      <c r="I55" s="1057"/>
      <c r="J55" s="1058"/>
      <c r="K55" s="1059"/>
      <c r="L55" s="728">
        <f t="shared" si="3"/>
        <v>1</v>
      </c>
      <c r="O55">
        <f t="shared" si="5"/>
        <v>0</v>
      </c>
      <c r="P55">
        <f t="shared" si="4"/>
        <v>41</v>
      </c>
    </row>
    <row r="56" spans="1:16" ht="20.100000000000001" customHeight="1">
      <c r="A56" s="157"/>
      <c r="B56" s="157"/>
      <c r="C56" s="553">
        <f t="shared" si="2"/>
        <v>42</v>
      </c>
      <c r="D56" s="510"/>
      <c r="E56" s="506"/>
      <c r="F56" s="924"/>
      <c r="G56" s="925"/>
      <c r="H56" s="927" t="str">
        <f t="shared" si="1"/>
        <v/>
      </c>
      <c r="I56" s="1057"/>
      <c r="J56" s="1058"/>
      <c r="K56" s="1059"/>
      <c r="L56" s="728">
        <f t="shared" si="3"/>
        <v>1</v>
      </c>
      <c r="O56">
        <f t="shared" si="5"/>
        <v>0</v>
      </c>
      <c r="P56">
        <f t="shared" si="4"/>
        <v>41</v>
      </c>
    </row>
    <row r="57" spans="1:16" ht="20.100000000000001" customHeight="1">
      <c r="A57" s="157"/>
      <c r="B57" s="157"/>
      <c r="C57" s="553">
        <f t="shared" si="2"/>
        <v>43</v>
      </c>
      <c r="D57" s="510"/>
      <c r="E57" s="506"/>
      <c r="F57" s="924"/>
      <c r="G57" s="925"/>
      <c r="H57" s="927" t="str">
        <f t="shared" si="1"/>
        <v/>
      </c>
      <c r="I57" s="1057"/>
      <c r="J57" s="1058"/>
      <c r="K57" s="1059"/>
      <c r="L57" s="728">
        <f t="shared" si="3"/>
        <v>1</v>
      </c>
      <c r="O57">
        <f t="shared" si="5"/>
        <v>0</v>
      </c>
      <c r="P57">
        <f t="shared" si="4"/>
        <v>41</v>
      </c>
    </row>
    <row r="58" spans="1:16" ht="20.100000000000001" customHeight="1">
      <c r="A58" s="157"/>
      <c r="B58" s="157"/>
      <c r="C58" s="553">
        <f t="shared" si="2"/>
        <v>44</v>
      </c>
      <c r="D58" s="510"/>
      <c r="E58" s="506"/>
      <c r="F58" s="924"/>
      <c r="G58" s="925"/>
      <c r="H58" s="927" t="str">
        <f t="shared" si="1"/>
        <v/>
      </c>
      <c r="I58" s="1057"/>
      <c r="J58" s="1058"/>
      <c r="K58" s="1059"/>
      <c r="L58" s="728">
        <f t="shared" si="3"/>
        <v>1</v>
      </c>
      <c r="O58">
        <f t="shared" si="5"/>
        <v>0</v>
      </c>
      <c r="P58">
        <f t="shared" si="4"/>
        <v>41</v>
      </c>
    </row>
    <row r="59" spans="1:16" ht="20.100000000000001" customHeight="1">
      <c r="A59" s="157"/>
      <c r="B59" s="157"/>
      <c r="C59" s="553">
        <f t="shared" si="2"/>
        <v>45</v>
      </c>
      <c r="D59" s="510"/>
      <c r="E59" s="506"/>
      <c r="F59" s="924"/>
      <c r="G59" s="925"/>
      <c r="H59" s="927" t="str">
        <f t="shared" si="1"/>
        <v/>
      </c>
      <c r="I59" s="1057"/>
      <c r="J59" s="1058"/>
      <c r="K59" s="1059"/>
      <c r="L59" s="728">
        <f t="shared" si="3"/>
        <v>1</v>
      </c>
      <c r="O59">
        <f t="shared" si="5"/>
        <v>0</v>
      </c>
      <c r="P59">
        <f t="shared" si="4"/>
        <v>41</v>
      </c>
    </row>
    <row r="60" spans="1:16" ht="20.100000000000001" customHeight="1">
      <c r="A60" s="157"/>
      <c r="B60" s="157"/>
      <c r="C60" s="553">
        <f t="shared" si="2"/>
        <v>46</v>
      </c>
      <c r="D60" s="510"/>
      <c r="E60" s="506"/>
      <c r="F60" s="924"/>
      <c r="G60" s="925"/>
      <c r="H60" s="927" t="str">
        <f t="shared" si="1"/>
        <v/>
      </c>
      <c r="I60" s="1057"/>
      <c r="J60" s="1058"/>
      <c r="K60" s="1059"/>
      <c r="L60" s="728">
        <f t="shared" si="3"/>
        <v>1</v>
      </c>
      <c r="O60">
        <f t="shared" si="5"/>
        <v>0</v>
      </c>
      <c r="P60">
        <f t="shared" si="4"/>
        <v>41</v>
      </c>
    </row>
    <row r="61" spans="1:16" ht="20.100000000000001" customHeight="1">
      <c r="A61" s="157"/>
      <c r="B61" s="157"/>
      <c r="C61" s="553">
        <f t="shared" si="2"/>
        <v>47</v>
      </c>
      <c r="D61" s="510"/>
      <c r="E61" s="506"/>
      <c r="F61" s="924"/>
      <c r="G61" s="925"/>
      <c r="H61" s="927" t="str">
        <f t="shared" si="1"/>
        <v/>
      </c>
      <c r="I61" s="1057"/>
      <c r="J61" s="1058"/>
      <c r="K61" s="1059"/>
      <c r="L61" s="728">
        <f t="shared" si="3"/>
        <v>1</v>
      </c>
      <c r="O61">
        <f t="shared" si="5"/>
        <v>0</v>
      </c>
      <c r="P61">
        <f t="shared" si="4"/>
        <v>41</v>
      </c>
    </row>
    <row r="62" spans="1:16" ht="20.100000000000001" customHeight="1">
      <c r="A62" s="157"/>
      <c r="B62" s="157"/>
      <c r="C62" s="553">
        <f t="shared" si="2"/>
        <v>48</v>
      </c>
      <c r="D62" s="510"/>
      <c r="E62" s="506"/>
      <c r="F62" s="924"/>
      <c r="G62" s="925"/>
      <c r="H62" s="927" t="str">
        <f t="shared" si="1"/>
        <v/>
      </c>
      <c r="I62" s="1057"/>
      <c r="J62" s="1058"/>
      <c r="K62" s="1059"/>
      <c r="L62" s="728">
        <f t="shared" si="3"/>
        <v>1</v>
      </c>
      <c r="O62">
        <f t="shared" si="5"/>
        <v>0</v>
      </c>
      <c r="P62">
        <f t="shared" si="4"/>
        <v>41</v>
      </c>
    </row>
    <row r="63" spans="1:16" ht="20.100000000000001" customHeight="1">
      <c r="A63" s="157"/>
      <c r="B63" s="157"/>
      <c r="C63" s="553">
        <f t="shared" si="2"/>
        <v>49</v>
      </c>
      <c r="D63" s="510"/>
      <c r="E63" s="506"/>
      <c r="F63" s="924"/>
      <c r="G63" s="925"/>
      <c r="H63" s="927" t="str">
        <f t="shared" si="1"/>
        <v/>
      </c>
      <c r="I63" s="1057"/>
      <c r="J63" s="1058"/>
      <c r="K63" s="1059"/>
      <c r="L63" s="728">
        <f t="shared" si="3"/>
        <v>1</v>
      </c>
      <c r="O63">
        <f t="shared" si="5"/>
        <v>0</v>
      </c>
      <c r="P63">
        <f t="shared" si="4"/>
        <v>41</v>
      </c>
    </row>
    <row r="64" spans="1:16" ht="20.100000000000001" customHeight="1">
      <c r="A64" s="157"/>
      <c r="B64" s="157"/>
      <c r="C64" s="553">
        <f t="shared" si="2"/>
        <v>50</v>
      </c>
      <c r="D64" s="510"/>
      <c r="E64" s="506"/>
      <c r="F64" s="924"/>
      <c r="G64" s="925"/>
      <c r="H64" s="927" t="str">
        <f t="shared" si="1"/>
        <v/>
      </c>
      <c r="I64" s="1057"/>
      <c r="J64" s="1058"/>
      <c r="K64" s="1059"/>
      <c r="L64" s="728">
        <f t="shared" si="3"/>
        <v>1</v>
      </c>
      <c r="O64">
        <f t="shared" si="5"/>
        <v>0</v>
      </c>
      <c r="P64">
        <f t="shared" si="4"/>
        <v>41</v>
      </c>
    </row>
    <row r="65" spans="1:16" ht="20.100000000000001" customHeight="1">
      <c r="A65" s="157"/>
      <c r="B65" s="157"/>
      <c r="C65" s="553">
        <f t="shared" si="2"/>
        <v>51</v>
      </c>
      <c r="D65" s="510"/>
      <c r="E65" s="506"/>
      <c r="F65" s="924"/>
      <c r="G65" s="925"/>
      <c r="H65" s="927" t="str">
        <f t="shared" si="1"/>
        <v/>
      </c>
      <c r="I65" s="1057"/>
      <c r="J65" s="1058"/>
      <c r="K65" s="1059"/>
      <c r="L65" s="728">
        <f t="shared" si="3"/>
        <v>1</v>
      </c>
      <c r="O65">
        <f t="shared" si="5"/>
        <v>0</v>
      </c>
      <c r="P65">
        <f t="shared" si="4"/>
        <v>41</v>
      </c>
    </row>
    <row r="66" spans="1:16" ht="20.100000000000001" customHeight="1">
      <c r="A66" s="157"/>
      <c r="B66" s="157"/>
      <c r="C66" s="553">
        <f t="shared" si="2"/>
        <v>52</v>
      </c>
      <c r="D66" s="510"/>
      <c r="E66" s="506"/>
      <c r="F66" s="924"/>
      <c r="G66" s="925"/>
      <c r="H66" s="927" t="str">
        <f t="shared" si="1"/>
        <v/>
      </c>
      <c r="I66" s="1057"/>
      <c r="J66" s="1058"/>
      <c r="K66" s="1059"/>
      <c r="L66" s="728">
        <f t="shared" si="3"/>
        <v>1</v>
      </c>
      <c r="O66">
        <f t="shared" si="5"/>
        <v>0</v>
      </c>
      <c r="P66">
        <f t="shared" si="4"/>
        <v>41</v>
      </c>
    </row>
    <row r="67" spans="1:16" ht="20.100000000000001" customHeight="1">
      <c r="A67" s="157"/>
      <c r="B67" s="157"/>
      <c r="C67" s="553">
        <f t="shared" si="2"/>
        <v>53</v>
      </c>
      <c r="D67" s="510"/>
      <c r="E67" s="506"/>
      <c r="F67" s="924"/>
      <c r="G67" s="925"/>
      <c r="H67" s="927" t="str">
        <f t="shared" si="1"/>
        <v/>
      </c>
      <c r="I67" s="1057"/>
      <c r="J67" s="1058"/>
      <c r="K67" s="1059"/>
      <c r="L67" s="728">
        <f t="shared" si="3"/>
        <v>1</v>
      </c>
      <c r="O67">
        <f t="shared" si="5"/>
        <v>0</v>
      </c>
      <c r="P67">
        <f t="shared" si="4"/>
        <v>41</v>
      </c>
    </row>
    <row r="68" spans="1:16" ht="20.100000000000001" customHeight="1">
      <c r="A68" s="157"/>
      <c r="B68" s="157"/>
      <c r="C68" s="553">
        <f t="shared" si="2"/>
        <v>54</v>
      </c>
      <c r="D68" s="510"/>
      <c r="E68" s="506"/>
      <c r="F68" s="924"/>
      <c r="G68" s="925"/>
      <c r="H68" s="927" t="str">
        <f t="shared" si="1"/>
        <v/>
      </c>
      <c r="I68" s="1057"/>
      <c r="J68" s="1058"/>
      <c r="K68" s="1059"/>
      <c r="L68" s="728">
        <f t="shared" si="3"/>
        <v>1</v>
      </c>
      <c r="O68">
        <f t="shared" si="5"/>
        <v>0</v>
      </c>
      <c r="P68">
        <f t="shared" si="4"/>
        <v>41</v>
      </c>
    </row>
    <row r="69" spans="1:16" ht="20.100000000000001" customHeight="1">
      <c r="A69" s="157"/>
      <c r="B69" s="157"/>
      <c r="C69" s="553">
        <f t="shared" si="2"/>
        <v>55</v>
      </c>
      <c r="D69" s="510"/>
      <c r="E69" s="506"/>
      <c r="F69" s="924"/>
      <c r="G69" s="925"/>
      <c r="H69" s="927" t="str">
        <f t="shared" si="1"/>
        <v/>
      </c>
      <c r="I69" s="1057"/>
      <c r="J69" s="1058"/>
      <c r="K69" s="1059"/>
      <c r="L69" s="728">
        <f t="shared" si="3"/>
        <v>1</v>
      </c>
      <c r="O69">
        <f t="shared" si="5"/>
        <v>0</v>
      </c>
      <c r="P69">
        <f t="shared" si="4"/>
        <v>41</v>
      </c>
    </row>
    <row r="70" spans="1:16" ht="20.100000000000001" customHeight="1">
      <c r="A70" s="157"/>
      <c r="B70" s="157"/>
      <c r="C70" s="553">
        <f t="shared" si="2"/>
        <v>56</v>
      </c>
      <c r="D70" s="510"/>
      <c r="E70" s="506"/>
      <c r="F70" s="924"/>
      <c r="G70" s="925"/>
      <c r="H70" s="927" t="str">
        <f t="shared" si="1"/>
        <v/>
      </c>
      <c r="I70" s="1057"/>
      <c r="J70" s="1058"/>
      <c r="K70" s="1059"/>
      <c r="L70" s="728">
        <f t="shared" si="3"/>
        <v>1</v>
      </c>
      <c r="O70">
        <f t="shared" si="5"/>
        <v>0</v>
      </c>
      <c r="P70">
        <f t="shared" si="4"/>
        <v>41</v>
      </c>
    </row>
    <row r="71" spans="1:16" ht="20.100000000000001" customHeight="1">
      <c r="A71" s="157"/>
      <c r="B71" s="157"/>
      <c r="C71" s="553">
        <f t="shared" si="2"/>
        <v>57</v>
      </c>
      <c r="D71" s="510"/>
      <c r="E71" s="506"/>
      <c r="F71" s="924"/>
      <c r="G71" s="925"/>
      <c r="H71" s="927" t="str">
        <f t="shared" si="1"/>
        <v/>
      </c>
      <c r="I71" s="1057"/>
      <c r="J71" s="1058"/>
      <c r="K71" s="1059"/>
      <c r="L71" s="728">
        <f t="shared" si="3"/>
        <v>1</v>
      </c>
      <c r="O71">
        <f t="shared" si="5"/>
        <v>0</v>
      </c>
      <c r="P71">
        <f t="shared" si="4"/>
        <v>41</v>
      </c>
    </row>
    <row r="72" spans="1:16" ht="20.100000000000001" customHeight="1">
      <c r="A72" s="157"/>
      <c r="B72" s="157"/>
      <c r="C72" s="553">
        <f t="shared" si="2"/>
        <v>58</v>
      </c>
      <c r="D72" s="510"/>
      <c r="E72" s="506"/>
      <c r="F72" s="924"/>
      <c r="G72" s="925"/>
      <c r="H72" s="927" t="str">
        <f t="shared" si="1"/>
        <v/>
      </c>
      <c r="I72" s="1057"/>
      <c r="J72" s="1058"/>
      <c r="K72" s="1059"/>
      <c r="L72" s="728">
        <f t="shared" si="3"/>
        <v>1</v>
      </c>
      <c r="O72">
        <f t="shared" si="5"/>
        <v>0</v>
      </c>
      <c r="P72">
        <f t="shared" si="4"/>
        <v>41</v>
      </c>
    </row>
    <row r="73" spans="1:16" ht="20.100000000000001" customHeight="1">
      <c r="A73" s="157"/>
      <c r="B73" s="157"/>
      <c r="C73" s="553">
        <f t="shared" si="2"/>
        <v>59</v>
      </c>
      <c r="D73" s="510"/>
      <c r="E73" s="506"/>
      <c r="F73" s="924"/>
      <c r="G73" s="925"/>
      <c r="H73" s="927" t="str">
        <f t="shared" si="1"/>
        <v/>
      </c>
      <c r="I73" s="1057"/>
      <c r="J73" s="1058"/>
      <c r="K73" s="1059"/>
      <c r="L73" s="728">
        <f t="shared" si="3"/>
        <v>1</v>
      </c>
      <c r="O73">
        <f t="shared" si="5"/>
        <v>0</v>
      </c>
      <c r="P73">
        <f t="shared" si="4"/>
        <v>41</v>
      </c>
    </row>
    <row r="74" spans="1:16" ht="20.100000000000001" customHeight="1">
      <c r="A74" s="157"/>
      <c r="B74" s="157"/>
      <c r="C74" s="553">
        <f t="shared" si="2"/>
        <v>60</v>
      </c>
      <c r="D74" s="510"/>
      <c r="E74" s="506"/>
      <c r="F74" s="924"/>
      <c r="G74" s="925"/>
      <c r="H74" s="927" t="str">
        <f t="shared" si="1"/>
        <v/>
      </c>
      <c r="I74" s="1057"/>
      <c r="J74" s="1058"/>
      <c r="K74" s="1059"/>
      <c r="L74" s="728">
        <f t="shared" si="3"/>
        <v>1</v>
      </c>
      <c r="O74">
        <f t="shared" si="5"/>
        <v>0</v>
      </c>
      <c r="P74">
        <f t="shared" si="4"/>
        <v>41</v>
      </c>
    </row>
    <row r="75" spans="1:16" ht="20.100000000000001" customHeight="1">
      <c r="A75" s="157"/>
      <c r="B75" s="157"/>
      <c r="C75" s="553">
        <f t="shared" si="2"/>
        <v>61</v>
      </c>
      <c r="D75" s="510"/>
      <c r="E75" s="506"/>
      <c r="F75" s="924"/>
      <c r="G75" s="925"/>
      <c r="H75" s="927" t="str">
        <f t="shared" si="1"/>
        <v/>
      </c>
      <c r="I75" s="1057"/>
      <c r="J75" s="1058"/>
      <c r="K75" s="1059"/>
      <c r="L75" s="728">
        <f t="shared" si="3"/>
        <v>1</v>
      </c>
      <c r="O75">
        <f t="shared" si="5"/>
        <v>0</v>
      </c>
      <c r="P75">
        <f t="shared" si="4"/>
        <v>41</v>
      </c>
    </row>
    <row r="76" spans="1:16" ht="20.100000000000001" customHeight="1">
      <c r="A76" s="157"/>
      <c r="B76" s="157"/>
      <c r="C76" s="553">
        <f t="shared" si="2"/>
        <v>62</v>
      </c>
      <c r="D76" s="510"/>
      <c r="E76" s="506"/>
      <c r="F76" s="924"/>
      <c r="G76" s="925"/>
      <c r="H76" s="927" t="str">
        <f t="shared" si="1"/>
        <v/>
      </c>
      <c r="I76" s="1057"/>
      <c r="J76" s="1058"/>
      <c r="K76" s="1059"/>
      <c r="L76" s="728">
        <f t="shared" si="3"/>
        <v>1</v>
      </c>
      <c r="O76">
        <f t="shared" si="5"/>
        <v>0</v>
      </c>
      <c r="P76">
        <f t="shared" si="4"/>
        <v>41</v>
      </c>
    </row>
    <row r="77" spans="1:16" ht="20.100000000000001" customHeight="1">
      <c r="A77" s="157"/>
      <c r="B77" s="157"/>
      <c r="C77" s="553">
        <f t="shared" si="2"/>
        <v>63</v>
      </c>
      <c r="D77" s="510"/>
      <c r="E77" s="506"/>
      <c r="F77" s="924"/>
      <c r="G77" s="925"/>
      <c r="H77" s="927" t="str">
        <f t="shared" si="1"/>
        <v/>
      </c>
      <c r="I77" s="1057"/>
      <c r="J77" s="1058"/>
      <c r="K77" s="1059"/>
      <c r="L77" s="728">
        <f t="shared" si="3"/>
        <v>1</v>
      </c>
      <c r="O77">
        <f t="shared" si="5"/>
        <v>0</v>
      </c>
      <c r="P77">
        <f t="shared" si="4"/>
        <v>41</v>
      </c>
    </row>
    <row r="78" spans="1:16" ht="20.100000000000001" customHeight="1">
      <c r="A78" s="157"/>
      <c r="B78" s="157"/>
      <c r="C78" s="553">
        <f t="shared" si="2"/>
        <v>64</v>
      </c>
      <c r="D78" s="510"/>
      <c r="E78" s="506"/>
      <c r="F78" s="924"/>
      <c r="G78" s="925"/>
      <c r="H78" s="927" t="str">
        <f t="shared" si="1"/>
        <v/>
      </c>
      <c r="I78" s="1057"/>
      <c r="J78" s="1058"/>
      <c r="K78" s="1059"/>
      <c r="L78" s="728">
        <f t="shared" si="3"/>
        <v>1</v>
      </c>
      <c r="O78">
        <f t="shared" si="5"/>
        <v>0</v>
      </c>
      <c r="P78">
        <f t="shared" si="4"/>
        <v>41</v>
      </c>
    </row>
    <row r="79" spans="1:16" ht="20.100000000000001" customHeight="1">
      <c r="A79" s="157"/>
      <c r="B79" s="157"/>
      <c r="C79" s="553">
        <f t="shared" si="2"/>
        <v>65</v>
      </c>
      <c r="D79" s="510"/>
      <c r="E79" s="506"/>
      <c r="F79" s="924"/>
      <c r="G79" s="925"/>
      <c r="H79" s="927" t="str">
        <f t="shared" si="1"/>
        <v/>
      </c>
      <c r="I79" s="1057"/>
      <c r="J79" s="1058"/>
      <c r="K79" s="1059"/>
      <c r="L79" s="728">
        <f t="shared" si="3"/>
        <v>1</v>
      </c>
      <c r="O79">
        <f t="shared" ref="O79:O114" si="6">COUNTIFS(dateLog,"&lt;"&amp;D79,dateLog,"&gt;="&amp;D78)</f>
        <v>0</v>
      </c>
      <c r="P79">
        <f t="shared" si="4"/>
        <v>41</v>
      </c>
    </row>
    <row r="80" spans="1:16" ht="20.100000000000001" customHeight="1">
      <c r="A80" s="157"/>
      <c r="B80" s="157"/>
      <c r="C80" s="553">
        <f t="shared" si="2"/>
        <v>66</v>
      </c>
      <c r="D80" s="510"/>
      <c r="E80" s="506"/>
      <c r="F80" s="924"/>
      <c r="G80" s="925"/>
      <c r="H80" s="927" t="str">
        <f t="shared" ref="H80:H114" si="7">IF(F80="","",IF(D80="","***Enter Transaction Date***",IF(E80="Withdraw",(-(F80-G80)),IF(F80=0,"",F80-G80))))</f>
        <v/>
      </c>
      <c r="I80" s="1057"/>
      <c r="J80" s="1058"/>
      <c r="K80" s="1059"/>
      <c r="L80" s="728">
        <f t="shared" si="3"/>
        <v>1</v>
      </c>
      <c r="O80">
        <f t="shared" si="6"/>
        <v>0</v>
      </c>
      <c r="P80">
        <f t="shared" si="4"/>
        <v>41</v>
      </c>
    </row>
    <row r="81" spans="1:16" ht="20.100000000000001" customHeight="1">
      <c r="A81" s="157"/>
      <c r="B81" s="157"/>
      <c r="C81" s="553">
        <f t="shared" ref="C81:C114" si="8">C80+1</f>
        <v>67</v>
      </c>
      <c r="D81" s="510"/>
      <c r="E81" s="506"/>
      <c r="F81" s="924"/>
      <c r="G81" s="925"/>
      <c r="H81" s="927" t="str">
        <f t="shared" si="7"/>
        <v/>
      </c>
      <c r="I81" s="1057"/>
      <c r="J81" s="1058"/>
      <c r="K81" s="1059"/>
      <c r="L81" s="728">
        <f t="shared" ref="L81:L114" si="9">DATE(YEAR(D81),MONTH(D81),DAY(1))</f>
        <v>1</v>
      </c>
      <c r="O81">
        <f t="shared" si="6"/>
        <v>0</v>
      </c>
      <c r="P81">
        <f t="shared" si="4"/>
        <v>41</v>
      </c>
    </row>
    <row r="82" spans="1:16" ht="20.100000000000001" customHeight="1">
      <c r="A82" s="157"/>
      <c r="B82" s="157"/>
      <c r="C82" s="553">
        <f t="shared" si="8"/>
        <v>68</v>
      </c>
      <c r="D82" s="510"/>
      <c r="E82" s="506"/>
      <c r="F82" s="924"/>
      <c r="G82" s="925"/>
      <c r="H82" s="927" t="str">
        <f t="shared" si="7"/>
        <v/>
      </c>
      <c r="I82" s="1057"/>
      <c r="J82" s="1058"/>
      <c r="K82" s="1059"/>
      <c r="L82" s="728">
        <f t="shared" si="9"/>
        <v>1</v>
      </c>
      <c r="O82">
        <f t="shared" si="6"/>
        <v>0</v>
      </c>
      <c r="P82">
        <f t="shared" si="4"/>
        <v>41</v>
      </c>
    </row>
    <row r="83" spans="1:16" ht="20.100000000000001" customHeight="1">
      <c r="A83" s="157"/>
      <c r="B83" s="157"/>
      <c r="C83" s="553">
        <f t="shared" si="8"/>
        <v>69</v>
      </c>
      <c r="D83" s="510"/>
      <c r="E83" s="506"/>
      <c r="F83" s="924"/>
      <c r="G83" s="925"/>
      <c r="H83" s="927" t="str">
        <f t="shared" si="7"/>
        <v/>
      </c>
      <c r="I83" s="1057"/>
      <c r="J83" s="1058"/>
      <c r="K83" s="1059"/>
      <c r="L83" s="728">
        <f t="shared" si="9"/>
        <v>1</v>
      </c>
      <c r="O83">
        <f t="shared" si="6"/>
        <v>0</v>
      </c>
      <c r="P83">
        <f t="shared" si="4"/>
        <v>41</v>
      </c>
    </row>
    <row r="84" spans="1:16" ht="20.100000000000001" customHeight="1">
      <c r="A84" s="157"/>
      <c r="B84" s="157"/>
      <c r="C84" s="553">
        <f t="shared" si="8"/>
        <v>70</v>
      </c>
      <c r="D84" s="510"/>
      <c r="E84" s="506"/>
      <c r="F84" s="924"/>
      <c r="G84" s="925"/>
      <c r="H84" s="927" t="str">
        <f t="shared" si="7"/>
        <v/>
      </c>
      <c r="I84" s="1057"/>
      <c r="J84" s="1058"/>
      <c r="K84" s="1059"/>
      <c r="L84" s="728">
        <f t="shared" si="9"/>
        <v>1</v>
      </c>
      <c r="O84">
        <f t="shared" si="6"/>
        <v>0</v>
      </c>
      <c r="P84">
        <f t="shared" ref="P84:P114" si="10">O84+P83</f>
        <v>41</v>
      </c>
    </row>
    <row r="85" spans="1:16" ht="20.100000000000001" customHeight="1">
      <c r="A85" s="157"/>
      <c r="B85" s="157"/>
      <c r="C85" s="553">
        <f t="shared" si="8"/>
        <v>71</v>
      </c>
      <c r="D85" s="510"/>
      <c r="E85" s="506"/>
      <c r="F85" s="924"/>
      <c r="G85" s="925"/>
      <c r="H85" s="927" t="str">
        <f t="shared" si="7"/>
        <v/>
      </c>
      <c r="I85" s="1057"/>
      <c r="J85" s="1058"/>
      <c r="K85" s="1059"/>
      <c r="L85" s="728">
        <f t="shared" si="9"/>
        <v>1</v>
      </c>
      <c r="O85">
        <f t="shared" si="6"/>
        <v>0</v>
      </c>
      <c r="P85">
        <f t="shared" si="10"/>
        <v>41</v>
      </c>
    </row>
    <row r="86" spans="1:16" ht="20.100000000000001" customHeight="1">
      <c r="A86" s="157"/>
      <c r="B86" s="157"/>
      <c r="C86" s="553">
        <f t="shared" si="8"/>
        <v>72</v>
      </c>
      <c r="D86" s="510"/>
      <c r="E86" s="506"/>
      <c r="F86" s="924"/>
      <c r="G86" s="925"/>
      <c r="H86" s="927" t="str">
        <f t="shared" si="7"/>
        <v/>
      </c>
      <c r="I86" s="1057"/>
      <c r="J86" s="1058"/>
      <c r="K86" s="1059"/>
      <c r="L86" s="728">
        <f t="shared" si="9"/>
        <v>1</v>
      </c>
      <c r="O86">
        <f t="shared" si="6"/>
        <v>0</v>
      </c>
      <c r="P86">
        <f t="shared" si="10"/>
        <v>41</v>
      </c>
    </row>
    <row r="87" spans="1:16" ht="20.100000000000001" customHeight="1">
      <c r="A87" s="157"/>
      <c r="B87" s="157"/>
      <c r="C87" s="553">
        <f t="shared" si="8"/>
        <v>73</v>
      </c>
      <c r="D87" s="510"/>
      <c r="E87" s="506"/>
      <c r="F87" s="924"/>
      <c r="G87" s="925"/>
      <c r="H87" s="927" t="str">
        <f t="shared" si="7"/>
        <v/>
      </c>
      <c r="I87" s="1057"/>
      <c r="J87" s="1058"/>
      <c r="K87" s="1059"/>
      <c r="L87" s="728">
        <f t="shared" si="9"/>
        <v>1</v>
      </c>
      <c r="O87">
        <f t="shared" si="6"/>
        <v>0</v>
      </c>
      <c r="P87">
        <f t="shared" si="10"/>
        <v>41</v>
      </c>
    </row>
    <row r="88" spans="1:16" ht="20.100000000000001" customHeight="1">
      <c r="A88" s="157"/>
      <c r="B88" s="157"/>
      <c r="C88" s="553">
        <f t="shared" si="8"/>
        <v>74</v>
      </c>
      <c r="D88" s="510"/>
      <c r="E88" s="506"/>
      <c r="F88" s="924"/>
      <c r="G88" s="925"/>
      <c r="H88" s="927" t="str">
        <f t="shared" si="7"/>
        <v/>
      </c>
      <c r="I88" s="1057"/>
      <c r="J88" s="1058"/>
      <c r="K88" s="1059"/>
      <c r="L88" s="728">
        <f t="shared" si="9"/>
        <v>1</v>
      </c>
      <c r="O88">
        <f t="shared" si="6"/>
        <v>0</v>
      </c>
      <c r="P88">
        <f t="shared" si="10"/>
        <v>41</v>
      </c>
    </row>
    <row r="89" spans="1:16" ht="20.100000000000001" customHeight="1">
      <c r="A89" s="157"/>
      <c r="B89" s="157"/>
      <c r="C89" s="553">
        <f t="shared" si="8"/>
        <v>75</v>
      </c>
      <c r="D89" s="510"/>
      <c r="E89" s="506"/>
      <c r="F89" s="924"/>
      <c r="G89" s="925"/>
      <c r="H89" s="927" t="str">
        <f t="shared" si="7"/>
        <v/>
      </c>
      <c r="I89" s="1057"/>
      <c r="J89" s="1058"/>
      <c r="K89" s="1059"/>
      <c r="L89" s="728">
        <f t="shared" si="9"/>
        <v>1</v>
      </c>
      <c r="O89">
        <f t="shared" si="6"/>
        <v>0</v>
      </c>
      <c r="P89">
        <f t="shared" si="10"/>
        <v>41</v>
      </c>
    </row>
    <row r="90" spans="1:16" ht="20.100000000000001" customHeight="1">
      <c r="A90" s="157"/>
      <c r="B90" s="157"/>
      <c r="C90" s="553">
        <f t="shared" si="8"/>
        <v>76</v>
      </c>
      <c r="D90" s="510"/>
      <c r="E90" s="506"/>
      <c r="F90" s="924"/>
      <c r="G90" s="925"/>
      <c r="H90" s="927" t="str">
        <f t="shared" si="7"/>
        <v/>
      </c>
      <c r="I90" s="1057"/>
      <c r="J90" s="1058"/>
      <c r="K90" s="1059"/>
      <c r="L90" s="728">
        <f t="shared" si="9"/>
        <v>1</v>
      </c>
      <c r="O90">
        <f t="shared" si="6"/>
        <v>0</v>
      </c>
      <c r="P90">
        <f t="shared" si="10"/>
        <v>41</v>
      </c>
    </row>
    <row r="91" spans="1:16" ht="20.100000000000001" customHeight="1">
      <c r="A91" s="157"/>
      <c r="B91" s="157"/>
      <c r="C91" s="553">
        <f t="shared" si="8"/>
        <v>77</v>
      </c>
      <c r="D91" s="510"/>
      <c r="E91" s="506"/>
      <c r="F91" s="924"/>
      <c r="G91" s="925"/>
      <c r="H91" s="927" t="str">
        <f t="shared" si="7"/>
        <v/>
      </c>
      <c r="I91" s="1057"/>
      <c r="J91" s="1058"/>
      <c r="K91" s="1059"/>
      <c r="L91" s="728">
        <f t="shared" si="9"/>
        <v>1</v>
      </c>
      <c r="O91">
        <f t="shared" si="6"/>
        <v>0</v>
      </c>
      <c r="P91">
        <f t="shared" si="10"/>
        <v>41</v>
      </c>
    </row>
    <row r="92" spans="1:16" ht="20.100000000000001" customHeight="1">
      <c r="A92" s="157"/>
      <c r="B92" s="157"/>
      <c r="C92" s="553">
        <f t="shared" si="8"/>
        <v>78</v>
      </c>
      <c r="D92" s="510"/>
      <c r="E92" s="506"/>
      <c r="F92" s="924"/>
      <c r="G92" s="925"/>
      <c r="H92" s="927" t="str">
        <f t="shared" si="7"/>
        <v/>
      </c>
      <c r="I92" s="1057"/>
      <c r="J92" s="1058"/>
      <c r="K92" s="1059"/>
      <c r="L92" s="728">
        <f t="shared" si="9"/>
        <v>1</v>
      </c>
      <c r="O92">
        <f t="shared" si="6"/>
        <v>0</v>
      </c>
      <c r="P92">
        <f t="shared" si="10"/>
        <v>41</v>
      </c>
    </row>
    <row r="93" spans="1:16" ht="20.100000000000001" customHeight="1">
      <c r="A93" s="157"/>
      <c r="B93" s="157"/>
      <c r="C93" s="553">
        <f t="shared" si="8"/>
        <v>79</v>
      </c>
      <c r="D93" s="510"/>
      <c r="E93" s="506"/>
      <c r="F93" s="924"/>
      <c r="G93" s="925"/>
      <c r="H93" s="927" t="str">
        <f t="shared" si="7"/>
        <v/>
      </c>
      <c r="I93" s="1057"/>
      <c r="J93" s="1058"/>
      <c r="K93" s="1059"/>
      <c r="L93" s="728">
        <f t="shared" si="9"/>
        <v>1</v>
      </c>
      <c r="O93">
        <f t="shared" si="6"/>
        <v>0</v>
      </c>
      <c r="P93">
        <f t="shared" si="10"/>
        <v>41</v>
      </c>
    </row>
    <row r="94" spans="1:16" ht="20.100000000000001" customHeight="1">
      <c r="A94" s="157"/>
      <c r="B94" s="157"/>
      <c r="C94" s="553">
        <f t="shared" si="8"/>
        <v>80</v>
      </c>
      <c r="D94" s="510"/>
      <c r="E94" s="506"/>
      <c r="F94" s="924"/>
      <c r="G94" s="925"/>
      <c r="H94" s="927" t="str">
        <f t="shared" si="7"/>
        <v/>
      </c>
      <c r="I94" s="1057"/>
      <c r="J94" s="1058"/>
      <c r="K94" s="1059"/>
      <c r="L94" s="728">
        <f t="shared" si="9"/>
        <v>1</v>
      </c>
      <c r="O94">
        <f t="shared" si="6"/>
        <v>0</v>
      </c>
      <c r="P94">
        <f t="shared" si="10"/>
        <v>41</v>
      </c>
    </row>
    <row r="95" spans="1:16" ht="20.100000000000001" customHeight="1">
      <c r="A95" s="157"/>
      <c r="B95" s="157"/>
      <c r="C95" s="553">
        <f t="shared" si="8"/>
        <v>81</v>
      </c>
      <c r="D95" s="510"/>
      <c r="E95" s="506"/>
      <c r="F95" s="924"/>
      <c r="G95" s="925"/>
      <c r="H95" s="927" t="str">
        <f t="shared" si="7"/>
        <v/>
      </c>
      <c r="I95" s="1057"/>
      <c r="J95" s="1058"/>
      <c r="K95" s="1059"/>
      <c r="L95" s="728">
        <f t="shared" si="9"/>
        <v>1</v>
      </c>
      <c r="O95">
        <f t="shared" si="6"/>
        <v>0</v>
      </c>
      <c r="P95">
        <f t="shared" si="10"/>
        <v>41</v>
      </c>
    </row>
    <row r="96" spans="1:16" ht="20.100000000000001" customHeight="1">
      <c r="A96" s="157"/>
      <c r="B96" s="157"/>
      <c r="C96" s="553">
        <f t="shared" si="8"/>
        <v>82</v>
      </c>
      <c r="D96" s="510"/>
      <c r="E96" s="506"/>
      <c r="F96" s="924"/>
      <c r="G96" s="925"/>
      <c r="H96" s="927" t="str">
        <f t="shared" si="7"/>
        <v/>
      </c>
      <c r="I96" s="1057"/>
      <c r="J96" s="1058"/>
      <c r="K96" s="1059"/>
      <c r="L96" s="728">
        <f t="shared" si="9"/>
        <v>1</v>
      </c>
      <c r="O96">
        <f t="shared" si="6"/>
        <v>0</v>
      </c>
      <c r="P96">
        <f t="shared" si="10"/>
        <v>41</v>
      </c>
    </row>
    <row r="97" spans="1:16" ht="20.100000000000001" customHeight="1">
      <c r="A97" s="157"/>
      <c r="B97" s="157"/>
      <c r="C97" s="553">
        <f t="shared" si="8"/>
        <v>83</v>
      </c>
      <c r="D97" s="510"/>
      <c r="E97" s="506"/>
      <c r="F97" s="924"/>
      <c r="G97" s="925"/>
      <c r="H97" s="927" t="str">
        <f t="shared" si="7"/>
        <v/>
      </c>
      <c r="I97" s="1057"/>
      <c r="J97" s="1058"/>
      <c r="K97" s="1059"/>
      <c r="L97" s="728">
        <f t="shared" si="9"/>
        <v>1</v>
      </c>
      <c r="O97">
        <f t="shared" si="6"/>
        <v>0</v>
      </c>
      <c r="P97">
        <f t="shared" si="10"/>
        <v>41</v>
      </c>
    </row>
    <row r="98" spans="1:16" ht="20.100000000000001" customHeight="1">
      <c r="A98" s="157"/>
      <c r="B98" s="157"/>
      <c r="C98" s="553">
        <f t="shared" si="8"/>
        <v>84</v>
      </c>
      <c r="D98" s="510"/>
      <c r="E98" s="506"/>
      <c r="F98" s="924"/>
      <c r="G98" s="925"/>
      <c r="H98" s="927" t="str">
        <f t="shared" si="7"/>
        <v/>
      </c>
      <c r="I98" s="1057"/>
      <c r="J98" s="1058"/>
      <c r="K98" s="1059"/>
      <c r="L98" s="728">
        <f t="shared" si="9"/>
        <v>1</v>
      </c>
      <c r="O98">
        <f t="shared" si="6"/>
        <v>0</v>
      </c>
      <c r="P98">
        <f t="shared" si="10"/>
        <v>41</v>
      </c>
    </row>
    <row r="99" spans="1:16" ht="20.100000000000001" customHeight="1">
      <c r="A99" s="157"/>
      <c r="B99" s="157"/>
      <c r="C99" s="553">
        <f t="shared" si="8"/>
        <v>85</v>
      </c>
      <c r="D99" s="510"/>
      <c r="E99" s="506"/>
      <c r="F99" s="924"/>
      <c r="G99" s="925"/>
      <c r="H99" s="927" t="str">
        <f t="shared" si="7"/>
        <v/>
      </c>
      <c r="I99" s="1057"/>
      <c r="J99" s="1058"/>
      <c r="K99" s="1059"/>
      <c r="L99" s="728">
        <f t="shared" si="9"/>
        <v>1</v>
      </c>
      <c r="O99">
        <f t="shared" si="6"/>
        <v>0</v>
      </c>
      <c r="P99">
        <f t="shared" si="10"/>
        <v>41</v>
      </c>
    </row>
    <row r="100" spans="1:16" ht="20.100000000000001" customHeight="1">
      <c r="A100" s="157"/>
      <c r="B100" s="157"/>
      <c r="C100" s="553">
        <f t="shared" si="8"/>
        <v>86</v>
      </c>
      <c r="D100" s="510"/>
      <c r="E100" s="506"/>
      <c r="F100" s="924"/>
      <c r="G100" s="925"/>
      <c r="H100" s="927" t="str">
        <f t="shared" si="7"/>
        <v/>
      </c>
      <c r="I100" s="1057"/>
      <c r="J100" s="1058"/>
      <c r="K100" s="1059"/>
      <c r="L100" s="728">
        <f t="shared" si="9"/>
        <v>1</v>
      </c>
      <c r="O100">
        <f t="shared" si="6"/>
        <v>0</v>
      </c>
      <c r="P100">
        <f t="shared" si="10"/>
        <v>41</v>
      </c>
    </row>
    <row r="101" spans="1:16" ht="20.100000000000001" customHeight="1">
      <c r="A101" s="157"/>
      <c r="B101" s="157"/>
      <c r="C101" s="553">
        <f t="shared" si="8"/>
        <v>87</v>
      </c>
      <c r="D101" s="510"/>
      <c r="E101" s="506"/>
      <c r="F101" s="924"/>
      <c r="G101" s="925"/>
      <c r="H101" s="927" t="str">
        <f t="shared" si="7"/>
        <v/>
      </c>
      <c r="I101" s="1057"/>
      <c r="J101" s="1058"/>
      <c r="K101" s="1059"/>
      <c r="L101" s="728">
        <f t="shared" si="9"/>
        <v>1</v>
      </c>
      <c r="O101">
        <f t="shared" si="6"/>
        <v>0</v>
      </c>
      <c r="P101">
        <f t="shared" si="10"/>
        <v>41</v>
      </c>
    </row>
    <row r="102" spans="1:16" ht="20.100000000000001" customHeight="1">
      <c r="A102" s="157"/>
      <c r="B102" s="157"/>
      <c r="C102" s="553">
        <f t="shared" si="8"/>
        <v>88</v>
      </c>
      <c r="D102" s="510"/>
      <c r="E102" s="506"/>
      <c r="F102" s="924"/>
      <c r="G102" s="925"/>
      <c r="H102" s="927" t="str">
        <f t="shared" si="7"/>
        <v/>
      </c>
      <c r="I102" s="1057"/>
      <c r="J102" s="1058"/>
      <c r="K102" s="1059"/>
      <c r="L102" s="728">
        <f t="shared" si="9"/>
        <v>1</v>
      </c>
      <c r="O102">
        <f t="shared" si="6"/>
        <v>0</v>
      </c>
      <c r="P102">
        <f t="shared" si="10"/>
        <v>41</v>
      </c>
    </row>
    <row r="103" spans="1:16" ht="20.100000000000001" customHeight="1">
      <c r="A103" s="157"/>
      <c r="B103" s="157"/>
      <c r="C103" s="553">
        <f t="shared" si="8"/>
        <v>89</v>
      </c>
      <c r="D103" s="510"/>
      <c r="E103" s="506"/>
      <c r="F103" s="924"/>
      <c r="G103" s="925"/>
      <c r="H103" s="927" t="str">
        <f t="shared" si="7"/>
        <v/>
      </c>
      <c r="I103" s="1057"/>
      <c r="J103" s="1058"/>
      <c r="K103" s="1059"/>
      <c r="L103" s="728">
        <f t="shared" si="9"/>
        <v>1</v>
      </c>
      <c r="O103">
        <f t="shared" si="6"/>
        <v>0</v>
      </c>
      <c r="P103">
        <f t="shared" si="10"/>
        <v>41</v>
      </c>
    </row>
    <row r="104" spans="1:16" ht="20.100000000000001" customHeight="1">
      <c r="A104" s="157"/>
      <c r="B104" s="157"/>
      <c r="C104" s="553">
        <f t="shared" si="8"/>
        <v>90</v>
      </c>
      <c r="D104" s="510"/>
      <c r="E104" s="506"/>
      <c r="F104" s="924"/>
      <c r="G104" s="925"/>
      <c r="H104" s="927" t="str">
        <f t="shared" si="7"/>
        <v/>
      </c>
      <c r="I104" s="1057"/>
      <c r="J104" s="1058"/>
      <c r="K104" s="1059"/>
      <c r="L104" s="728">
        <f t="shared" si="9"/>
        <v>1</v>
      </c>
      <c r="O104">
        <f t="shared" si="6"/>
        <v>0</v>
      </c>
      <c r="P104">
        <f t="shared" si="10"/>
        <v>41</v>
      </c>
    </row>
    <row r="105" spans="1:16" ht="20.100000000000001" customHeight="1">
      <c r="A105" s="157"/>
      <c r="B105" s="157"/>
      <c r="C105" s="553">
        <f t="shared" si="8"/>
        <v>91</v>
      </c>
      <c r="D105" s="510"/>
      <c r="E105" s="506"/>
      <c r="F105" s="924"/>
      <c r="G105" s="925"/>
      <c r="H105" s="927" t="str">
        <f t="shared" si="7"/>
        <v/>
      </c>
      <c r="I105" s="1057"/>
      <c r="J105" s="1058"/>
      <c r="K105" s="1059"/>
      <c r="L105" s="728">
        <f t="shared" si="9"/>
        <v>1</v>
      </c>
      <c r="O105">
        <f t="shared" si="6"/>
        <v>0</v>
      </c>
      <c r="P105">
        <f t="shared" si="10"/>
        <v>41</v>
      </c>
    </row>
    <row r="106" spans="1:16" ht="20.100000000000001" customHeight="1">
      <c r="A106" s="157"/>
      <c r="B106" s="157"/>
      <c r="C106" s="553">
        <f t="shared" si="8"/>
        <v>92</v>
      </c>
      <c r="D106" s="510"/>
      <c r="E106" s="506"/>
      <c r="F106" s="924"/>
      <c r="G106" s="925"/>
      <c r="H106" s="927" t="str">
        <f t="shared" si="7"/>
        <v/>
      </c>
      <c r="I106" s="1057"/>
      <c r="J106" s="1058"/>
      <c r="K106" s="1059"/>
      <c r="L106" s="728">
        <f t="shared" si="9"/>
        <v>1</v>
      </c>
      <c r="O106">
        <f t="shared" si="6"/>
        <v>0</v>
      </c>
      <c r="P106">
        <f t="shared" si="10"/>
        <v>41</v>
      </c>
    </row>
    <row r="107" spans="1:16" ht="20.100000000000001" customHeight="1">
      <c r="A107" s="157"/>
      <c r="B107" s="157"/>
      <c r="C107" s="553">
        <f t="shared" si="8"/>
        <v>93</v>
      </c>
      <c r="D107" s="510"/>
      <c r="E107" s="506"/>
      <c r="F107" s="924"/>
      <c r="G107" s="925"/>
      <c r="H107" s="927" t="str">
        <f t="shared" si="7"/>
        <v/>
      </c>
      <c r="I107" s="1057"/>
      <c r="J107" s="1058"/>
      <c r="K107" s="1059"/>
      <c r="L107" s="728">
        <f t="shared" si="9"/>
        <v>1</v>
      </c>
      <c r="O107">
        <f t="shared" si="6"/>
        <v>0</v>
      </c>
      <c r="P107">
        <f t="shared" si="10"/>
        <v>41</v>
      </c>
    </row>
    <row r="108" spans="1:16" ht="20.100000000000001" customHeight="1">
      <c r="A108" s="157"/>
      <c r="B108" s="157"/>
      <c r="C108" s="553">
        <f t="shared" si="8"/>
        <v>94</v>
      </c>
      <c r="D108" s="510"/>
      <c r="E108" s="506"/>
      <c r="F108" s="924"/>
      <c r="G108" s="925"/>
      <c r="H108" s="927" t="str">
        <f t="shared" si="7"/>
        <v/>
      </c>
      <c r="I108" s="1057"/>
      <c r="J108" s="1058"/>
      <c r="K108" s="1059"/>
      <c r="L108" s="728">
        <f t="shared" si="9"/>
        <v>1</v>
      </c>
      <c r="O108">
        <f t="shared" si="6"/>
        <v>0</v>
      </c>
      <c r="P108">
        <f t="shared" si="10"/>
        <v>41</v>
      </c>
    </row>
    <row r="109" spans="1:16" ht="20.100000000000001" customHeight="1">
      <c r="A109" s="157"/>
      <c r="B109" s="157"/>
      <c r="C109" s="553">
        <f t="shared" si="8"/>
        <v>95</v>
      </c>
      <c r="D109" s="510"/>
      <c r="E109" s="506"/>
      <c r="F109" s="924"/>
      <c r="G109" s="925"/>
      <c r="H109" s="927" t="str">
        <f t="shared" si="7"/>
        <v/>
      </c>
      <c r="I109" s="1057"/>
      <c r="J109" s="1058"/>
      <c r="K109" s="1059"/>
      <c r="L109" s="728">
        <f t="shared" si="9"/>
        <v>1</v>
      </c>
      <c r="O109">
        <f t="shared" si="6"/>
        <v>0</v>
      </c>
      <c r="P109">
        <f t="shared" si="10"/>
        <v>41</v>
      </c>
    </row>
    <row r="110" spans="1:16" ht="20.100000000000001" customHeight="1">
      <c r="A110" s="157"/>
      <c r="B110" s="157"/>
      <c r="C110" s="553">
        <f t="shared" si="8"/>
        <v>96</v>
      </c>
      <c r="D110" s="510"/>
      <c r="E110" s="506"/>
      <c r="F110" s="924"/>
      <c r="G110" s="925"/>
      <c r="H110" s="927" t="str">
        <f t="shared" si="7"/>
        <v/>
      </c>
      <c r="I110" s="1057"/>
      <c r="J110" s="1058"/>
      <c r="K110" s="1059"/>
      <c r="L110" s="728">
        <f t="shared" si="9"/>
        <v>1</v>
      </c>
      <c r="O110">
        <f t="shared" si="6"/>
        <v>0</v>
      </c>
      <c r="P110">
        <f t="shared" si="10"/>
        <v>41</v>
      </c>
    </row>
    <row r="111" spans="1:16" ht="20.100000000000001" customHeight="1">
      <c r="A111" s="157"/>
      <c r="B111" s="157"/>
      <c r="C111" s="553">
        <f t="shared" si="8"/>
        <v>97</v>
      </c>
      <c r="D111" s="510"/>
      <c r="E111" s="506"/>
      <c r="F111" s="924"/>
      <c r="G111" s="925"/>
      <c r="H111" s="927" t="str">
        <f t="shared" si="7"/>
        <v/>
      </c>
      <c r="I111" s="1057"/>
      <c r="J111" s="1058"/>
      <c r="K111" s="1059"/>
      <c r="L111" s="728">
        <f t="shared" si="9"/>
        <v>1</v>
      </c>
      <c r="O111">
        <f t="shared" si="6"/>
        <v>0</v>
      </c>
      <c r="P111">
        <f t="shared" si="10"/>
        <v>41</v>
      </c>
    </row>
    <row r="112" spans="1:16" ht="20.100000000000001" customHeight="1">
      <c r="A112" s="157"/>
      <c r="B112" s="157"/>
      <c r="C112" s="553">
        <f t="shared" si="8"/>
        <v>98</v>
      </c>
      <c r="D112" s="510"/>
      <c r="E112" s="506"/>
      <c r="F112" s="924"/>
      <c r="G112" s="925"/>
      <c r="H112" s="927" t="str">
        <f t="shared" si="7"/>
        <v/>
      </c>
      <c r="I112" s="1057"/>
      <c r="J112" s="1058"/>
      <c r="K112" s="1059"/>
      <c r="L112" s="728">
        <f t="shared" si="9"/>
        <v>1</v>
      </c>
      <c r="O112">
        <f t="shared" si="6"/>
        <v>0</v>
      </c>
      <c r="P112">
        <f t="shared" si="10"/>
        <v>41</v>
      </c>
    </row>
    <row r="113" spans="1:16" ht="20.100000000000001" customHeight="1">
      <c r="A113" s="157"/>
      <c r="B113" s="157"/>
      <c r="C113" s="553">
        <f t="shared" si="8"/>
        <v>99</v>
      </c>
      <c r="D113" s="510"/>
      <c r="E113" s="506"/>
      <c r="F113" s="924"/>
      <c r="G113" s="925"/>
      <c r="H113" s="927" t="str">
        <f t="shared" si="7"/>
        <v/>
      </c>
      <c r="I113" s="1057"/>
      <c r="J113" s="1058"/>
      <c r="K113" s="1059"/>
      <c r="L113" s="728">
        <f t="shared" si="9"/>
        <v>1</v>
      </c>
      <c r="O113">
        <f t="shared" si="6"/>
        <v>0</v>
      </c>
      <c r="P113">
        <f t="shared" si="10"/>
        <v>41</v>
      </c>
    </row>
    <row r="114" spans="1:16" ht="20.100000000000001" customHeight="1">
      <c r="A114" s="157"/>
      <c r="B114" s="157"/>
      <c r="C114" s="553">
        <f t="shared" si="8"/>
        <v>100</v>
      </c>
      <c r="D114" s="510"/>
      <c r="E114" s="506"/>
      <c r="F114" s="924"/>
      <c r="G114" s="925"/>
      <c r="H114" s="928" t="str">
        <f t="shared" si="7"/>
        <v/>
      </c>
      <c r="I114" s="1057"/>
      <c r="J114" s="1058"/>
      <c r="K114" s="1059"/>
      <c r="L114" s="728">
        <f t="shared" si="9"/>
        <v>1</v>
      </c>
      <c r="O114">
        <f t="shared" si="6"/>
        <v>0</v>
      </c>
      <c r="P114">
        <f t="shared" si="10"/>
        <v>41</v>
      </c>
    </row>
    <row r="115" spans="1:16" ht="20.100000000000001" hidden="1" customHeight="1">
      <c r="A115" s="157"/>
      <c r="B115" s="157"/>
      <c r="C115" s="545"/>
      <c r="D115" s="668"/>
      <c r="E115" s="669"/>
      <c r="F115" s="670"/>
      <c r="G115" s="671"/>
      <c r="H115" s="94"/>
      <c r="I115" s="1060"/>
      <c r="J115" s="1061"/>
      <c r="K115" s="1062"/>
      <c r="L115" s="20"/>
    </row>
    <row r="116" spans="1:16" ht="20.100000000000001" hidden="1" customHeight="1">
      <c r="A116" s="157"/>
      <c r="B116" s="157"/>
      <c r="C116" s="680"/>
      <c r="D116" s="125"/>
      <c r="E116" s="97"/>
      <c r="F116" s="126"/>
      <c r="G116" s="127"/>
      <c r="H116" s="128"/>
      <c r="I116" s="1063"/>
      <c r="J116" s="1064"/>
      <c r="K116" s="1065"/>
      <c r="L116" s="156"/>
    </row>
    <row r="117" spans="1:16" ht="20.100000000000001" customHeight="1">
      <c r="A117" s="157"/>
      <c r="B117" s="157"/>
      <c r="C117" s="157"/>
      <c r="D117" s="157"/>
      <c r="E117" s="157"/>
      <c r="F117" s="157"/>
      <c r="G117" s="157"/>
      <c r="H117" s="157"/>
      <c r="I117" s="157"/>
      <c r="J117" s="157"/>
      <c r="K117" s="157"/>
      <c r="L117" s="157"/>
    </row>
    <row r="118" spans="1:16" ht="17.100000000000001" customHeight="1">
      <c r="A118" s="157"/>
      <c r="B118" s="157"/>
      <c r="C118" s="157"/>
      <c r="D118" s="157"/>
      <c r="E118" s="157"/>
      <c r="F118" s="157"/>
      <c r="G118" s="157"/>
      <c r="H118" s="157"/>
      <c r="I118" s="157"/>
      <c r="J118" s="157"/>
      <c r="K118" s="157"/>
      <c r="L118" s="157"/>
    </row>
    <row r="119" spans="1:16" ht="17.100000000000001" customHeight="1">
      <c r="A119" s="157"/>
      <c r="B119" s="157"/>
      <c r="C119" s="157"/>
      <c r="D119" s="157"/>
      <c r="E119" s="157"/>
      <c r="F119" s="157"/>
      <c r="G119" s="157"/>
      <c r="H119" s="157"/>
      <c r="I119" s="157"/>
      <c r="J119" s="157"/>
      <c r="K119" s="157"/>
      <c r="L119" s="157"/>
    </row>
    <row r="120" spans="1:16" ht="17.100000000000001" customHeight="1">
      <c r="A120" s="157"/>
      <c r="B120" s="157"/>
      <c r="C120" s="157"/>
      <c r="D120" s="157"/>
      <c r="E120" s="157"/>
      <c r="F120" s="157"/>
      <c r="G120" s="157"/>
      <c r="H120" s="157"/>
      <c r="I120" s="157"/>
      <c r="J120" s="157"/>
      <c r="K120" s="157"/>
      <c r="L120" s="157"/>
    </row>
    <row r="121" spans="1:16" ht="17.100000000000001" customHeight="1">
      <c r="A121" s="157"/>
      <c r="B121" s="157"/>
      <c r="C121" s="157"/>
      <c r="D121" s="157"/>
      <c r="E121" s="157"/>
      <c r="F121" s="157"/>
      <c r="G121" s="157"/>
      <c r="H121" s="157"/>
      <c r="I121" s="157"/>
      <c r="J121" s="157"/>
      <c r="K121" s="157"/>
      <c r="L121" s="157"/>
    </row>
    <row r="122" spans="1:16" ht="17.100000000000001" customHeight="1">
      <c r="A122" s="157"/>
      <c r="B122" s="157"/>
      <c r="C122" s="157"/>
      <c r="D122" s="157"/>
      <c r="E122" s="157"/>
      <c r="F122" s="157"/>
      <c r="G122" s="157"/>
      <c r="H122" s="157"/>
      <c r="I122" s="157"/>
      <c r="J122" s="157"/>
      <c r="K122" s="157"/>
      <c r="L122" s="157"/>
    </row>
    <row r="123" spans="1:16" ht="17.100000000000001" customHeight="1">
      <c r="A123" s="157"/>
      <c r="B123" s="157"/>
      <c r="C123" s="157"/>
      <c r="D123" s="157"/>
      <c r="E123" s="157"/>
      <c r="F123" s="157"/>
      <c r="G123" s="157"/>
      <c r="H123" s="157"/>
      <c r="I123" s="157"/>
      <c r="J123" s="157"/>
      <c r="K123" s="157"/>
      <c r="L123" s="157"/>
    </row>
    <row r="124" spans="1:16" ht="17.100000000000001" customHeight="1">
      <c r="A124" s="157"/>
      <c r="B124" s="157"/>
      <c r="C124" s="157"/>
      <c r="D124" s="157"/>
      <c r="E124" s="157"/>
      <c r="F124" s="157"/>
      <c r="G124" s="157"/>
      <c r="H124" s="157"/>
      <c r="I124" s="157"/>
      <c r="J124" s="157"/>
      <c r="K124" s="157"/>
      <c r="L124" s="157"/>
    </row>
    <row r="125" spans="1:16" ht="17.100000000000001" customHeight="1">
      <c r="A125" s="157"/>
      <c r="B125" s="157"/>
      <c r="C125" s="157"/>
      <c r="D125" s="157"/>
      <c r="E125" s="157"/>
      <c r="F125" s="157"/>
      <c r="G125" s="157"/>
      <c r="H125" s="157"/>
      <c r="I125" s="157"/>
      <c r="J125" s="157"/>
      <c r="K125" s="157"/>
      <c r="L125" s="157"/>
    </row>
    <row r="126" spans="1:16" ht="17.100000000000001" customHeight="1">
      <c r="A126" s="157"/>
      <c r="B126" s="157"/>
      <c r="C126" s="157"/>
      <c r="D126" s="157"/>
      <c r="E126" s="157"/>
      <c r="F126" s="157"/>
      <c r="G126" s="157"/>
      <c r="H126" s="157"/>
      <c r="I126" s="157"/>
      <c r="J126" s="157"/>
      <c r="K126" s="157"/>
      <c r="L126" s="157"/>
    </row>
    <row r="127" spans="1:16" ht="17.100000000000001" customHeight="1">
      <c r="A127" s="157"/>
      <c r="B127" s="157"/>
      <c r="C127" s="157"/>
      <c r="D127" s="157"/>
      <c r="E127" s="157"/>
      <c r="F127" s="157"/>
      <c r="G127" s="157"/>
      <c r="H127" s="157"/>
      <c r="I127" s="157"/>
      <c r="J127" s="157"/>
      <c r="K127" s="157"/>
      <c r="L127" s="157"/>
    </row>
    <row r="128" spans="1:16" ht="17.100000000000001" customHeight="1">
      <c r="A128" s="157"/>
      <c r="B128" s="157"/>
      <c r="C128" s="157"/>
      <c r="D128" s="157"/>
      <c r="E128" s="157"/>
      <c r="F128" s="157"/>
      <c r="G128" s="157"/>
      <c r="H128" s="157"/>
      <c r="I128" s="157"/>
      <c r="J128" s="157"/>
      <c r="K128" s="157"/>
      <c r="L128" s="157"/>
    </row>
    <row r="129" spans="1:12" ht="17.100000000000001" customHeight="1">
      <c r="A129" s="157"/>
      <c r="B129" s="157"/>
      <c r="C129" s="157"/>
      <c r="D129" s="157"/>
      <c r="E129" s="157"/>
      <c r="F129" s="157"/>
      <c r="G129" s="157"/>
      <c r="H129" s="157"/>
      <c r="I129" s="157"/>
      <c r="J129" s="157"/>
      <c r="K129" s="157"/>
      <c r="L129" s="157"/>
    </row>
    <row r="130" spans="1:12" ht="17.100000000000001" customHeight="1">
      <c r="A130" s="157"/>
      <c r="B130" s="157"/>
      <c r="C130" s="157"/>
      <c r="D130" s="157"/>
      <c r="E130" s="157"/>
      <c r="F130" s="157"/>
      <c r="G130" s="157"/>
      <c r="H130" s="157"/>
      <c r="I130" s="157"/>
      <c r="J130" s="157"/>
      <c r="K130" s="157"/>
      <c r="L130" s="157"/>
    </row>
    <row r="131" spans="1:12" ht="17.100000000000001" customHeight="1">
      <c r="A131" s="157"/>
      <c r="B131" s="157"/>
      <c r="C131" s="157"/>
      <c r="D131" s="157"/>
      <c r="E131" s="157"/>
      <c r="F131" s="157"/>
      <c r="G131" s="157"/>
      <c r="H131" s="157"/>
      <c r="I131" s="157"/>
      <c r="J131" s="157"/>
      <c r="K131" s="157"/>
      <c r="L131" s="157"/>
    </row>
    <row r="132" spans="1:12" ht="17.100000000000001" customHeight="1">
      <c r="A132" s="157"/>
      <c r="B132" s="157"/>
      <c r="C132" s="157"/>
      <c r="D132" s="157"/>
      <c r="E132" s="157"/>
      <c r="F132" s="157"/>
      <c r="G132" s="157"/>
      <c r="H132" s="157"/>
      <c r="I132" s="157"/>
      <c r="J132" s="157"/>
      <c r="K132" s="157"/>
      <c r="L132" s="157"/>
    </row>
    <row r="133" spans="1:12" ht="17.100000000000001" customHeight="1">
      <c r="A133" s="157"/>
      <c r="B133" s="157"/>
      <c r="C133" s="157"/>
      <c r="D133" s="157"/>
      <c r="E133" s="157"/>
      <c r="F133" s="157"/>
      <c r="G133" s="157"/>
      <c r="H133" s="157"/>
      <c r="I133" s="157"/>
      <c r="J133" s="157"/>
      <c r="K133" s="157"/>
      <c r="L133" s="157"/>
    </row>
    <row r="134" spans="1:12" ht="17.100000000000001" customHeight="1">
      <c r="A134" s="157"/>
      <c r="B134" s="157"/>
      <c r="C134" s="157"/>
      <c r="D134" s="157"/>
      <c r="E134" s="157"/>
      <c r="F134" s="157"/>
      <c r="G134" s="157"/>
      <c r="H134" s="157"/>
      <c r="I134" s="157"/>
      <c r="J134" s="157"/>
      <c r="K134" s="157"/>
      <c r="L134" s="157"/>
    </row>
    <row r="135" spans="1:12" ht="17.100000000000001" customHeight="1">
      <c r="A135" s="157"/>
      <c r="B135" s="157"/>
      <c r="C135" s="157"/>
      <c r="D135" s="157"/>
      <c r="E135" s="157"/>
      <c r="F135" s="157"/>
      <c r="G135" s="157"/>
      <c r="H135" s="157"/>
      <c r="I135" s="157"/>
      <c r="J135" s="157"/>
      <c r="K135" s="157"/>
      <c r="L135" s="157"/>
    </row>
    <row r="136" spans="1:12" ht="17.100000000000001" customHeight="1">
      <c r="A136" s="157"/>
      <c r="B136" s="157"/>
      <c r="C136" s="157"/>
      <c r="D136" s="157"/>
      <c r="E136" s="157"/>
      <c r="F136" s="157"/>
      <c r="G136" s="157"/>
      <c r="H136" s="157"/>
      <c r="I136" s="157"/>
      <c r="J136" s="157"/>
      <c r="K136" s="157"/>
      <c r="L136" s="157"/>
    </row>
    <row r="137" spans="1:12" ht="17.100000000000001" customHeight="1">
      <c r="A137" s="157"/>
      <c r="B137" s="157"/>
      <c r="C137" s="157"/>
      <c r="D137" s="157"/>
      <c r="E137" s="157"/>
      <c r="F137" s="157"/>
      <c r="G137" s="157"/>
      <c r="H137" s="157"/>
      <c r="I137" s="157"/>
      <c r="J137" s="157"/>
      <c r="K137" s="157"/>
      <c r="L137" s="157"/>
    </row>
    <row r="138" spans="1:12" ht="17.100000000000001" customHeight="1">
      <c r="A138" s="157"/>
      <c r="B138" s="157"/>
      <c r="C138" s="157"/>
      <c r="D138" s="157"/>
      <c r="E138" s="157"/>
      <c r="F138" s="157"/>
      <c r="G138" s="157"/>
      <c r="H138" s="157"/>
      <c r="I138" s="157"/>
      <c r="J138" s="157"/>
      <c r="K138" s="157"/>
      <c r="L138" s="157"/>
    </row>
    <row r="139" spans="1:12" ht="17.100000000000001" customHeight="1">
      <c r="A139" s="157"/>
      <c r="B139" s="157"/>
      <c r="C139" s="157"/>
      <c r="D139" s="157"/>
      <c r="E139" s="157"/>
      <c r="F139" s="157"/>
      <c r="G139" s="157"/>
      <c r="H139" s="157"/>
      <c r="I139" s="157"/>
      <c r="J139" s="157"/>
      <c r="K139" s="157"/>
      <c r="L139" s="157"/>
    </row>
    <row r="140" spans="1:12" ht="17.100000000000001" customHeight="1">
      <c r="A140" s="157"/>
      <c r="B140" s="157"/>
      <c r="C140" s="157"/>
      <c r="D140" s="157"/>
      <c r="E140" s="157"/>
      <c r="F140" s="157"/>
      <c r="G140" s="157"/>
      <c r="H140" s="157"/>
      <c r="I140" s="157"/>
      <c r="J140" s="157"/>
      <c r="K140" s="157"/>
      <c r="L140" s="157"/>
    </row>
    <row r="141" spans="1:12" ht="17.100000000000001" customHeight="1"/>
    <row r="142" spans="1:12" ht="17.100000000000001" customHeight="1"/>
    <row r="143" spans="1:12" ht="17.100000000000001" customHeight="1"/>
    <row r="144" spans="1:12"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7.100000000000001" customHeight="1"/>
    <row r="428" ht="17.100000000000001" customHeight="1"/>
    <row r="429" ht="17.100000000000001" customHeight="1"/>
    <row r="430" ht="17.100000000000001" customHeight="1"/>
    <row r="431" ht="17.100000000000001" customHeight="1"/>
    <row r="432" ht="17.100000000000001" customHeight="1"/>
    <row r="433" ht="17.100000000000001" customHeight="1"/>
    <row r="434" ht="17.100000000000001" customHeight="1"/>
    <row r="435" ht="17.100000000000001" customHeight="1"/>
    <row r="436" ht="17.100000000000001" customHeight="1"/>
    <row r="437" ht="17.100000000000001" customHeight="1"/>
    <row r="438" ht="17.100000000000001" customHeight="1"/>
    <row r="439" ht="17.100000000000001" customHeight="1"/>
    <row r="440" ht="17.100000000000001" customHeight="1"/>
    <row r="441" ht="17.100000000000001" customHeight="1"/>
    <row r="442" ht="17.100000000000001" customHeight="1"/>
    <row r="443" ht="17.100000000000001" customHeight="1"/>
    <row r="444" ht="17.100000000000001" customHeight="1"/>
    <row r="445" ht="17.100000000000001" customHeight="1"/>
    <row r="446" ht="17.100000000000001" customHeight="1"/>
    <row r="447" ht="17.100000000000001" customHeight="1"/>
    <row r="448" ht="17.100000000000001" customHeight="1"/>
    <row r="449" ht="17.100000000000001" customHeight="1"/>
    <row r="450" ht="17.100000000000001" customHeight="1"/>
    <row r="451" ht="17.100000000000001" customHeight="1"/>
    <row r="452" ht="17.100000000000001" customHeight="1"/>
    <row r="453" ht="17.100000000000001" customHeight="1"/>
    <row r="454" ht="17.100000000000001" customHeight="1"/>
    <row r="455" ht="17.100000000000001" customHeight="1"/>
    <row r="456" ht="17.100000000000001" customHeight="1"/>
    <row r="457" ht="17.100000000000001" customHeight="1"/>
    <row r="458" ht="17.100000000000001" customHeight="1"/>
    <row r="459" ht="17.100000000000001" customHeight="1"/>
    <row r="460" ht="17.100000000000001" customHeight="1"/>
    <row r="461" ht="17.100000000000001" customHeight="1"/>
    <row r="462" ht="17.100000000000001" customHeight="1"/>
    <row r="463" ht="17.100000000000001" customHeight="1"/>
    <row r="464" ht="17.100000000000001" customHeight="1"/>
    <row r="465" ht="17.100000000000001" customHeight="1"/>
    <row r="466" ht="17.100000000000001" customHeight="1"/>
    <row r="467" ht="17.100000000000001" customHeight="1"/>
    <row r="468" ht="17.100000000000001" customHeight="1"/>
    <row r="469" ht="17.100000000000001" customHeight="1"/>
    <row r="470" ht="17.100000000000001" customHeight="1"/>
    <row r="471" ht="17.100000000000001" customHeight="1"/>
    <row r="472" ht="17.100000000000001" customHeight="1"/>
    <row r="473" ht="17.100000000000001" customHeight="1"/>
    <row r="474" ht="17.100000000000001" customHeight="1"/>
    <row r="475" ht="17.100000000000001" customHeight="1"/>
    <row r="476" ht="17.100000000000001" customHeight="1"/>
    <row r="477" ht="17.100000000000001" customHeight="1"/>
    <row r="478" ht="17.100000000000001" customHeight="1"/>
    <row r="479" ht="17.100000000000001" customHeight="1"/>
    <row r="480" ht="17.100000000000001" customHeight="1"/>
    <row r="481" ht="17.100000000000001" customHeight="1"/>
    <row r="482" ht="17.100000000000001" customHeight="1"/>
    <row r="483" ht="17.100000000000001" customHeight="1"/>
    <row r="484" ht="17.100000000000001" customHeight="1"/>
    <row r="485" ht="17.100000000000001" customHeight="1"/>
    <row r="486" ht="17.100000000000001" customHeight="1"/>
    <row r="487" ht="17.100000000000001" customHeight="1"/>
    <row r="488" ht="17.100000000000001" customHeight="1"/>
    <row r="489" ht="17.100000000000001" customHeight="1"/>
    <row r="490" ht="17.100000000000001" customHeight="1"/>
    <row r="491" ht="17.100000000000001" customHeight="1"/>
    <row r="492" ht="17.100000000000001" customHeight="1"/>
    <row r="493" ht="17.100000000000001" customHeight="1"/>
    <row r="494" ht="17.100000000000001" customHeight="1"/>
    <row r="495" ht="17.100000000000001" customHeight="1"/>
    <row r="496" ht="17.100000000000001" customHeight="1"/>
    <row r="497" ht="17.100000000000001" customHeight="1"/>
    <row r="498" ht="17.100000000000001" customHeight="1"/>
    <row r="499" ht="17.100000000000001" customHeight="1"/>
    <row r="500" ht="17.100000000000001" customHeight="1"/>
    <row r="501" ht="17.100000000000001" customHeight="1"/>
    <row r="502" ht="17.100000000000001" customHeight="1"/>
    <row r="503" ht="17.100000000000001" customHeight="1"/>
    <row r="504" ht="17.100000000000001" customHeight="1"/>
    <row r="505" ht="17.100000000000001" customHeight="1"/>
    <row r="506" ht="17.100000000000001" customHeight="1"/>
    <row r="507" ht="17.100000000000001" customHeight="1"/>
    <row r="508" ht="17.100000000000001" customHeight="1"/>
    <row r="509" ht="17.100000000000001" customHeight="1"/>
    <row r="510" ht="17.100000000000001" customHeight="1"/>
    <row r="511" ht="17.100000000000001" customHeight="1"/>
    <row r="512" ht="17.100000000000001" customHeight="1"/>
    <row r="513" ht="17.100000000000001" customHeight="1"/>
    <row r="514" ht="17.100000000000001" customHeight="1"/>
  </sheetData>
  <sheetProtection algorithmName="SHA-512" hashValue="GI0s7O9z1eVDOu08c/vEy7+m7g+ixO+KnIqzBl4WK6ugKWct65rYg6MBXi4S/6xNFgKh/UXqm2PcLiJTGBmOig==" saltValue="MdV7QxK8yKa/GhjWSTDGVA==" spinCount="100000" sheet="1" objects="1" scenarios="1" formatCells="0"/>
  <protectedRanges>
    <protectedRange sqref="D14:K14 D6:D9 G6:G10 H4:J4 D4" name="text"/>
    <protectedRange sqref="I15:K600 D15:G600" name="InputData_1_1"/>
  </protectedRanges>
  <mergeCells count="102">
    <mergeCell ref="I115:K115"/>
    <mergeCell ref="I116:K116"/>
    <mergeCell ref="I112:K112"/>
    <mergeCell ref="I113:K113"/>
    <mergeCell ref="I114:K114"/>
    <mergeCell ref="I107:K107"/>
    <mergeCell ref="I108:K108"/>
    <mergeCell ref="I109:K109"/>
    <mergeCell ref="I110:K110"/>
    <mergeCell ref="I111:K111"/>
    <mergeCell ref="I102:K102"/>
    <mergeCell ref="I103:K103"/>
    <mergeCell ref="I104:K104"/>
    <mergeCell ref="I105:K105"/>
    <mergeCell ref="I106:K106"/>
    <mergeCell ref="I97:K97"/>
    <mergeCell ref="I98:K98"/>
    <mergeCell ref="I99:K99"/>
    <mergeCell ref="I100:K100"/>
    <mergeCell ref="I101:K101"/>
    <mergeCell ref="I92:K92"/>
    <mergeCell ref="I93:K93"/>
    <mergeCell ref="I94:K94"/>
    <mergeCell ref="I95:K95"/>
    <mergeCell ref="I96:K96"/>
    <mergeCell ref="I87:K87"/>
    <mergeCell ref="I88:K88"/>
    <mergeCell ref="I89:K89"/>
    <mergeCell ref="I90:K90"/>
    <mergeCell ref="I91:K91"/>
    <mergeCell ref="I82:K82"/>
    <mergeCell ref="I83:K83"/>
    <mergeCell ref="I84:K84"/>
    <mergeCell ref="I85:K85"/>
    <mergeCell ref="I86:K86"/>
    <mergeCell ref="I77:K77"/>
    <mergeCell ref="I78:K78"/>
    <mergeCell ref="I79:K79"/>
    <mergeCell ref="I80:K80"/>
    <mergeCell ref="I81:K81"/>
    <mergeCell ref="I72:K72"/>
    <mergeCell ref="I73:K73"/>
    <mergeCell ref="I74:K74"/>
    <mergeCell ref="I75:K75"/>
    <mergeCell ref="I76:K76"/>
    <mergeCell ref="I67:K67"/>
    <mergeCell ref="I68:K68"/>
    <mergeCell ref="I69:K69"/>
    <mergeCell ref="I70:K70"/>
    <mergeCell ref="I71:K71"/>
    <mergeCell ref="I62:K62"/>
    <mergeCell ref="I63:K63"/>
    <mergeCell ref="I64:K64"/>
    <mergeCell ref="I65:K65"/>
    <mergeCell ref="I66:K66"/>
    <mergeCell ref="I57:K57"/>
    <mergeCell ref="I58:K58"/>
    <mergeCell ref="I59:K59"/>
    <mergeCell ref="I60:K60"/>
    <mergeCell ref="I61:K61"/>
    <mergeCell ref="I52:K52"/>
    <mergeCell ref="I53:K53"/>
    <mergeCell ref="I54:K54"/>
    <mergeCell ref="I55:K55"/>
    <mergeCell ref="I56:K56"/>
    <mergeCell ref="I47:K47"/>
    <mergeCell ref="I48:K48"/>
    <mergeCell ref="I49:K49"/>
    <mergeCell ref="I50:K50"/>
    <mergeCell ref="I51:K51"/>
    <mergeCell ref="I42:K42"/>
    <mergeCell ref="I43:K43"/>
    <mergeCell ref="I44:K44"/>
    <mergeCell ref="I45:K45"/>
    <mergeCell ref="I46:K46"/>
    <mergeCell ref="I37:K37"/>
    <mergeCell ref="I38:K38"/>
    <mergeCell ref="I39:K39"/>
    <mergeCell ref="I40:K40"/>
    <mergeCell ref="I41:K41"/>
    <mergeCell ref="I32:K32"/>
    <mergeCell ref="I33:K33"/>
    <mergeCell ref="I34:K34"/>
    <mergeCell ref="I35:K35"/>
    <mergeCell ref="I36:K36"/>
    <mergeCell ref="I28:K28"/>
    <mergeCell ref="I29:K29"/>
    <mergeCell ref="I30:K30"/>
    <mergeCell ref="I31:K31"/>
    <mergeCell ref="I15:K15"/>
    <mergeCell ref="I16:K16"/>
    <mergeCell ref="I27:K27"/>
    <mergeCell ref="I22:K22"/>
    <mergeCell ref="I23:K23"/>
    <mergeCell ref="I24:K24"/>
    <mergeCell ref="I25:K25"/>
    <mergeCell ref="I26:K26"/>
    <mergeCell ref="I17:K17"/>
    <mergeCell ref="I18:K18"/>
    <mergeCell ref="I19:K19"/>
    <mergeCell ref="I20:K20"/>
    <mergeCell ref="I21:K21"/>
  </mergeCells>
  <phoneticPr fontId="140" type="noConversion"/>
  <conditionalFormatting sqref="I10 H9:J9">
    <cfRule type="cellIs" dxfId="215" priority="37" operator="lessThan">
      <formula>0</formula>
    </cfRule>
  </conditionalFormatting>
  <conditionalFormatting sqref="H115">
    <cfRule type="containsText" dxfId="214" priority="27" operator="containsText" text="enter">
      <formula>NOT(ISERROR(SEARCH("enter",H115)))</formula>
    </cfRule>
  </conditionalFormatting>
  <conditionalFormatting sqref="H116">
    <cfRule type="containsText" dxfId="213" priority="21" operator="containsText" text="enter">
      <formula>NOT(ISERROR(SEARCH("enter",H116)))</formula>
    </cfRule>
  </conditionalFormatting>
  <conditionalFormatting sqref="H15:H114">
    <cfRule type="containsText" dxfId="212" priority="2" operator="containsText" text="enter">
      <formula>NOT(ISERROR(SEARCH("enter",H15)))</formula>
    </cfRule>
  </conditionalFormatting>
  <conditionalFormatting sqref="E9:F9">
    <cfRule type="cellIs" dxfId="211" priority="1" operator="lessThan">
      <formula>0</formula>
    </cfRule>
  </conditionalFormatting>
  <dataValidations count="6">
    <dataValidation type="decimal" errorStyle="information" operator="greaterThan" allowBlank="1" showInputMessage="1" showErrorMessage="1" error="&quot;Enter Possitive Value&quot;" sqref="F15:F1048576" xr:uid="{00000000-0002-0000-0700-000000000000}">
      <formula1>0</formula1>
    </dataValidation>
    <dataValidation type="list" allowBlank="1" showInputMessage="1" showErrorMessage="1" sqref="E15:E514" xr:uid="{00000000-0002-0000-0700-000001000000}">
      <formula1>"Deposit,Withdraw"</formula1>
    </dataValidation>
    <dataValidation allowBlank="1" showInputMessage="1" showErrorMessage="1" prompt="Should be the oldest date log in the journal." sqref="D15:D16" xr:uid="{00000000-0002-0000-0700-000002000000}"/>
    <dataValidation allowBlank="1" showInputMessage="1" showErrorMessage="1" prompt="(Total realized gain) + (Total realized loss)" sqref="F9" xr:uid="{00000000-0002-0000-0600-000002000000}"/>
    <dataValidation allowBlank="1" showInputMessage="1" showErrorMessage="1" prompt="(Total realized gain) divided by (Total Cash Deposits )" sqref="F6" xr:uid="{00000000-0002-0000-0600-000001000000}"/>
    <dataValidation allowBlank="1" showInputMessage="1" showErrorMessage="1" prompt="(Total realized loss) divided by (Total Cash Deposits )" sqref="F7" xr:uid="{00000000-0002-0000-0600-000000000000}"/>
  </dataValidations>
  <pageMargins left="0.7" right="0.7" top="0.75" bottom="0.75" header="0.3" footer="0.3"/>
  <pageSetup scale="87" orientation="portrait" horizontalDpi="1200" verticalDpi="1200" r:id="rId1"/>
  <colBreaks count="1" manualBreakCount="1">
    <brk id="12" max="513"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radeReview">
    <tabColor theme="6"/>
  </sheetPr>
  <dimension ref="B1:AU10029"/>
  <sheetViews>
    <sheetView showGridLines="0" showRowColHeaders="0" topLeftCell="C1" zoomScaleNormal="100" workbookViewId="0">
      <pane ySplit="16" topLeftCell="A17" activePane="bottomLeft" state="frozen"/>
      <selection activeCell="B1" sqref="B1"/>
      <selection pane="bottomLeft" activeCell="J18" sqref="J18"/>
    </sheetView>
  </sheetViews>
  <sheetFormatPr defaultColWidth="0" defaultRowHeight="15"/>
  <cols>
    <col min="1" max="1" width="9.42578125" hidden="1" customWidth="1"/>
    <col min="2" max="2" width="3.7109375" hidden="1" customWidth="1"/>
    <col min="3" max="3" width="4.28515625" customWidth="1"/>
    <col min="4" max="4" width="9.7109375" customWidth="1"/>
    <col min="5" max="5" width="8.140625" customWidth="1"/>
    <col min="6" max="6" width="6.140625" customWidth="1"/>
    <col min="7" max="10" width="12.42578125" customWidth="1"/>
    <col min="11" max="11" width="15.7109375" customWidth="1"/>
    <col min="12" max="13" width="8.85546875" customWidth="1"/>
    <col min="14" max="14" width="12.140625" customWidth="1"/>
    <col min="15" max="15" width="17.7109375" customWidth="1"/>
    <col min="16" max="17" width="11.85546875" hidden="1" customWidth="1"/>
    <col min="18" max="18" width="17" customWidth="1"/>
    <col min="19" max="20" width="12.140625" customWidth="1"/>
    <col min="21" max="21" width="7" customWidth="1"/>
    <col min="22" max="22" width="61.85546875" customWidth="1"/>
    <col min="23" max="23" width="23.140625" customWidth="1"/>
    <col min="24" max="24" width="7.7109375" hidden="1" customWidth="1"/>
    <col min="25" max="31" width="9.42578125" hidden="1" customWidth="1"/>
    <col min="32" max="32" width="13.85546875" hidden="1" customWidth="1"/>
    <col min="33" max="33" width="9.42578125" hidden="1" customWidth="1"/>
    <col min="34" max="34" width="10" hidden="1" customWidth="1"/>
    <col min="35" max="35" width="9.42578125" hidden="1" customWidth="1"/>
    <col min="36" max="37" width="9.5703125" hidden="1" customWidth="1"/>
    <col min="38" max="38" width="9.42578125" hidden="1" customWidth="1"/>
    <col min="39" max="39" width="10.5703125" hidden="1" customWidth="1"/>
    <col min="40" max="40" width="9.7109375" hidden="1" customWidth="1"/>
    <col min="41" max="42" width="11.85546875" hidden="1" customWidth="1"/>
    <col min="43" max="43" width="11.28515625" hidden="1" customWidth="1"/>
    <col min="44" max="45" width="9.5703125" hidden="1" customWidth="1"/>
    <col min="46" max="46" width="11.5703125" hidden="1" customWidth="1"/>
    <col min="47" max="47" width="12.28515625" hidden="1" customWidth="1"/>
    <col min="48" max="16384" width="9.42578125" hidden="1"/>
  </cols>
  <sheetData>
    <row r="1" spans="3:45" ht="24.95" customHeight="1">
      <c r="C1" s="849"/>
      <c r="D1" s="850"/>
      <c r="E1" s="850"/>
      <c r="F1" s="850"/>
      <c r="G1" s="850"/>
      <c r="H1" s="850"/>
      <c r="I1" s="850"/>
      <c r="J1" s="850"/>
      <c r="K1" s="850"/>
      <c r="L1" s="850"/>
      <c r="M1" s="850"/>
      <c r="N1" s="850"/>
      <c r="O1" s="850"/>
      <c r="P1" s="850">
        <v>11</v>
      </c>
      <c r="Q1" s="850">
        <v>2</v>
      </c>
      <c r="R1" s="850"/>
      <c r="S1" s="850"/>
      <c r="T1" s="850"/>
      <c r="U1" s="851"/>
      <c r="V1" s="157"/>
      <c r="W1" s="157"/>
      <c r="X1" t="str">
        <f>"P"&amp;COUNT(D16:D3387)+16</f>
        <v>P63</v>
      </c>
      <c r="Y1" t="s">
        <v>185</v>
      </c>
      <c r="AG1" t="s">
        <v>359</v>
      </c>
      <c r="AH1">
        <f>IF(MAX($Q$17:$Q$10014)=0,YEAR('Trade Log'!I10),MAX($Q$17:$Q$10014))</f>
        <v>2017</v>
      </c>
      <c r="AJ1" t="s">
        <v>495</v>
      </c>
      <c r="AK1" t="s">
        <v>496</v>
      </c>
    </row>
    <row r="2" spans="3:45" ht="3.75" customHeight="1">
      <c r="C2" s="369"/>
      <c r="D2" s="369"/>
      <c r="E2" s="369"/>
      <c r="F2" s="369"/>
      <c r="G2" s="369"/>
      <c r="H2" s="369"/>
      <c r="I2" s="369"/>
      <c r="J2" s="369"/>
      <c r="K2" s="369"/>
      <c r="L2" s="369"/>
      <c r="M2" s="369"/>
      <c r="N2" s="369"/>
      <c r="O2" s="369"/>
      <c r="P2" s="289"/>
      <c r="Q2" s="289"/>
      <c r="R2" s="369"/>
      <c r="S2" s="369"/>
      <c r="T2" s="369"/>
      <c r="U2" s="370"/>
      <c r="V2" s="157"/>
      <c r="W2" s="157"/>
      <c r="AG2" t="s">
        <v>360</v>
      </c>
      <c r="AH2">
        <f>AH1-1</f>
        <v>2016</v>
      </c>
      <c r="AJ2">
        <f>IF(Settings!X14="",NA(),1)</f>
        <v>1</v>
      </c>
      <c r="AK2">
        <f>IF(Settings!Z14="",NA(),1)</f>
        <v>1</v>
      </c>
    </row>
    <row r="3" spans="3:45" ht="21.95" customHeight="1">
      <c r="C3" s="369"/>
      <c r="D3" s="724" t="s">
        <v>375</v>
      </c>
      <c r="E3" s="372"/>
      <c r="F3" s="372"/>
      <c r="G3" s="724" t="s">
        <v>376</v>
      </c>
      <c r="H3" s="289"/>
      <c r="I3" s="289"/>
      <c r="J3" s="725" t="s">
        <v>572</v>
      </c>
      <c r="K3" s="373"/>
      <c r="L3" s="725" t="str">
        <f>S15</f>
        <v xml:space="preserve">   ENTRY/EXIT</v>
      </c>
      <c r="M3" s="371"/>
      <c r="N3" s="1002" t="s">
        <v>483</v>
      </c>
      <c r="O3" s="1002" t="s">
        <v>125</v>
      </c>
      <c r="P3" s="289"/>
      <c r="Q3" s="289"/>
      <c r="R3" s="725" t="str">
        <f>"    "&amp;T15</f>
        <v xml:space="preserve">       EMOTION</v>
      </c>
      <c r="S3" s="1002" t="s">
        <v>483</v>
      </c>
      <c r="T3" s="1070" t="s">
        <v>125</v>
      </c>
      <c r="U3" s="1070"/>
      <c r="V3" s="157"/>
      <c r="W3" s="161"/>
      <c r="AG3" t="s">
        <v>361</v>
      </c>
      <c r="AH3">
        <f>AH2-1</f>
        <v>2015</v>
      </c>
      <c r="AJ3">
        <f>IF(Settings!X15="",NA(),1)</f>
        <v>1</v>
      </c>
      <c r="AK3">
        <f>IF(Settings!Z15="",NA(),1)</f>
        <v>1</v>
      </c>
    </row>
    <row r="4" spans="3:45" ht="14.1" customHeight="1">
      <c r="C4" s="369"/>
      <c r="D4" s="289"/>
      <c r="E4" s="289"/>
      <c r="F4" s="210"/>
      <c r="G4" s="1000" t="s">
        <v>554</v>
      </c>
      <c r="H4" s="498" t="s">
        <v>684</v>
      </c>
      <c r="I4" s="374"/>
      <c r="J4" s="374"/>
      <c r="K4" s="375"/>
      <c r="L4" s="726" t="str">
        <f>calc!AD14</f>
        <v>BROKE RULES</v>
      </c>
      <c r="M4" s="376"/>
      <c r="N4" s="377">
        <f>calc!AE14</f>
        <v>-3</v>
      </c>
      <c r="O4" s="940">
        <f>calc!AF14</f>
        <v>17827.937800000007</v>
      </c>
      <c r="P4" s="378">
        <f>'Trade Log'!I10</f>
        <v>43038</v>
      </c>
      <c r="Q4" s="289"/>
      <c r="R4" s="727" t="str">
        <f>"    "&amp;calc!AJ14</f>
        <v xml:space="preserve">    FEAR</v>
      </c>
      <c r="S4" s="377">
        <f>calc!AK14</f>
        <v>-3</v>
      </c>
      <c r="T4" s="1071">
        <f>calc!AL14</f>
        <v>9089.4843000000037</v>
      </c>
      <c r="U4" s="1072"/>
      <c r="V4" s="157"/>
      <c r="W4" s="161">
        <f>'Trade Log'!AH4+2</f>
        <v>63</v>
      </c>
      <c r="AG4" t="s">
        <v>362</v>
      </c>
      <c r="AH4">
        <f t="shared" ref="AH4:AH10" si="0">AH3-1</f>
        <v>2014</v>
      </c>
      <c r="AJ4">
        <f>IF(Settings!X16="",NA(),1)</f>
        <v>1</v>
      </c>
      <c r="AK4">
        <f>IF(Settings!Z16="",NA(),1)</f>
        <v>1</v>
      </c>
      <c r="AO4" t="s">
        <v>679</v>
      </c>
      <c r="AP4" t="s">
        <v>458</v>
      </c>
      <c r="AQ4" t="s">
        <v>680</v>
      </c>
      <c r="AR4" t="s">
        <v>681</v>
      </c>
    </row>
    <row r="5" spans="3:45" ht="15.95" customHeight="1">
      <c r="C5" s="379" t="str">
        <f>"R"&amp;COUNT(D16:D3387)+16</f>
        <v>R63</v>
      </c>
      <c r="D5" s="380"/>
      <c r="E5" s="289"/>
      <c r="F5" s="210"/>
      <c r="G5" s="1001"/>
      <c r="H5" s="382"/>
      <c r="I5" s="374"/>
      <c r="J5" s="374"/>
      <c r="K5" s="374"/>
      <c r="L5" s="726" t="str">
        <f>calc!AD15</f>
        <v>TOO EARLY</v>
      </c>
      <c r="M5" s="376"/>
      <c r="N5" s="377">
        <f>calc!AE15</f>
        <v>-2</v>
      </c>
      <c r="O5" s="941">
        <f>calc!AF15</f>
        <v>0</v>
      </c>
      <c r="P5" s="383" t="str">
        <f>UPPER(TEXT(P4,"mmm"))</f>
        <v>OCT</v>
      </c>
      <c r="Q5" s="289"/>
      <c r="R5" s="727" t="str">
        <f>"    "&amp;calc!AJ15</f>
        <v xml:space="preserve">    FOMO</v>
      </c>
      <c r="S5" s="377">
        <f>calc!AK15</f>
        <v>-3</v>
      </c>
      <c r="T5" s="1067">
        <f>calc!AL15</f>
        <v>9700.6192500000034</v>
      </c>
      <c r="U5" s="1068"/>
      <c r="V5" s="157"/>
      <c r="W5" s="161">
        <f>W4</f>
        <v>63</v>
      </c>
      <c r="AG5" t="s">
        <v>363</v>
      </c>
      <c r="AH5">
        <f t="shared" si="0"/>
        <v>2013</v>
      </c>
      <c r="AJ5">
        <f>IF(Settings!X17="",NA(),1)</f>
        <v>1</v>
      </c>
      <c r="AK5">
        <f>IF(Settings!Z17="",NA(),1)</f>
        <v>1</v>
      </c>
      <c r="AN5" t="s">
        <v>682</v>
      </c>
      <c r="AO5" s="949">
        <f>Dashboard!I38</f>
        <v>0.15476162265178506</v>
      </c>
      <c r="AP5" s="949">
        <f>-Dashboard!I39</f>
        <v>2.5614718385150431E-2</v>
      </c>
      <c r="AQ5" s="30">
        <f>AP5/(AO5+AP5)</f>
        <v>0.14200708495303899</v>
      </c>
      <c r="AR5" s="750">
        <f>Dashboard!I33</f>
        <v>0.42857142857142855</v>
      </c>
      <c r="AS5" s="30">
        <f>1-AQ5</f>
        <v>0.85799291504696096</v>
      </c>
    </row>
    <row r="6" spans="3:45" ht="15.95" customHeight="1">
      <c r="C6" s="379"/>
      <c r="D6" s="1000" t="s">
        <v>604</v>
      </c>
      <c r="E6" s="289"/>
      <c r="F6" s="210"/>
      <c r="G6" s="1000" t="s">
        <v>555</v>
      </c>
      <c r="H6" s="499" t="s">
        <v>239</v>
      </c>
      <c r="I6" s="374"/>
      <c r="J6" s="374"/>
      <c r="K6" s="374"/>
      <c r="L6" s="726" t="str">
        <f>calc!AD16</f>
        <v>AS PLANNED</v>
      </c>
      <c r="M6" s="376"/>
      <c r="N6" s="377">
        <f>calc!AE16</f>
        <v>13</v>
      </c>
      <c r="O6" s="941">
        <f>calc!AF16</f>
        <v>23175.782449999988</v>
      </c>
      <c r="P6" s="383">
        <f>YEAR(P4)</f>
        <v>2017</v>
      </c>
      <c r="Q6" s="289"/>
      <c r="R6" s="727" t="str">
        <f>"    "&amp;calc!AJ16</f>
        <v xml:space="preserve">    GREED</v>
      </c>
      <c r="S6" s="377">
        <f>calc!AK16</f>
        <v>-1</v>
      </c>
      <c r="T6" s="1067">
        <f>calc!AL16</f>
        <v>0</v>
      </c>
      <c r="U6" s="1068"/>
      <c r="V6" s="157"/>
      <c r="W6" s="161">
        <f>'Trade Log'!AH6+2</f>
        <v>66</v>
      </c>
      <c r="AG6" t="s">
        <v>364</v>
      </c>
      <c r="AH6">
        <f t="shared" si="0"/>
        <v>2012</v>
      </c>
      <c r="AJ6">
        <f>IF(Settings!X18="",NA(),1)</f>
        <v>1</v>
      </c>
      <c r="AK6">
        <f>IF(Settings!Z18="",NA(),1)</f>
        <v>1</v>
      </c>
      <c r="AN6" s="46" t="str">
        <f>Dashboard!K32</f>
        <v xml:space="preserve">     Last 50 Trades</v>
      </c>
      <c r="AO6" s="949">
        <f>Dashboard!K38</f>
        <v>0.15476162265178506</v>
      </c>
      <c r="AP6" s="949">
        <f>-Dashboard!K39</f>
        <v>2.5614718385150431E-2</v>
      </c>
      <c r="AQ6" s="30">
        <f>AP6/(AO6+AP6)</f>
        <v>0.14200708495303899</v>
      </c>
      <c r="AR6" s="750">
        <f>Dashboard!K33</f>
        <v>0.42857142857142855</v>
      </c>
      <c r="AS6" s="30">
        <f>1-AQ6</f>
        <v>0.85799291504696096</v>
      </c>
    </row>
    <row r="7" spans="3:45" ht="15.95" customHeight="1">
      <c r="C7" s="379">
        <v>2</v>
      </c>
      <c r="D7" s="1000" t="s">
        <v>602</v>
      </c>
      <c r="E7" s="714" t="s">
        <v>359</v>
      </c>
      <c r="F7" s="210"/>
      <c r="G7" s="1000" t="s">
        <v>556</v>
      </c>
      <c r="H7" s="500" t="s">
        <v>92</v>
      </c>
      <c r="I7" s="374"/>
      <c r="J7" s="374"/>
      <c r="K7" s="374"/>
      <c r="L7" s="726" t="str">
        <f>calc!AD17</f>
        <v/>
      </c>
      <c r="M7" s="376"/>
      <c r="N7" s="377" t="str">
        <f>calc!AE17</f>
        <v/>
      </c>
      <c r="O7" s="941" t="str">
        <f>calc!AF17</f>
        <v/>
      </c>
      <c r="P7" s="289"/>
      <c r="Q7" s="289"/>
      <c r="R7" s="727" t="str">
        <f>"    "&amp;calc!AJ17</f>
        <v xml:space="preserve">    BORED</v>
      </c>
      <c r="S7" s="377">
        <f>calc!AK17</f>
        <v>-1</v>
      </c>
      <c r="T7" s="1067">
        <f>calc!AL17</f>
        <v>0</v>
      </c>
      <c r="U7" s="1068"/>
      <c r="V7" s="157"/>
      <c r="W7" s="722">
        <f>'Trade Log'!AH7+2</f>
        <v>66</v>
      </c>
      <c r="AG7" t="s">
        <v>365</v>
      </c>
      <c r="AH7">
        <f t="shared" si="0"/>
        <v>2011</v>
      </c>
      <c r="AJ7">
        <f>IF(Settings!X19="",NA(),1)</f>
        <v>1</v>
      </c>
      <c r="AK7">
        <f>IF(Settings!Z19="",NA(),1)</f>
        <v>1</v>
      </c>
      <c r="AQ7">
        <v>1</v>
      </c>
    </row>
    <row r="8" spans="3:45" ht="15.95" customHeight="1">
      <c r="C8" s="379">
        <v>1</v>
      </c>
      <c r="D8" s="1000" t="s">
        <v>603</v>
      </c>
      <c r="E8" s="715">
        <v>2023</v>
      </c>
      <c r="F8" s="210"/>
      <c r="G8" s="1000" t="s">
        <v>557</v>
      </c>
      <c r="H8" s="501" t="s">
        <v>85</v>
      </c>
      <c r="I8" s="374"/>
      <c r="J8" s="374"/>
      <c r="K8" s="375"/>
      <c r="L8" s="726" t="str">
        <f>calc!AD18</f>
        <v/>
      </c>
      <c r="M8" s="376"/>
      <c r="N8" s="377" t="str">
        <f>calc!AE18</f>
        <v/>
      </c>
      <c r="O8" s="941" t="str">
        <f>calc!AF18</f>
        <v/>
      </c>
      <c r="P8" s="289"/>
      <c r="Q8" s="289"/>
      <c r="R8" s="727" t="str">
        <f>"    "&amp;calc!AJ18</f>
        <v xml:space="preserve">    CONFIDENT</v>
      </c>
      <c r="S8" s="377">
        <f>calc!AK18</f>
        <v>10</v>
      </c>
      <c r="T8" s="1067">
        <f>calc!AL18</f>
        <v>22213.616699999988</v>
      </c>
      <c r="U8" s="1068"/>
      <c r="V8" s="157"/>
      <c r="W8" s="161">
        <f>'Trade Log'!AH8+2</f>
        <v>76</v>
      </c>
      <c r="AG8" t="s">
        <v>366</v>
      </c>
      <c r="AH8">
        <f t="shared" si="0"/>
        <v>2010</v>
      </c>
      <c r="AJ8">
        <f>IF(Settings!X20="",NA(),1)</f>
        <v>1</v>
      </c>
      <c r="AK8">
        <f>IF(Settings!Z20="",NA(),1)</f>
        <v>1</v>
      </c>
    </row>
    <row r="9" spans="3:45" ht="15.95" customHeight="1">
      <c r="C9" s="379">
        <v>0</v>
      </c>
      <c r="D9" s="289"/>
      <c r="E9" s="289"/>
      <c r="F9" s="210"/>
      <c r="G9" s="289"/>
      <c r="H9" s="289"/>
      <c r="I9" s="374"/>
      <c r="J9" s="374"/>
      <c r="K9" s="375"/>
      <c r="L9" s="726" t="str">
        <f>calc!AD19</f>
        <v/>
      </c>
      <c r="M9" s="376"/>
      <c r="N9" s="377" t="str">
        <f>calc!AE19</f>
        <v/>
      </c>
      <c r="O9" s="941" t="str">
        <f>calc!AF19</f>
        <v/>
      </c>
      <c r="P9" s="289"/>
      <c r="Q9" s="289"/>
      <c r="R9" s="727" t="str">
        <f>"    "&amp;calc!AJ19</f>
        <v xml:space="preserve">    </v>
      </c>
      <c r="S9" s="377" t="str">
        <f>calc!AK19</f>
        <v/>
      </c>
      <c r="T9" s="1067" t="str">
        <f>calc!AL19</f>
        <v/>
      </c>
      <c r="U9" s="1068"/>
      <c r="V9" s="157"/>
      <c r="W9" s="161"/>
      <c r="AG9" t="s">
        <v>367</v>
      </c>
      <c r="AH9">
        <f t="shared" si="0"/>
        <v>2009</v>
      </c>
      <c r="AJ9" t="e">
        <f>IF(Settings!X21="",NA(),1)</f>
        <v>#N/A</v>
      </c>
      <c r="AK9" t="e">
        <f>IF(Settings!Z21="",NA(),1)</f>
        <v>#N/A</v>
      </c>
    </row>
    <row r="10" spans="3:45" ht="15.95" customHeight="1">
      <c r="C10" s="369"/>
      <c r="D10" s="289"/>
      <c r="E10" s="289"/>
      <c r="F10" s="210"/>
      <c r="G10" s="289"/>
      <c r="H10" s="289"/>
      <c r="I10" s="374"/>
      <c r="J10" s="374"/>
      <c r="K10" s="375"/>
      <c r="L10" s="726" t="str">
        <f>calc!AD20</f>
        <v/>
      </c>
      <c r="M10" s="376"/>
      <c r="N10" s="377" t="str">
        <f>calc!AE20</f>
        <v/>
      </c>
      <c r="O10" s="941" t="str">
        <f>calc!AF20</f>
        <v/>
      </c>
      <c r="P10" s="289"/>
      <c r="Q10" s="289"/>
      <c r="R10" s="727" t="str">
        <f>"    "&amp;calc!AJ20</f>
        <v xml:space="preserve">    </v>
      </c>
      <c r="S10" s="377" t="str">
        <f>calc!AK20</f>
        <v/>
      </c>
      <c r="T10" s="1067" t="str">
        <f>calc!AL20</f>
        <v/>
      </c>
      <c r="U10" s="1068"/>
      <c r="V10" s="157"/>
      <c r="W10" s="723"/>
      <c r="AG10" t="s">
        <v>368</v>
      </c>
      <c r="AH10">
        <f t="shared" si="0"/>
        <v>2008</v>
      </c>
      <c r="AJ10" t="e">
        <f>IF(Settings!X22="",NA(),1)</f>
        <v>#N/A</v>
      </c>
      <c r="AK10" t="e">
        <f>IF(Settings!Z22="",NA(),1)</f>
        <v>#N/A</v>
      </c>
    </row>
    <row r="11" spans="3:45" ht="15.95" customHeight="1">
      <c r="C11" s="369"/>
      <c r="D11" s="210"/>
      <c r="E11" s="210"/>
      <c r="F11" s="210"/>
      <c r="G11" s="289"/>
      <c r="H11" s="289"/>
      <c r="I11" s="384"/>
      <c r="J11" s="384"/>
      <c r="K11" s="375"/>
      <c r="L11" s="726" t="str">
        <f>calc!AD21</f>
        <v/>
      </c>
      <c r="M11" s="376"/>
      <c r="N11" s="377" t="str">
        <f>calc!AE21</f>
        <v/>
      </c>
      <c r="O11" s="941" t="str">
        <f>calc!AF21</f>
        <v/>
      </c>
      <c r="P11" s="289">
        <f>MATCH(E7,AG1:AG12,0)</f>
        <v>1</v>
      </c>
      <c r="Q11" s="385">
        <f>E8</f>
        <v>2023</v>
      </c>
      <c r="R11" s="727" t="str">
        <f>"    "&amp;calc!AJ21</f>
        <v xml:space="preserve">    </v>
      </c>
      <c r="S11" s="386" t="str">
        <f>calc!AK21</f>
        <v/>
      </c>
      <c r="T11" s="1067" t="str">
        <f>calc!AL21</f>
        <v/>
      </c>
      <c r="U11" s="1069"/>
      <c r="V11" s="157"/>
      <c r="W11" s="157"/>
      <c r="AG11" t="s">
        <v>369</v>
      </c>
      <c r="AJ11" t="e">
        <f>IF(Settings!X23="",NA(),1)</f>
        <v>#N/A</v>
      </c>
      <c r="AK11" t="e">
        <f>IF(Settings!Z23="",NA(),1)</f>
        <v>#N/A</v>
      </c>
    </row>
    <row r="12" spans="3:45" ht="5.0999999999999996" customHeight="1">
      <c r="C12" s="60"/>
      <c r="D12" s="53"/>
      <c r="E12" s="54"/>
      <c r="F12" s="53"/>
      <c r="G12" s="11"/>
      <c r="H12" s="11"/>
      <c r="I12" s="53"/>
      <c r="J12" s="53"/>
      <c r="K12" s="55"/>
      <c r="L12" s="55"/>
      <c r="M12" s="55"/>
      <c r="N12" s="55"/>
      <c r="O12" s="56"/>
      <c r="R12" s="55"/>
      <c r="S12" s="55"/>
      <c r="T12" s="1066"/>
      <c r="U12" s="1066"/>
      <c r="V12" s="57"/>
      <c r="W12" s="57"/>
      <c r="AG12" t="s">
        <v>370</v>
      </c>
      <c r="AJ12" t="e">
        <f>IF(Settings!X24="",NA(),1)</f>
        <v>#N/A</v>
      </c>
      <c r="AK12" t="e">
        <f>IF(Settings!Z24="",NA(),1)</f>
        <v>#N/A</v>
      </c>
    </row>
    <row r="13" spans="3:45" ht="20.100000000000001" hidden="1" customHeight="1">
      <c r="P13" t="str">
        <f>INDEX(AG1:AG12,P15)</f>
        <v>OCT</v>
      </c>
      <c r="Q13">
        <f>INDEX(AH1:AH10,Q15)</f>
        <v>2015</v>
      </c>
      <c r="AJ13" t="e">
        <f>IF(Settings!X25="",NA(),1)</f>
        <v>#N/A</v>
      </c>
      <c r="AK13" t="e">
        <f>IF(Settings!Z25="",NA(),1)</f>
        <v>#N/A</v>
      </c>
    </row>
    <row r="14" spans="3:45" ht="20.100000000000001" hidden="1" customHeight="1">
      <c r="C14" s="539" t="str">
        <f>IF('Trade Log'!C12=0,"",'Trade Log'!C12)</f>
        <v/>
      </c>
      <c r="D14" s="523">
        <f>IF(('Trade Log'!D12)=0,"",('Trade Log'!D12))</f>
        <v>1</v>
      </c>
      <c r="E14" s="532">
        <f>'Trade Log'!E12</f>
        <v>0</v>
      </c>
      <c r="F14" s="533">
        <f>'Trade Log'!F12</f>
        <v>0</v>
      </c>
      <c r="G14" s="534">
        <f>'Trade Log'!G12</f>
        <v>0</v>
      </c>
      <c r="H14" s="535">
        <f>'Trade Log'!H12</f>
        <v>0</v>
      </c>
      <c r="I14" s="524">
        <f>'Trade Log'!U12</f>
        <v>0</v>
      </c>
      <c r="J14" s="524">
        <f>'Trade Log'!V12</f>
        <v>0</v>
      </c>
      <c r="K14" s="525">
        <f>'Trade Log'!Z12</f>
        <v>0</v>
      </c>
      <c r="L14" s="536">
        <f>'Trade Log'!AA12</f>
        <v>0</v>
      </c>
      <c r="M14" s="537">
        <f>'Trade Log'!AC12</f>
        <v>0</v>
      </c>
      <c r="N14" s="966">
        <f>'Trade Log'!AE12</f>
        <v>0</v>
      </c>
      <c r="O14" s="967">
        <f>'Trade Log'!AF12</f>
        <v>0</v>
      </c>
      <c r="P14" s="497">
        <f>IFERROR(MONTH(D14),"")</f>
        <v>1</v>
      </c>
      <c r="Q14" s="497">
        <f>IFERROR(YEAR(D14),"")</f>
        <v>1900</v>
      </c>
      <c r="R14" s="529"/>
      <c r="S14" s="530"/>
      <c r="T14" s="530"/>
      <c r="U14" s="530"/>
      <c r="V14" s="530"/>
      <c r="W14" s="531"/>
      <c r="AJ14" t="e">
        <f>IF(Settings!X26="",NA(),1)</f>
        <v>#N/A</v>
      </c>
      <c r="AK14" t="e">
        <f>IF(Settings!Z26="",NA(),1)</f>
        <v>#N/A</v>
      </c>
    </row>
    <row r="15" spans="3:45" ht="21.75" customHeight="1">
      <c r="C15" s="540"/>
      <c r="D15" s="975" t="s">
        <v>79</v>
      </c>
      <c r="E15" s="975" t="s">
        <v>273</v>
      </c>
      <c r="F15" s="975" t="s">
        <v>268</v>
      </c>
      <c r="G15" s="975" t="s">
        <v>269</v>
      </c>
      <c r="H15" s="975" t="s">
        <v>274</v>
      </c>
      <c r="I15" s="975" t="str">
        <f>I16</f>
        <v>NET AMOUNT</v>
      </c>
      <c r="J15" s="975" t="s">
        <v>271</v>
      </c>
      <c r="K15" s="978" t="s">
        <v>125</v>
      </c>
      <c r="L15" s="978" t="s">
        <v>275</v>
      </c>
      <c r="M15" s="975" t="s">
        <v>158</v>
      </c>
      <c r="N15" s="975" t="str">
        <f>N16</f>
        <v xml:space="preserve"> SETUP</v>
      </c>
      <c r="O15" s="975" t="str">
        <f>'Trade Log'!$AF$14</f>
        <v>REASON FOR BUYING / SELLING</v>
      </c>
      <c r="P15" s="998">
        <v>10</v>
      </c>
      <c r="Q15" s="998">
        <v>3</v>
      </c>
      <c r="R15" s="975" t="s">
        <v>276</v>
      </c>
      <c r="S15" s="975" t="str">
        <f>Settings!X13</f>
        <v xml:space="preserve">   ENTRY/EXIT</v>
      </c>
      <c r="T15" s="975" t="str">
        <f>Settings!Z13</f>
        <v xml:space="preserve">   EMOTION</v>
      </c>
      <c r="U15" s="975" t="s">
        <v>505</v>
      </c>
      <c r="V15" s="978" t="s">
        <v>372</v>
      </c>
      <c r="W15" s="978" t="s">
        <v>372</v>
      </c>
      <c r="AJ15" t="e">
        <f>IF(Settings!X27="",NA(),1)</f>
        <v>#N/A</v>
      </c>
      <c r="AK15" t="e">
        <f>IF(Settings!Z27="",NA(),1)</f>
        <v>#N/A</v>
      </c>
    </row>
    <row r="16" spans="3:45" ht="13.5" hidden="1" customHeight="1">
      <c r="C16" s="541" t="s">
        <v>50</v>
      </c>
      <c r="D16" t="s">
        <v>1</v>
      </c>
      <c r="E16" t="s">
        <v>54</v>
      </c>
      <c r="F16" t="s">
        <v>14</v>
      </c>
      <c r="G16" t="s">
        <v>15</v>
      </c>
      <c r="H16" t="s">
        <v>53</v>
      </c>
      <c r="I16" t="s">
        <v>270</v>
      </c>
      <c r="J16" t="s">
        <v>93</v>
      </c>
      <c r="K16" t="s">
        <v>9</v>
      </c>
      <c r="L16" t="s">
        <v>21</v>
      </c>
      <c r="M16" t="s">
        <v>158</v>
      </c>
      <c r="N16" t="s">
        <v>431</v>
      </c>
      <c r="O16" t="s">
        <v>374</v>
      </c>
      <c r="P16" t="s">
        <v>581</v>
      </c>
      <c r="Q16" t="s">
        <v>580</v>
      </c>
      <c r="R16" s="526" t="s">
        <v>582</v>
      </c>
      <c r="S16" s="527" t="s">
        <v>583</v>
      </c>
      <c r="T16" s="527" t="s">
        <v>584</v>
      </c>
      <c r="U16" s="527" t="s">
        <v>585</v>
      </c>
      <c r="V16" s="527" t="s">
        <v>586</v>
      </c>
      <c r="W16" s="528" t="s">
        <v>587</v>
      </c>
      <c r="X16" t="s">
        <v>536</v>
      </c>
      <c r="Y16" t="s">
        <v>537</v>
      </c>
      <c r="AJ16" t="e">
        <f>IF(Settings!X28="",NA(),1)</f>
        <v>#N/A</v>
      </c>
      <c r="AK16" t="e">
        <f>IF(Settings!Z28="",NA(),1)</f>
        <v>#N/A</v>
      </c>
    </row>
    <row r="17" spans="3:23" ht="20.100000000000001" customHeight="1">
      <c r="C17" s="539">
        <v>1</v>
      </c>
      <c r="D17" s="523">
        <v>42982</v>
      </c>
      <c r="E17" s="532" t="s">
        <v>588</v>
      </c>
      <c r="F17" s="533" t="s">
        <v>12</v>
      </c>
      <c r="G17" s="534">
        <v>9.1</v>
      </c>
      <c r="H17" s="535">
        <v>3600</v>
      </c>
      <c r="I17" s="524">
        <v>32856.642</v>
      </c>
      <c r="J17" s="524">
        <v>9.1268449999999994</v>
      </c>
      <c r="K17" s="525">
        <v>0</v>
      </c>
      <c r="L17" s="536">
        <v>0</v>
      </c>
      <c r="M17" s="537"/>
      <c r="N17" s="966" t="s">
        <v>51</v>
      </c>
      <c r="O17" s="967">
        <v>0</v>
      </c>
      <c r="P17" s="497">
        <v>9</v>
      </c>
      <c r="Q17" s="497">
        <v>2017</v>
      </c>
      <c r="R17" s="529"/>
      <c r="S17" s="530"/>
      <c r="T17" s="530"/>
      <c r="U17" s="530"/>
      <c r="V17" s="530"/>
      <c r="W17" s="531"/>
    </row>
    <row r="18" spans="3:23" ht="20.100000000000001" customHeight="1">
      <c r="C18" s="539">
        <v>2</v>
      </c>
      <c r="D18" s="523">
        <v>42982</v>
      </c>
      <c r="E18" s="532" t="s">
        <v>589</v>
      </c>
      <c r="F18" s="533" t="s">
        <v>12</v>
      </c>
      <c r="G18" s="534">
        <v>6.11</v>
      </c>
      <c r="H18" s="535">
        <v>5300</v>
      </c>
      <c r="I18" s="524">
        <v>32478.529849999999</v>
      </c>
      <c r="J18" s="524">
        <v>6.1280244999999995</v>
      </c>
      <c r="K18" s="525">
        <v>0</v>
      </c>
      <c r="L18" s="536">
        <v>0</v>
      </c>
      <c r="M18" s="537">
        <v>0</v>
      </c>
      <c r="N18" s="966" t="s">
        <v>241</v>
      </c>
      <c r="O18" s="967">
        <v>0</v>
      </c>
      <c r="P18" s="497">
        <v>9</v>
      </c>
      <c r="Q18" s="497">
        <v>2017</v>
      </c>
      <c r="R18" s="529"/>
      <c r="S18" s="530"/>
      <c r="T18" s="530"/>
      <c r="U18" s="530"/>
      <c r="V18" s="530"/>
      <c r="W18" s="531"/>
    </row>
    <row r="19" spans="3:23" ht="20.100000000000001" customHeight="1">
      <c r="C19" s="539">
        <v>3</v>
      </c>
      <c r="D19" s="523">
        <v>42982</v>
      </c>
      <c r="E19" s="532" t="s">
        <v>590</v>
      </c>
      <c r="F19" s="533" t="s">
        <v>12</v>
      </c>
      <c r="G19" s="534">
        <v>2.44</v>
      </c>
      <c r="H19" s="535">
        <v>13000</v>
      </c>
      <c r="I19" s="524">
        <v>31813.574000000001</v>
      </c>
      <c r="J19" s="524">
        <v>2.4471980000000002</v>
      </c>
      <c r="K19" s="525">
        <v>0</v>
      </c>
      <c r="L19" s="536">
        <v>0</v>
      </c>
      <c r="M19" s="537">
        <v>0</v>
      </c>
      <c r="N19" s="966" t="s">
        <v>238</v>
      </c>
      <c r="O19" s="967">
        <v>0</v>
      </c>
      <c r="P19" s="497">
        <v>9</v>
      </c>
      <c r="Q19" s="497">
        <v>2017</v>
      </c>
      <c r="R19" s="529"/>
      <c r="S19" s="530"/>
      <c r="T19" s="530"/>
      <c r="U19" s="530"/>
      <c r="V19" s="530"/>
      <c r="W19" s="531"/>
    </row>
    <row r="20" spans="3:23" ht="20.100000000000001" customHeight="1">
      <c r="C20" s="539">
        <v>4</v>
      </c>
      <c r="D20" s="523">
        <v>42983</v>
      </c>
      <c r="E20" s="532" t="s">
        <v>589</v>
      </c>
      <c r="F20" s="533" t="s">
        <v>22</v>
      </c>
      <c r="G20" s="534">
        <v>6.04</v>
      </c>
      <c r="H20" s="535">
        <v>5300</v>
      </c>
      <c r="I20" s="524">
        <v>31725.492600000001</v>
      </c>
      <c r="J20" s="524">
        <v>6.1280244999999995</v>
      </c>
      <c r="K20" s="525">
        <v>-753.03724999999758</v>
      </c>
      <c r="L20" s="536">
        <v>-2.3185693856152101E-2</v>
      </c>
      <c r="M20" s="537">
        <v>-0.75303724999999755</v>
      </c>
      <c r="N20" s="966" t="s">
        <v>241</v>
      </c>
      <c r="O20" s="967">
        <v>0</v>
      </c>
      <c r="P20" s="497">
        <v>9</v>
      </c>
      <c r="Q20" s="497">
        <v>2017</v>
      </c>
      <c r="R20" s="529"/>
      <c r="S20" s="530"/>
      <c r="T20" s="530"/>
      <c r="U20" s="530"/>
      <c r="V20" s="530"/>
      <c r="W20" s="531"/>
    </row>
    <row r="21" spans="3:23" ht="20.100000000000001" customHeight="1">
      <c r="C21" s="539">
        <v>5</v>
      </c>
      <c r="D21" s="523">
        <v>42983</v>
      </c>
      <c r="E21" s="532" t="s">
        <v>591</v>
      </c>
      <c r="F21" s="533" t="s">
        <v>12</v>
      </c>
      <c r="G21" s="534">
        <v>4.7</v>
      </c>
      <c r="H21" s="535">
        <v>7000</v>
      </c>
      <c r="I21" s="524">
        <v>32997.055</v>
      </c>
      <c r="J21" s="524">
        <v>4.7138650000000002</v>
      </c>
      <c r="K21" s="525">
        <v>0</v>
      </c>
      <c r="L21" s="536">
        <v>0</v>
      </c>
      <c r="M21" s="537">
        <v>0</v>
      </c>
      <c r="N21" s="966" t="s">
        <v>239</v>
      </c>
      <c r="O21" s="967">
        <v>0</v>
      </c>
      <c r="P21" s="497">
        <v>9</v>
      </c>
      <c r="Q21" s="497">
        <v>2017</v>
      </c>
      <c r="R21" s="529"/>
      <c r="S21" s="530"/>
      <c r="T21" s="530"/>
      <c r="U21" s="530"/>
      <c r="V21" s="530"/>
      <c r="W21" s="531"/>
    </row>
    <row r="22" spans="3:23" ht="20.100000000000001" customHeight="1">
      <c r="C22" s="539">
        <v>6</v>
      </c>
      <c r="D22" s="523">
        <v>42984</v>
      </c>
      <c r="E22" s="532" t="s">
        <v>590</v>
      </c>
      <c r="F22" s="533" t="s">
        <v>22</v>
      </c>
      <c r="G22" s="534">
        <v>2.68</v>
      </c>
      <c r="H22" s="535">
        <v>13000</v>
      </c>
      <c r="I22" s="524">
        <v>34528.182000000001</v>
      </c>
      <c r="J22" s="524">
        <v>2.4471980000000002</v>
      </c>
      <c r="K22" s="525">
        <v>2714.6079999999965</v>
      </c>
      <c r="L22" s="536">
        <v>8.532860847385447E-2</v>
      </c>
      <c r="M22" s="537">
        <v>2.7352051133675586</v>
      </c>
      <c r="N22" s="966" t="s">
        <v>238</v>
      </c>
      <c r="O22" s="967">
        <v>0</v>
      </c>
      <c r="P22" s="497">
        <v>9</v>
      </c>
      <c r="Q22" s="497">
        <v>2017</v>
      </c>
      <c r="R22" s="529"/>
      <c r="S22" s="530" t="s">
        <v>92</v>
      </c>
      <c r="T22" s="530" t="s">
        <v>147</v>
      </c>
      <c r="U22" s="530"/>
      <c r="V22" s="530"/>
      <c r="W22" s="531"/>
    </row>
    <row r="23" spans="3:23" ht="20.100000000000001" customHeight="1">
      <c r="C23" s="539">
        <v>7</v>
      </c>
      <c r="D23" s="523">
        <v>42984</v>
      </c>
      <c r="E23" s="532" t="s">
        <v>592</v>
      </c>
      <c r="F23" s="533" t="s">
        <v>12</v>
      </c>
      <c r="G23" s="534">
        <v>10.7</v>
      </c>
      <c r="H23" s="535">
        <v>3100</v>
      </c>
      <c r="I23" s="524">
        <v>33267.851499999997</v>
      </c>
      <c r="J23" s="524">
        <v>10.731565</v>
      </c>
      <c r="K23" s="525">
        <v>0</v>
      </c>
      <c r="L23" s="536">
        <v>0</v>
      </c>
      <c r="M23" s="537">
        <v>0</v>
      </c>
      <c r="N23" s="966">
        <v>0</v>
      </c>
      <c r="O23" s="967">
        <v>0</v>
      </c>
      <c r="P23" s="497">
        <v>9</v>
      </c>
      <c r="Q23" s="497">
        <v>2017</v>
      </c>
      <c r="R23" s="529"/>
      <c r="S23" s="530" t="s">
        <v>92</v>
      </c>
      <c r="T23" s="530" t="s">
        <v>147</v>
      </c>
      <c r="U23" s="530"/>
      <c r="V23" s="530"/>
      <c r="W23" s="531"/>
    </row>
    <row r="24" spans="3:23" ht="20.100000000000001" customHeight="1">
      <c r="C24" s="539">
        <v>8</v>
      </c>
      <c r="D24" s="523">
        <v>42984</v>
      </c>
      <c r="E24" s="532" t="s">
        <v>591</v>
      </c>
      <c r="F24" s="533" t="s">
        <v>22</v>
      </c>
      <c r="G24" s="534">
        <v>4.5999999999999996</v>
      </c>
      <c r="H24" s="535">
        <v>7000</v>
      </c>
      <c r="I24" s="524">
        <v>31911.809999999998</v>
      </c>
      <c r="J24" s="524">
        <v>4.7138650000000002</v>
      </c>
      <c r="K24" s="525">
        <v>-1085.2450000000026</v>
      </c>
      <c r="L24" s="536">
        <v>-3.2889147228442134E-2</v>
      </c>
      <c r="M24" s="537">
        <v>-1.0643666942527978</v>
      </c>
      <c r="N24" s="966" t="s">
        <v>239</v>
      </c>
      <c r="O24" s="967">
        <v>0</v>
      </c>
      <c r="P24" s="497">
        <v>9</v>
      </c>
      <c r="Q24" s="497">
        <v>2017</v>
      </c>
      <c r="R24" s="529"/>
      <c r="S24" s="530"/>
      <c r="T24" s="530"/>
      <c r="U24" s="530"/>
      <c r="V24" s="530"/>
      <c r="W24" s="531"/>
    </row>
    <row r="25" spans="3:23" ht="20.100000000000001" customHeight="1">
      <c r="C25" s="539">
        <v>9</v>
      </c>
      <c r="D25" s="523">
        <v>42984</v>
      </c>
      <c r="E25" s="532" t="s">
        <v>0</v>
      </c>
      <c r="F25" s="533" t="s">
        <v>12</v>
      </c>
      <c r="G25" s="534">
        <v>6.21</v>
      </c>
      <c r="H25" s="535">
        <v>5400</v>
      </c>
      <c r="I25" s="524">
        <v>33632.925300000003</v>
      </c>
      <c r="J25" s="524">
        <v>6.2283195000000005</v>
      </c>
      <c r="K25" s="525">
        <v>0</v>
      </c>
      <c r="L25" s="536">
        <v>0</v>
      </c>
      <c r="M25" s="537">
        <v>0</v>
      </c>
      <c r="N25" s="966">
        <v>0</v>
      </c>
      <c r="O25" s="967">
        <v>0</v>
      </c>
      <c r="P25" s="497">
        <v>9</v>
      </c>
      <c r="Q25" s="497">
        <v>2017</v>
      </c>
      <c r="R25" s="529"/>
      <c r="S25" s="530" t="s">
        <v>86</v>
      </c>
      <c r="T25" s="530" t="s">
        <v>82</v>
      </c>
      <c r="U25" s="530"/>
      <c r="V25" s="530"/>
      <c r="W25" s="531"/>
    </row>
    <row r="26" spans="3:23" ht="20.100000000000001" customHeight="1">
      <c r="C26" s="539">
        <v>10</v>
      </c>
      <c r="D26" s="523">
        <v>42985</v>
      </c>
      <c r="E26" s="532" t="s">
        <v>0</v>
      </c>
      <c r="F26" s="533" t="s">
        <v>22</v>
      </c>
      <c r="G26" s="534">
        <v>6.26</v>
      </c>
      <c r="H26" s="535">
        <v>5400</v>
      </c>
      <c r="I26" s="524">
        <v>33501.4542</v>
      </c>
      <c r="J26" s="524">
        <v>6.2283195000000005</v>
      </c>
      <c r="K26" s="525">
        <v>-131.47110000000248</v>
      </c>
      <c r="L26" s="536">
        <v>-3.9089998514046133E-3</v>
      </c>
      <c r="M26" s="537">
        <v>-0.13032899347050464</v>
      </c>
      <c r="N26" s="966">
        <v>0</v>
      </c>
      <c r="O26" s="967">
        <v>0</v>
      </c>
      <c r="P26" s="497">
        <v>9</v>
      </c>
      <c r="Q26" s="497">
        <v>2017</v>
      </c>
      <c r="R26" s="529"/>
      <c r="S26" s="530"/>
      <c r="T26" s="530"/>
      <c r="U26" s="530"/>
      <c r="V26" s="530"/>
      <c r="W26" s="531"/>
    </row>
    <row r="27" spans="3:23" ht="20.100000000000001" customHeight="1">
      <c r="C27" s="539">
        <v>11</v>
      </c>
      <c r="D27" s="523">
        <v>42986</v>
      </c>
      <c r="E27" s="532" t="s">
        <v>593</v>
      </c>
      <c r="F27" s="533" t="s">
        <v>12</v>
      </c>
      <c r="G27" s="534">
        <v>1.77</v>
      </c>
      <c r="H27" s="535">
        <v>18000</v>
      </c>
      <c r="I27" s="524">
        <v>31953.987000000001</v>
      </c>
      <c r="J27" s="524">
        <v>1.7752215</v>
      </c>
      <c r="K27" s="525">
        <v>0</v>
      </c>
      <c r="L27" s="536">
        <v>0</v>
      </c>
      <c r="M27" s="537">
        <v>0</v>
      </c>
      <c r="N27" s="966">
        <v>0</v>
      </c>
      <c r="O27" s="967">
        <v>0</v>
      </c>
      <c r="P27" s="497">
        <v>9</v>
      </c>
      <c r="Q27" s="497">
        <v>2017</v>
      </c>
      <c r="R27" s="529"/>
      <c r="S27" s="530"/>
      <c r="T27" s="530"/>
      <c r="U27" s="530"/>
      <c r="V27" s="530"/>
      <c r="W27" s="531"/>
    </row>
    <row r="28" spans="3:23" ht="20.100000000000001" customHeight="1">
      <c r="C28" s="539">
        <v>12</v>
      </c>
      <c r="D28" s="523">
        <v>42986</v>
      </c>
      <c r="E28" s="532" t="s">
        <v>593</v>
      </c>
      <c r="F28" s="533" t="s">
        <v>22</v>
      </c>
      <c r="G28" s="534">
        <v>1.75</v>
      </c>
      <c r="H28" s="535">
        <v>18000</v>
      </c>
      <c r="I28" s="524">
        <v>31218.075000000001</v>
      </c>
      <c r="J28" s="524">
        <v>1.7752215</v>
      </c>
      <c r="K28" s="525">
        <v>-735.91200000000026</v>
      </c>
      <c r="L28" s="536">
        <v>-2.3030365506501591E-2</v>
      </c>
      <c r="M28" s="537">
        <v>-0.73047105239930021</v>
      </c>
      <c r="N28" s="966">
        <v>0</v>
      </c>
      <c r="O28" s="967">
        <v>0</v>
      </c>
      <c r="P28" s="497">
        <v>9</v>
      </c>
      <c r="Q28" s="497">
        <v>2017</v>
      </c>
      <c r="R28" s="529"/>
      <c r="S28" s="530"/>
      <c r="T28" s="530"/>
      <c r="U28" s="530"/>
      <c r="V28" s="530"/>
      <c r="W28" s="531"/>
    </row>
    <row r="29" spans="3:23" ht="20.100000000000001" customHeight="1">
      <c r="C29" s="539">
        <v>13</v>
      </c>
      <c r="D29" s="523">
        <v>42986</v>
      </c>
      <c r="E29" s="532" t="s">
        <v>591</v>
      </c>
      <c r="F29" s="533" t="s">
        <v>12</v>
      </c>
      <c r="G29" s="534">
        <v>5.05</v>
      </c>
      <c r="H29" s="535">
        <v>6500</v>
      </c>
      <c r="I29" s="524">
        <v>32921.833749999998</v>
      </c>
      <c r="J29" s="524">
        <v>5.0648974999999998</v>
      </c>
      <c r="K29" s="525">
        <v>0</v>
      </c>
      <c r="L29" s="536">
        <v>0</v>
      </c>
      <c r="M29" s="537">
        <v>0</v>
      </c>
      <c r="N29" s="966" t="s">
        <v>239</v>
      </c>
      <c r="O29" s="967">
        <v>0</v>
      </c>
      <c r="P29" s="497">
        <v>9</v>
      </c>
      <c r="Q29" s="497">
        <v>2017</v>
      </c>
      <c r="R29" s="529"/>
      <c r="S29" s="530"/>
      <c r="T29" s="530"/>
      <c r="U29" s="530"/>
      <c r="V29" s="530"/>
      <c r="W29" s="531"/>
    </row>
    <row r="30" spans="3:23" ht="20.100000000000001" customHeight="1">
      <c r="C30" s="539">
        <v>14</v>
      </c>
      <c r="D30" s="523">
        <v>42989</v>
      </c>
      <c r="E30" s="532" t="s">
        <v>591</v>
      </c>
      <c r="F30" s="533" t="s">
        <v>22</v>
      </c>
      <c r="G30" s="534">
        <v>5.26</v>
      </c>
      <c r="H30" s="535">
        <v>6500</v>
      </c>
      <c r="I30" s="524">
        <v>33883.999499999998</v>
      </c>
      <c r="J30" s="524">
        <v>5.0648974999999998</v>
      </c>
      <c r="K30" s="525">
        <v>962.16575000000012</v>
      </c>
      <c r="L30" s="536">
        <v>2.9225764193648543E-2</v>
      </c>
      <c r="M30" s="537">
        <v>0.96207971457840447</v>
      </c>
      <c r="N30" s="966" t="s">
        <v>239</v>
      </c>
      <c r="O30" s="967">
        <v>0</v>
      </c>
      <c r="P30" s="497">
        <v>9</v>
      </c>
      <c r="Q30" s="497">
        <v>2017</v>
      </c>
      <c r="R30" s="529"/>
      <c r="S30" s="530" t="s">
        <v>92</v>
      </c>
      <c r="T30" s="530" t="s">
        <v>91</v>
      </c>
      <c r="U30" s="530"/>
      <c r="V30" s="530"/>
      <c r="W30" s="531"/>
    </row>
    <row r="31" spans="3:23" ht="20.100000000000001" customHeight="1">
      <c r="C31" s="539">
        <v>15</v>
      </c>
      <c r="D31" s="523">
        <v>42991</v>
      </c>
      <c r="E31" s="532" t="s">
        <v>594</v>
      </c>
      <c r="F31" s="533" t="s">
        <v>12</v>
      </c>
      <c r="G31" s="534">
        <v>15.9</v>
      </c>
      <c r="H31" s="535">
        <v>2100</v>
      </c>
      <c r="I31" s="524">
        <v>33488.500500000002</v>
      </c>
      <c r="J31" s="524">
        <v>15.946905000000001</v>
      </c>
      <c r="K31" s="525">
        <v>0</v>
      </c>
      <c r="L31" s="536">
        <v>0</v>
      </c>
      <c r="M31" s="537">
        <v>0</v>
      </c>
      <c r="N31" s="966">
        <v>0</v>
      </c>
      <c r="O31" s="967">
        <v>0</v>
      </c>
      <c r="P31" s="497">
        <v>9</v>
      </c>
      <c r="Q31" s="497">
        <v>2017</v>
      </c>
      <c r="R31" s="529"/>
      <c r="S31" s="530" t="s">
        <v>86</v>
      </c>
      <c r="T31" s="530" t="s">
        <v>82</v>
      </c>
      <c r="U31" s="530"/>
      <c r="V31" s="530"/>
      <c r="W31" s="531"/>
    </row>
    <row r="32" spans="3:23" ht="20.100000000000001" customHeight="1">
      <c r="C32" s="539">
        <v>16</v>
      </c>
      <c r="D32" s="523">
        <v>42991</v>
      </c>
      <c r="E32" s="532" t="s">
        <v>588</v>
      </c>
      <c r="F32" s="533" t="s">
        <v>22</v>
      </c>
      <c r="G32" s="534">
        <v>9.31</v>
      </c>
      <c r="H32" s="535">
        <v>3600</v>
      </c>
      <c r="I32" s="524">
        <v>33216.031799999997</v>
      </c>
      <c r="J32" s="524">
        <v>9.1268449999999994</v>
      </c>
      <c r="K32" s="525">
        <v>359.38979999999719</v>
      </c>
      <c r="L32" s="536">
        <v>1.0938117169733814E-2</v>
      </c>
      <c r="M32" s="537">
        <v>0.3559333018077448</v>
      </c>
      <c r="N32" s="966" t="s">
        <v>51</v>
      </c>
      <c r="O32" s="967">
        <v>0</v>
      </c>
      <c r="P32" s="497">
        <v>9</v>
      </c>
      <c r="Q32" s="497">
        <v>2017</v>
      </c>
      <c r="R32" s="529"/>
      <c r="S32" s="530" t="s">
        <v>92</v>
      </c>
      <c r="T32" s="530" t="s">
        <v>147</v>
      </c>
      <c r="U32" s="530"/>
      <c r="V32" s="530"/>
      <c r="W32" s="531"/>
    </row>
    <row r="33" spans="3:23" ht="20.100000000000001" customHeight="1">
      <c r="C33" s="539">
        <v>17</v>
      </c>
      <c r="D33" s="523">
        <v>42992</v>
      </c>
      <c r="E33" s="532" t="s">
        <v>595</v>
      </c>
      <c r="F33" s="533" t="s">
        <v>12</v>
      </c>
      <c r="G33" s="534">
        <v>5.35</v>
      </c>
      <c r="H33" s="535">
        <v>6300</v>
      </c>
      <c r="I33" s="524">
        <v>33804.429750000003</v>
      </c>
      <c r="J33" s="524">
        <v>5.3657825000000008</v>
      </c>
      <c r="K33" s="525">
        <v>0</v>
      </c>
      <c r="L33" s="536">
        <v>0</v>
      </c>
      <c r="M33" s="537">
        <v>0</v>
      </c>
      <c r="N33" s="966">
        <v>0</v>
      </c>
      <c r="O33" s="967">
        <v>0</v>
      </c>
      <c r="P33" s="497">
        <v>9</v>
      </c>
      <c r="Q33" s="497">
        <v>2017</v>
      </c>
      <c r="R33" s="529"/>
      <c r="S33" s="530" t="s">
        <v>92</v>
      </c>
      <c r="T33" s="530" t="s">
        <v>85</v>
      </c>
      <c r="U33" s="530"/>
      <c r="V33" s="530"/>
      <c r="W33" s="531"/>
    </row>
    <row r="34" spans="3:23" ht="20.100000000000001" customHeight="1">
      <c r="C34" s="539">
        <v>18</v>
      </c>
      <c r="D34" s="523">
        <v>42993</v>
      </c>
      <c r="E34" s="532" t="s">
        <v>595</v>
      </c>
      <c r="F34" s="533" t="s">
        <v>22</v>
      </c>
      <c r="G34" s="534">
        <v>5.38</v>
      </c>
      <c r="H34" s="535">
        <v>6300</v>
      </c>
      <c r="I34" s="524">
        <v>33590.648699999998</v>
      </c>
      <c r="J34" s="524">
        <v>5.3657825000000008</v>
      </c>
      <c r="K34" s="525">
        <v>-213.78105000000505</v>
      </c>
      <c r="L34" s="536">
        <v>-6.324054320129599E-3</v>
      </c>
      <c r="M34" s="537">
        <v>-0.21097404414025181</v>
      </c>
      <c r="N34" s="966">
        <v>0</v>
      </c>
      <c r="O34" s="967">
        <v>0</v>
      </c>
      <c r="P34" s="497">
        <v>9</v>
      </c>
      <c r="Q34" s="497">
        <v>2017</v>
      </c>
      <c r="R34" s="529"/>
      <c r="S34" s="530"/>
      <c r="T34" s="530"/>
      <c r="U34" s="530"/>
      <c r="V34" s="530"/>
      <c r="W34" s="531"/>
    </row>
    <row r="35" spans="3:23" ht="20.100000000000001" customHeight="1">
      <c r="C35" s="539">
        <v>19</v>
      </c>
      <c r="D35" s="523">
        <v>42993</v>
      </c>
      <c r="E35" s="532" t="s">
        <v>596</v>
      </c>
      <c r="F35" s="533" t="s">
        <v>12</v>
      </c>
      <c r="G35" s="534">
        <v>8.5</v>
      </c>
      <c r="H35" s="535">
        <v>3900</v>
      </c>
      <c r="I35" s="524">
        <v>33247.792500000003</v>
      </c>
      <c r="J35" s="524">
        <v>8.5250750000000011</v>
      </c>
      <c r="K35" s="525">
        <v>0</v>
      </c>
      <c r="L35" s="536">
        <v>0</v>
      </c>
      <c r="M35" s="537">
        <v>0</v>
      </c>
      <c r="N35" s="966">
        <v>0</v>
      </c>
      <c r="O35" s="967">
        <v>0</v>
      </c>
      <c r="P35" s="497">
        <v>9</v>
      </c>
      <c r="Q35" s="497">
        <v>2017</v>
      </c>
      <c r="R35" s="529"/>
      <c r="S35" s="530"/>
      <c r="T35" s="530"/>
      <c r="U35" s="530"/>
      <c r="V35" s="530"/>
      <c r="W35" s="531"/>
    </row>
    <row r="36" spans="3:23" ht="20.100000000000001" customHeight="1">
      <c r="C36" s="539">
        <v>20</v>
      </c>
      <c r="D36" s="523">
        <v>42997</v>
      </c>
      <c r="E36" s="532" t="s">
        <v>596</v>
      </c>
      <c r="F36" s="533" t="s">
        <v>22</v>
      </c>
      <c r="G36" s="534">
        <v>8.34</v>
      </c>
      <c r="H36" s="535">
        <v>3900</v>
      </c>
      <c r="I36" s="524">
        <v>32234.8923</v>
      </c>
      <c r="J36" s="524">
        <v>8.5250750000000011</v>
      </c>
      <c r="K36" s="525">
        <v>-1012.9002000000037</v>
      </c>
      <c r="L36" s="536">
        <v>-3.0465186523285826E-2</v>
      </c>
      <c r="M36" s="537">
        <v>-1.0017138892053159</v>
      </c>
      <c r="N36" s="966">
        <v>0</v>
      </c>
      <c r="O36" s="967">
        <v>0</v>
      </c>
      <c r="P36" s="497">
        <v>9</v>
      </c>
      <c r="Q36" s="497">
        <v>2017</v>
      </c>
      <c r="R36" s="529"/>
      <c r="S36" s="530"/>
      <c r="T36" s="530"/>
      <c r="U36" s="530"/>
      <c r="V36" s="530"/>
      <c r="W36" s="531"/>
    </row>
    <row r="37" spans="3:23" ht="20.100000000000001" customHeight="1">
      <c r="C37" s="539">
        <v>21</v>
      </c>
      <c r="D37" s="523">
        <v>42998</v>
      </c>
      <c r="E37" s="532" t="s">
        <v>591</v>
      </c>
      <c r="F37" s="533" t="s">
        <v>12</v>
      </c>
      <c r="G37" s="534">
        <v>5.5</v>
      </c>
      <c r="H37" s="535">
        <v>6000</v>
      </c>
      <c r="I37" s="524">
        <v>33097.35</v>
      </c>
      <c r="J37" s="524">
        <v>5.5162249999999995</v>
      </c>
      <c r="K37" s="525">
        <v>0</v>
      </c>
      <c r="L37" s="536">
        <v>0</v>
      </c>
      <c r="M37" s="537">
        <v>0</v>
      </c>
      <c r="N37" s="966" t="s">
        <v>239</v>
      </c>
      <c r="O37" s="967">
        <v>0</v>
      </c>
      <c r="P37" s="497">
        <v>9</v>
      </c>
      <c r="Q37" s="497">
        <v>2017</v>
      </c>
      <c r="R37" s="529"/>
      <c r="S37" s="530"/>
      <c r="T37" s="530"/>
      <c r="U37" s="530"/>
      <c r="V37" s="530"/>
      <c r="W37" s="531"/>
    </row>
    <row r="38" spans="3:23" ht="20.100000000000001" customHeight="1">
      <c r="C38" s="539">
        <v>22</v>
      </c>
      <c r="D38" s="523">
        <v>43003</v>
      </c>
      <c r="E38" s="532" t="s">
        <v>591</v>
      </c>
      <c r="F38" s="533" t="s">
        <v>22</v>
      </c>
      <c r="G38" s="534">
        <v>8.1</v>
      </c>
      <c r="H38" s="535">
        <v>6000</v>
      </c>
      <c r="I38" s="524">
        <v>48165.03</v>
      </c>
      <c r="J38" s="524">
        <v>5.5162249999999995</v>
      </c>
      <c r="K38" s="525">
        <v>15067.68</v>
      </c>
      <c r="L38" s="536">
        <v>0.45525336620605578</v>
      </c>
      <c r="M38" s="537">
        <v>15.052053417229862</v>
      </c>
      <c r="N38" s="966" t="s">
        <v>239</v>
      </c>
      <c r="O38" s="967">
        <v>0</v>
      </c>
      <c r="P38" s="497">
        <v>9</v>
      </c>
      <c r="Q38" s="497">
        <v>2017</v>
      </c>
      <c r="R38" s="529"/>
      <c r="S38" s="530" t="s">
        <v>92</v>
      </c>
      <c r="T38" s="530" t="s">
        <v>147</v>
      </c>
      <c r="U38" s="530"/>
      <c r="V38" s="530"/>
      <c r="W38" s="531"/>
    </row>
    <row r="39" spans="3:23" ht="20.100000000000001" customHeight="1">
      <c r="C39" s="539">
        <v>23</v>
      </c>
      <c r="D39" s="523">
        <v>43003</v>
      </c>
      <c r="E39" s="532" t="s">
        <v>593</v>
      </c>
      <c r="F39" s="533" t="s">
        <v>12</v>
      </c>
      <c r="G39" s="534">
        <v>1.88</v>
      </c>
      <c r="H39" s="535">
        <v>20000</v>
      </c>
      <c r="I39" s="524">
        <v>37710.92</v>
      </c>
      <c r="J39" s="524">
        <v>1.8855459999999999</v>
      </c>
      <c r="K39" s="525">
        <v>0</v>
      </c>
      <c r="L39" s="536">
        <v>0</v>
      </c>
      <c r="M39" s="537">
        <v>0</v>
      </c>
      <c r="N39" s="966">
        <v>0</v>
      </c>
      <c r="O39" s="967">
        <v>0</v>
      </c>
      <c r="P39" s="497">
        <v>9</v>
      </c>
      <c r="Q39" s="497">
        <v>2017</v>
      </c>
      <c r="R39" s="529"/>
      <c r="S39" s="530" t="s">
        <v>92</v>
      </c>
      <c r="T39" s="530" t="s">
        <v>147</v>
      </c>
      <c r="U39" s="530"/>
      <c r="V39" s="530"/>
      <c r="W39" s="531"/>
    </row>
    <row r="40" spans="3:23" ht="20.100000000000001" customHeight="1">
      <c r="C40" s="539">
        <v>24</v>
      </c>
      <c r="D40" s="523">
        <v>43003</v>
      </c>
      <c r="E40" s="532" t="s">
        <v>592</v>
      </c>
      <c r="F40" s="533" t="s">
        <v>12</v>
      </c>
      <c r="G40" s="534">
        <v>15.08</v>
      </c>
      <c r="H40" s="535">
        <v>300</v>
      </c>
      <c r="I40" s="524">
        <v>4547.0785999999998</v>
      </c>
      <c r="J40" s="524">
        <v>11.122038264705882</v>
      </c>
      <c r="K40" s="525">
        <v>0</v>
      </c>
      <c r="L40" s="536">
        <v>0</v>
      </c>
      <c r="M40" s="537">
        <v>0</v>
      </c>
      <c r="N40" s="966">
        <v>0</v>
      </c>
      <c r="O40" s="967">
        <v>0</v>
      </c>
      <c r="P40" s="497">
        <v>9</v>
      </c>
      <c r="Q40" s="497">
        <v>2017</v>
      </c>
      <c r="R40" s="529"/>
      <c r="S40" s="530"/>
      <c r="T40" s="530"/>
      <c r="U40" s="530"/>
      <c r="V40" s="530"/>
      <c r="W40" s="531"/>
    </row>
    <row r="41" spans="3:23" ht="20.100000000000001" customHeight="1">
      <c r="C41" s="539">
        <v>25</v>
      </c>
      <c r="D41" s="523">
        <v>43003</v>
      </c>
      <c r="E41" s="532" t="s">
        <v>594</v>
      </c>
      <c r="F41" s="533" t="s">
        <v>12</v>
      </c>
      <c r="G41" s="534">
        <v>19.02</v>
      </c>
      <c r="H41" s="535">
        <v>200</v>
      </c>
      <c r="I41" s="524">
        <v>3826.9706000000001</v>
      </c>
      <c r="J41" s="524">
        <v>16.22411786956522</v>
      </c>
      <c r="K41" s="525">
        <v>0</v>
      </c>
      <c r="L41" s="536">
        <v>0</v>
      </c>
      <c r="M41" s="537">
        <v>0</v>
      </c>
      <c r="N41" s="966" t="s">
        <v>51</v>
      </c>
      <c r="O41" s="967">
        <v>0</v>
      </c>
      <c r="P41" s="497">
        <v>9</v>
      </c>
      <c r="Q41" s="497">
        <v>2017</v>
      </c>
      <c r="R41" s="529"/>
      <c r="S41" s="530"/>
      <c r="T41" s="530"/>
      <c r="U41" s="530"/>
      <c r="V41" s="530"/>
      <c r="W41" s="531"/>
    </row>
    <row r="42" spans="3:23" ht="20.100000000000001" customHeight="1">
      <c r="C42" s="539">
        <v>26</v>
      </c>
      <c r="D42" s="523">
        <v>43003</v>
      </c>
      <c r="E42" s="532" t="s">
        <v>594</v>
      </c>
      <c r="F42" s="533" t="s">
        <v>22</v>
      </c>
      <c r="G42" s="534">
        <v>18.399999999999999</v>
      </c>
      <c r="H42" s="535">
        <v>2300</v>
      </c>
      <c r="I42" s="524">
        <v>41941.235999999997</v>
      </c>
      <c r="J42" s="524">
        <v>16.22411786956522</v>
      </c>
      <c r="K42" s="525">
        <v>4625.7648999999947</v>
      </c>
      <c r="L42" s="536">
        <v>0.12396372774186935</v>
      </c>
      <c r="M42" s="537">
        <v>4.0164146707307289</v>
      </c>
      <c r="N42" s="966" t="s">
        <v>51</v>
      </c>
      <c r="O42" s="967">
        <v>0</v>
      </c>
      <c r="P42" s="497">
        <v>9</v>
      </c>
      <c r="Q42" s="497">
        <v>2017</v>
      </c>
      <c r="R42" s="529"/>
      <c r="S42" s="530" t="s">
        <v>92</v>
      </c>
      <c r="T42" s="530" t="s">
        <v>147</v>
      </c>
      <c r="U42" s="530"/>
      <c r="V42" s="530"/>
      <c r="W42" s="531"/>
    </row>
    <row r="43" spans="3:23" ht="20.100000000000001" customHeight="1">
      <c r="C43" s="539">
        <v>27</v>
      </c>
      <c r="D43" s="523">
        <v>43003</v>
      </c>
      <c r="E43" s="532" t="s">
        <v>591</v>
      </c>
      <c r="F43" s="533" t="s">
        <v>12</v>
      </c>
      <c r="G43" s="534">
        <v>9.3800000000000008</v>
      </c>
      <c r="H43" s="535">
        <v>4000</v>
      </c>
      <c r="I43" s="524">
        <v>37630.684000000001</v>
      </c>
      <c r="J43" s="524">
        <v>9.4076710000000006</v>
      </c>
      <c r="K43" s="525">
        <v>0</v>
      </c>
      <c r="L43" s="536">
        <v>0</v>
      </c>
      <c r="M43" s="537">
        <v>0</v>
      </c>
      <c r="N43" s="966" t="s">
        <v>239</v>
      </c>
      <c r="O43" s="967">
        <v>0</v>
      </c>
      <c r="P43" s="497">
        <v>9</v>
      </c>
      <c r="Q43" s="497">
        <v>2017</v>
      </c>
      <c r="R43" s="529"/>
      <c r="S43" s="530" t="s">
        <v>92</v>
      </c>
      <c r="T43" s="530" t="s">
        <v>147</v>
      </c>
      <c r="U43" s="530"/>
      <c r="V43" s="530"/>
      <c r="W43" s="531"/>
    </row>
    <row r="44" spans="3:23" ht="20.100000000000001" customHeight="1">
      <c r="C44" s="539">
        <v>28</v>
      </c>
      <c r="D44" s="523">
        <v>43003</v>
      </c>
      <c r="E44" s="532" t="s">
        <v>593</v>
      </c>
      <c r="F44" s="533" t="s">
        <v>12</v>
      </c>
      <c r="G44" s="534">
        <v>2.02</v>
      </c>
      <c r="H44" s="535">
        <v>1000</v>
      </c>
      <c r="I44" s="524">
        <v>2042.703</v>
      </c>
      <c r="J44" s="524">
        <v>1.8930296666666666</v>
      </c>
      <c r="K44" s="525">
        <v>0</v>
      </c>
      <c r="L44" s="536">
        <v>0</v>
      </c>
      <c r="M44" s="537">
        <v>0</v>
      </c>
      <c r="N44" s="966">
        <v>0</v>
      </c>
      <c r="O44" s="967">
        <v>0</v>
      </c>
      <c r="P44" s="497">
        <v>9</v>
      </c>
      <c r="Q44" s="497">
        <v>2017</v>
      </c>
      <c r="R44" s="529"/>
      <c r="S44" s="530" t="s">
        <v>89</v>
      </c>
      <c r="T44" s="530" t="s">
        <v>91</v>
      </c>
      <c r="U44" s="530"/>
      <c r="V44" s="530"/>
      <c r="W44" s="531"/>
    </row>
    <row r="45" spans="3:23" ht="20.100000000000001" customHeight="1">
      <c r="C45" s="539">
        <v>29</v>
      </c>
      <c r="D45" s="523">
        <v>43003</v>
      </c>
      <c r="E45" s="532" t="s">
        <v>591</v>
      </c>
      <c r="F45" s="533" t="s">
        <v>12</v>
      </c>
      <c r="G45" s="534">
        <v>9.84</v>
      </c>
      <c r="H45" s="535">
        <v>200</v>
      </c>
      <c r="I45" s="524">
        <v>1990.6952000000001</v>
      </c>
      <c r="J45" s="524">
        <v>9.4336617142857158</v>
      </c>
      <c r="K45" s="525">
        <v>0</v>
      </c>
      <c r="L45" s="536">
        <v>0</v>
      </c>
      <c r="M45" s="537">
        <v>0</v>
      </c>
      <c r="N45" s="966" t="s">
        <v>239</v>
      </c>
      <c r="O45" s="967">
        <v>0</v>
      </c>
      <c r="P45" s="497">
        <v>9</v>
      </c>
      <c r="Q45" s="497">
        <v>2017</v>
      </c>
      <c r="R45" s="529"/>
      <c r="S45" s="530"/>
      <c r="T45" s="530"/>
      <c r="U45" s="530"/>
      <c r="V45" s="530"/>
      <c r="W45" s="531"/>
    </row>
    <row r="46" spans="3:23" ht="20.100000000000001" customHeight="1">
      <c r="C46" s="539">
        <v>30</v>
      </c>
      <c r="D46" s="523">
        <v>43004</v>
      </c>
      <c r="E46" s="532" t="s">
        <v>593</v>
      </c>
      <c r="F46" s="533" t="s">
        <v>22</v>
      </c>
      <c r="G46" s="534">
        <v>2.33</v>
      </c>
      <c r="H46" s="535">
        <v>21000</v>
      </c>
      <c r="I46" s="524">
        <v>48492.076500000003</v>
      </c>
      <c r="J46" s="524">
        <v>1.8930296666666666</v>
      </c>
      <c r="K46" s="525">
        <v>8738.4535000000033</v>
      </c>
      <c r="L46" s="536">
        <v>0.21981527318906263</v>
      </c>
      <c r="M46" s="537">
        <v>7.2943683061317008</v>
      </c>
      <c r="N46" s="966">
        <v>0</v>
      </c>
      <c r="O46" s="967">
        <v>0</v>
      </c>
      <c r="P46" s="497">
        <v>9</v>
      </c>
      <c r="Q46" s="497">
        <v>2017</v>
      </c>
      <c r="R46" s="529"/>
      <c r="S46" s="530" t="s">
        <v>89</v>
      </c>
      <c r="T46" s="530" t="s">
        <v>91</v>
      </c>
      <c r="U46" s="530"/>
      <c r="V46" s="530"/>
      <c r="W46" s="531"/>
    </row>
    <row r="47" spans="3:23" ht="20.100000000000001" customHeight="1">
      <c r="C47" s="539">
        <v>31</v>
      </c>
      <c r="D47" s="523">
        <v>43004</v>
      </c>
      <c r="E47" s="532" t="s">
        <v>591</v>
      </c>
      <c r="F47" s="533" t="s">
        <v>22</v>
      </c>
      <c r="G47" s="534">
        <v>9.6999999999999993</v>
      </c>
      <c r="H47" s="535">
        <v>4200</v>
      </c>
      <c r="I47" s="524">
        <v>40375.377</v>
      </c>
      <c r="J47" s="524">
        <v>9.4336617142857158</v>
      </c>
      <c r="K47" s="525">
        <v>753.99779999999737</v>
      </c>
      <c r="L47" s="536">
        <v>1.9030074551266436E-2</v>
      </c>
      <c r="M47" s="537">
        <v>0.6293948529008031</v>
      </c>
      <c r="N47" s="966" t="s">
        <v>239</v>
      </c>
      <c r="O47" s="967">
        <v>0</v>
      </c>
      <c r="P47" s="497">
        <v>9</v>
      </c>
      <c r="Q47" s="497">
        <v>2017</v>
      </c>
      <c r="R47" s="529"/>
      <c r="S47" s="530"/>
      <c r="T47" s="530"/>
      <c r="U47" s="530"/>
      <c r="V47" s="530"/>
      <c r="W47" s="531"/>
    </row>
    <row r="48" spans="3:23" ht="20.100000000000001" customHeight="1">
      <c r="C48" s="539">
        <v>32</v>
      </c>
      <c r="D48" s="523">
        <v>43004</v>
      </c>
      <c r="E48" s="532" t="s">
        <v>592</v>
      </c>
      <c r="F48" s="533" t="s">
        <v>22</v>
      </c>
      <c r="G48" s="534">
        <v>13.92</v>
      </c>
      <c r="H48" s="535">
        <v>3400</v>
      </c>
      <c r="I48" s="524">
        <v>46904.414400000001</v>
      </c>
      <c r="J48" s="524">
        <v>11.122038264705882</v>
      </c>
      <c r="K48" s="525">
        <v>9089.4843000000037</v>
      </c>
      <c r="L48" s="536">
        <v>0.24036760813687197</v>
      </c>
      <c r="M48" s="537">
        <v>7.0715631645644415</v>
      </c>
      <c r="N48" s="966">
        <v>0</v>
      </c>
      <c r="O48" s="967">
        <v>0</v>
      </c>
      <c r="P48" s="497">
        <v>9</v>
      </c>
      <c r="Q48" s="497">
        <v>2017</v>
      </c>
      <c r="R48" s="529"/>
      <c r="S48" s="530" t="s">
        <v>89</v>
      </c>
      <c r="T48" s="530" t="s">
        <v>82</v>
      </c>
      <c r="U48" s="530"/>
      <c r="V48" s="530"/>
      <c r="W48" s="531"/>
    </row>
    <row r="49" spans="3:23" ht="20.100000000000001" customHeight="1">
      <c r="C49" s="539">
        <v>33</v>
      </c>
      <c r="D49" s="523">
        <v>43005</v>
      </c>
      <c r="E49" s="532" t="s">
        <v>591</v>
      </c>
      <c r="F49" s="533" t="s">
        <v>12</v>
      </c>
      <c r="G49" s="534">
        <v>7.25</v>
      </c>
      <c r="H49" s="535">
        <v>6000</v>
      </c>
      <c r="I49" s="524">
        <v>43628.324999999997</v>
      </c>
      <c r="J49" s="524">
        <v>7.2713874999999994</v>
      </c>
      <c r="K49" s="525">
        <v>0</v>
      </c>
      <c r="L49" s="536">
        <v>0</v>
      </c>
      <c r="M49" s="537">
        <v>0</v>
      </c>
      <c r="N49" s="966" t="s">
        <v>240</v>
      </c>
      <c r="O49" s="967">
        <v>0</v>
      </c>
      <c r="P49" s="497">
        <v>9</v>
      </c>
      <c r="Q49" s="497">
        <v>2017</v>
      </c>
      <c r="R49" s="529"/>
      <c r="S49" s="530"/>
      <c r="T49" s="530"/>
      <c r="U49" s="530"/>
      <c r="V49" s="530"/>
      <c r="W49" s="531"/>
    </row>
    <row r="50" spans="3:23" ht="20.100000000000001" customHeight="1">
      <c r="C50" s="539">
        <v>34</v>
      </c>
      <c r="D50" s="523">
        <v>43005</v>
      </c>
      <c r="E50" s="532" t="s">
        <v>592</v>
      </c>
      <c r="F50" s="533" t="s">
        <v>12</v>
      </c>
      <c r="G50" s="534">
        <v>16</v>
      </c>
      <c r="H50" s="535">
        <v>2700</v>
      </c>
      <c r="I50" s="524">
        <v>43327.44</v>
      </c>
      <c r="J50" s="524">
        <v>16.0472</v>
      </c>
      <c r="K50" s="525">
        <v>0</v>
      </c>
      <c r="L50" s="536">
        <v>0</v>
      </c>
      <c r="M50" s="537">
        <v>0</v>
      </c>
      <c r="N50" s="966">
        <v>0</v>
      </c>
      <c r="O50" s="967">
        <v>0</v>
      </c>
      <c r="P50" s="497">
        <v>9</v>
      </c>
      <c r="Q50" s="497">
        <v>2017</v>
      </c>
      <c r="R50" s="529"/>
      <c r="S50" s="530" t="s">
        <v>92</v>
      </c>
      <c r="T50" s="530" t="s">
        <v>147</v>
      </c>
      <c r="U50" s="530"/>
      <c r="V50" s="530"/>
      <c r="W50" s="531"/>
    </row>
    <row r="51" spans="3:23" ht="20.100000000000001" customHeight="1">
      <c r="C51" s="539">
        <v>35</v>
      </c>
      <c r="D51" s="523">
        <v>43005</v>
      </c>
      <c r="E51" s="532" t="s">
        <v>597</v>
      </c>
      <c r="F51" s="533" t="s">
        <v>12</v>
      </c>
      <c r="G51" s="534">
        <v>5.42</v>
      </c>
      <c r="H51" s="535">
        <v>8400</v>
      </c>
      <c r="I51" s="524">
        <v>45662.3076</v>
      </c>
      <c r="J51" s="524">
        <v>5.4359890000000002</v>
      </c>
      <c r="K51" s="525">
        <v>0</v>
      </c>
      <c r="L51" s="536">
        <v>0</v>
      </c>
      <c r="M51" s="537">
        <v>0</v>
      </c>
      <c r="N51" s="966">
        <v>0</v>
      </c>
      <c r="O51" s="967">
        <v>0</v>
      </c>
      <c r="P51" s="497">
        <v>9</v>
      </c>
      <c r="Q51" s="497">
        <v>2017</v>
      </c>
      <c r="R51" s="529"/>
      <c r="S51" s="530"/>
      <c r="T51" s="530"/>
      <c r="U51" s="530"/>
      <c r="V51" s="530"/>
      <c r="W51" s="531"/>
    </row>
    <row r="52" spans="3:23" ht="20.100000000000001" customHeight="1">
      <c r="C52" s="539">
        <v>36</v>
      </c>
      <c r="D52" s="523">
        <v>43006</v>
      </c>
      <c r="E52" s="532" t="s">
        <v>592</v>
      </c>
      <c r="F52" s="533" t="s">
        <v>22</v>
      </c>
      <c r="G52" s="534">
        <v>15</v>
      </c>
      <c r="H52" s="535">
        <v>2700</v>
      </c>
      <c r="I52" s="524">
        <v>40137.525000000001</v>
      </c>
      <c r="J52" s="524">
        <v>16.0472</v>
      </c>
      <c r="K52" s="525">
        <v>-3189.9150000000009</v>
      </c>
      <c r="L52" s="536">
        <v>-7.3623435864200629E-2</v>
      </c>
      <c r="M52" s="537">
        <v>-2.3051983670830292</v>
      </c>
      <c r="N52" s="966">
        <v>0</v>
      </c>
      <c r="O52" s="967">
        <v>0</v>
      </c>
      <c r="P52" s="497">
        <v>9</v>
      </c>
      <c r="Q52" s="497">
        <v>2017</v>
      </c>
      <c r="R52" s="529"/>
      <c r="S52" s="530"/>
      <c r="T52" s="530"/>
      <c r="U52" s="530"/>
      <c r="V52" s="530"/>
      <c r="W52" s="531"/>
    </row>
    <row r="53" spans="3:23" ht="20.100000000000001" customHeight="1">
      <c r="C53" s="539">
        <v>37</v>
      </c>
      <c r="D53" s="523">
        <v>43006</v>
      </c>
      <c r="E53" s="532" t="s">
        <v>597</v>
      </c>
      <c r="F53" s="533" t="s">
        <v>22</v>
      </c>
      <c r="G53" s="534">
        <v>5.4</v>
      </c>
      <c r="H53" s="535">
        <v>8400</v>
      </c>
      <c r="I53" s="524">
        <v>44954.027999999998</v>
      </c>
      <c r="J53" s="524">
        <v>5.4359890000000002</v>
      </c>
      <c r="K53" s="525">
        <v>-708.27960000000166</v>
      </c>
      <c r="L53" s="536">
        <v>-1.5511252874132048E-2</v>
      </c>
      <c r="M53" s="537">
        <v>-0.51183965007162391</v>
      </c>
      <c r="N53" s="966">
        <v>0</v>
      </c>
      <c r="O53" s="967">
        <v>0</v>
      </c>
      <c r="P53" s="497">
        <v>9</v>
      </c>
      <c r="Q53" s="497">
        <v>2017</v>
      </c>
      <c r="R53" s="529"/>
      <c r="S53" s="530"/>
      <c r="T53" s="530"/>
      <c r="U53" s="530"/>
      <c r="V53" s="530"/>
      <c r="W53" s="531"/>
    </row>
    <row r="54" spans="3:23" ht="20.100000000000001" customHeight="1">
      <c r="C54" s="539">
        <v>38</v>
      </c>
      <c r="D54" s="523">
        <v>43006</v>
      </c>
      <c r="E54" s="532" t="s">
        <v>591</v>
      </c>
      <c r="F54" s="533" t="s">
        <v>22</v>
      </c>
      <c r="G54" s="534">
        <v>8.8699999999999992</v>
      </c>
      <c r="H54" s="535">
        <v>6000</v>
      </c>
      <c r="I54" s="524">
        <v>52743.68099999999</v>
      </c>
      <c r="J54" s="524">
        <v>7.2713874999999994</v>
      </c>
      <c r="K54" s="525">
        <v>9115.3559999999925</v>
      </c>
      <c r="L54" s="536">
        <v>0.20893206420370236</v>
      </c>
      <c r="M54" s="537">
        <v>6.7426617219980614</v>
      </c>
      <c r="N54" s="966" t="s">
        <v>240</v>
      </c>
      <c r="O54" s="967">
        <v>0</v>
      </c>
      <c r="P54" s="497">
        <v>9</v>
      </c>
      <c r="Q54" s="497">
        <v>2017</v>
      </c>
      <c r="R54" s="529"/>
      <c r="S54" s="530"/>
      <c r="T54" s="530"/>
      <c r="U54" s="530"/>
      <c r="V54" s="530"/>
      <c r="W54" s="531"/>
    </row>
    <row r="55" spans="3:23" ht="20.100000000000001" customHeight="1">
      <c r="C55" s="539">
        <v>39</v>
      </c>
      <c r="D55" s="523">
        <v>43007</v>
      </c>
      <c r="E55" s="532" t="s">
        <v>591</v>
      </c>
      <c r="F55" s="533" t="s">
        <v>12</v>
      </c>
      <c r="G55" s="534">
        <v>7.4</v>
      </c>
      <c r="H55" s="535">
        <v>6400</v>
      </c>
      <c r="I55" s="524">
        <v>47499.712</v>
      </c>
      <c r="J55" s="524">
        <v>7.4218299999999999</v>
      </c>
      <c r="K55" s="525">
        <v>0</v>
      </c>
      <c r="L55" s="536">
        <v>0</v>
      </c>
      <c r="M55" s="537">
        <v>0</v>
      </c>
      <c r="N55" s="966" t="s">
        <v>240</v>
      </c>
      <c r="O55" s="967">
        <v>0</v>
      </c>
      <c r="P55" s="497">
        <v>9</v>
      </c>
      <c r="Q55" s="497">
        <v>2017</v>
      </c>
      <c r="R55" s="529"/>
      <c r="S55" s="530" t="s">
        <v>92</v>
      </c>
      <c r="T55" s="530" t="s">
        <v>147</v>
      </c>
      <c r="U55" s="530"/>
      <c r="V55" s="530"/>
      <c r="W55" s="531"/>
    </row>
    <row r="56" spans="3:23" ht="20.100000000000001" customHeight="1">
      <c r="C56" s="539">
        <v>40</v>
      </c>
      <c r="D56" s="523">
        <v>43007</v>
      </c>
      <c r="E56" s="532" t="s">
        <v>589</v>
      </c>
      <c r="F56" s="533" t="s">
        <v>12</v>
      </c>
      <c r="G56" s="534">
        <v>5.14</v>
      </c>
      <c r="H56" s="535">
        <v>9300</v>
      </c>
      <c r="I56" s="524">
        <v>47943.015899999999</v>
      </c>
      <c r="J56" s="524">
        <v>5.1551629999999999</v>
      </c>
      <c r="K56" s="525">
        <v>0</v>
      </c>
      <c r="L56" s="536">
        <v>0</v>
      </c>
      <c r="M56" s="537">
        <v>0</v>
      </c>
      <c r="N56" s="966" t="s">
        <v>241</v>
      </c>
      <c r="O56" s="967">
        <v>0</v>
      </c>
      <c r="P56" s="497">
        <v>9</v>
      </c>
      <c r="Q56" s="497">
        <v>2017</v>
      </c>
      <c r="R56" s="529"/>
      <c r="S56" s="530" t="s">
        <v>92</v>
      </c>
      <c r="T56" s="530" t="s">
        <v>84</v>
      </c>
      <c r="U56" s="530"/>
      <c r="V56" s="530"/>
      <c r="W56" s="531"/>
    </row>
    <row r="57" spans="3:23" ht="20.100000000000001" customHeight="1">
      <c r="C57" s="539">
        <v>41</v>
      </c>
      <c r="D57" s="523">
        <v>43007</v>
      </c>
      <c r="E57" s="532" t="s">
        <v>589</v>
      </c>
      <c r="F57" s="533" t="s">
        <v>22</v>
      </c>
      <c r="G57" s="534">
        <v>5.08</v>
      </c>
      <c r="H57" s="535">
        <v>9300</v>
      </c>
      <c r="I57" s="524">
        <v>46821.1662</v>
      </c>
      <c r="J57" s="524">
        <v>5.1551629999999999</v>
      </c>
      <c r="K57" s="525">
        <v>-1121.8496999999988</v>
      </c>
      <c r="L57" s="536">
        <v>-2.3399648080962693E-2</v>
      </c>
      <c r="M57" s="537">
        <v>-0.78125219120066769</v>
      </c>
      <c r="N57" s="966" t="s">
        <v>241</v>
      </c>
      <c r="O57" s="967">
        <v>0</v>
      </c>
      <c r="P57" s="497">
        <v>9</v>
      </c>
      <c r="Q57" s="497">
        <v>2017</v>
      </c>
      <c r="R57" s="529"/>
      <c r="S57" s="530"/>
      <c r="T57" s="530"/>
      <c r="U57" s="530"/>
      <c r="V57" s="530"/>
      <c r="W57" s="531"/>
    </row>
    <row r="58" spans="3:23" ht="20.100000000000001" customHeight="1">
      <c r="C58" s="539">
        <v>42</v>
      </c>
      <c r="D58" s="523">
        <v>43010</v>
      </c>
      <c r="E58" s="532" t="s">
        <v>593</v>
      </c>
      <c r="F58" s="533" t="s">
        <v>12</v>
      </c>
      <c r="G58" s="534">
        <v>1.79</v>
      </c>
      <c r="H58" s="535">
        <v>26000</v>
      </c>
      <c r="I58" s="524">
        <v>46677.292999999998</v>
      </c>
      <c r="J58" s="524">
        <v>1.7952804999999998</v>
      </c>
      <c r="K58" s="525">
        <v>0</v>
      </c>
      <c r="L58" s="536">
        <v>0</v>
      </c>
      <c r="M58" s="537">
        <v>0</v>
      </c>
      <c r="N58" s="966">
        <v>0</v>
      </c>
      <c r="O58" s="967">
        <v>0</v>
      </c>
      <c r="P58" s="497">
        <v>10</v>
      </c>
      <c r="Q58" s="497">
        <v>2017</v>
      </c>
      <c r="R58" s="529"/>
      <c r="S58" s="530"/>
      <c r="T58" s="530"/>
      <c r="U58" s="530"/>
      <c r="V58" s="530"/>
      <c r="W58" s="531"/>
    </row>
    <row r="59" spans="3:23" ht="20.100000000000001" customHeight="1">
      <c r="C59" s="539">
        <v>43</v>
      </c>
      <c r="D59" s="523">
        <v>43010</v>
      </c>
      <c r="E59" s="532" t="s">
        <v>598</v>
      </c>
      <c r="F59" s="533" t="s">
        <v>12</v>
      </c>
      <c r="G59" s="534">
        <v>33.4</v>
      </c>
      <c r="H59" s="535">
        <v>1400</v>
      </c>
      <c r="I59" s="524">
        <v>46897.942000000003</v>
      </c>
      <c r="J59" s="524">
        <v>33.498530000000002</v>
      </c>
      <c r="K59" s="525">
        <v>0</v>
      </c>
      <c r="L59" s="536">
        <v>0</v>
      </c>
      <c r="M59" s="537">
        <v>0</v>
      </c>
      <c r="N59" s="966">
        <v>0</v>
      </c>
      <c r="O59" s="967">
        <v>0</v>
      </c>
      <c r="P59" s="497">
        <v>10</v>
      </c>
      <c r="Q59" s="497">
        <v>2017</v>
      </c>
      <c r="R59" s="529"/>
      <c r="S59" s="530"/>
      <c r="T59" s="530"/>
      <c r="U59" s="530"/>
      <c r="V59" s="530"/>
      <c r="W59" s="531"/>
    </row>
    <row r="60" spans="3:23" ht="20.100000000000001" customHeight="1">
      <c r="C60" s="539">
        <v>44</v>
      </c>
      <c r="D60" s="523">
        <v>43010</v>
      </c>
      <c r="E60" s="532" t="s">
        <v>591</v>
      </c>
      <c r="F60" s="533" t="s">
        <v>22</v>
      </c>
      <c r="G60" s="534">
        <v>7.16</v>
      </c>
      <c r="H60" s="535">
        <v>6400</v>
      </c>
      <c r="I60" s="524">
        <v>45413.875200000002</v>
      </c>
      <c r="J60" s="524">
        <v>7.4218299999999999</v>
      </c>
      <c r="K60" s="525">
        <v>-2085.8367999999973</v>
      </c>
      <c r="L60" s="536">
        <v>-4.3912619933358696E-2</v>
      </c>
      <c r="M60" s="537">
        <v>-1.2837932614243552</v>
      </c>
      <c r="N60" s="966" t="s">
        <v>240</v>
      </c>
      <c r="O60" s="967">
        <v>0</v>
      </c>
      <c r="P60" s="497">
        <v>10</v>
      </c>
      <c r="Q60" s="497">
        <v>2017</v>
      </c>
      <c r="R60" s="529"/>
      <c r="S60" s="530"/>
      <c r="T60" s="530"/>
      <c r="U60" s="530"/>
      <c r="V60" s="530"/>
      <c r="W60" s="531"/>
    </row>
    <row r="61" spans="3:23" ht="20.100000000000001" customHeight="1">
      <c r="C61" s="539">
        <v>45</v>
      </c>
      <c r="D61" s="523">
        <v>43010</v>
      </c>
      <c r="E61" s="532" t="s">
        <v>593</v>
      </c>
      <c r="F61" s="533" t="s">
        <v>22</v>
      </c>
      <c r="G61" s="534">
        <v>1.79</v>
      </c>
      <c r="H61" s="535">
        <v>26000</v>
      </c>
      <c r="I61" s="524">
        <v>46123.466999999997</v>
      </c>
      <c r="J61" s="524">
        <v>1.7952804999999998</v>
      </c>
      <c r="K61" s="525">
        <v>-553.82600000000093</v>
      </c>
      <c r="L61" s="536">
        <v>-1.1864998255147335E-2</v>
      </c>
      <c r="M61" s="537">
        <v>-0.3408694710926603</v>
      </c>
      <c r="N61" s="966">
        <v>0</v>
      </c>
      <c r="O61" s="967">
        <v>0</v>
      </c>
      <c r="P61" s="497">
        <v>10</v>
      </c>
      <c r="Q61" s="497">
        <v>2017</v>
      </c>
      <c r="R61" s="529"/>
      <c r="S61" s="530" t="s">
        <v>92</v>
      </c>
      <c r="T61" s="530" t="s">
        <v>147</v>
      </c>
      <c r="U61" s="530"/>
      <c r="V61" s="530"/>
      <c r="W61" s="531"/>
    </row>
    <row r="62" spans="3:23" ht="20.100000000000001" customHeight="1">
      <c r="C62" s="539">
        <v>46</v>
      </c>
      <c r="D62" s="523">
        <v>43011</v>
      </c>
      <c r="E62" s="532" t="s">
        <v>591</v>
      </c>
      <c r="F62" s="533" t="s">
        <v>12</v>
      </c>
      <c r="G62" s="534">
        <v>6.7</v>
      </c>
      <c r="H62" s="535">
        <v>6900</v>
      </c>
      <c r="I62" s="524">
        <v>46366.378499999999</v>
      </c>
      <c r="J62" s="524">
        <v>6.7197649999999998</v>
      </c>
      <c r="K62" s="525">
        <v>0</v>
      </c>
      <c r="L62" s="536">
        <v>0</v>
      </c>
      <c r="M62" s="537">
        <v>0</v>
      </c>
      <c r="N62" s="966" t="s">
        <v>240</v>
      </c>
      <c r="O62" s="967">
        <v>0</v>
      </c>
      <c r="P62" s="497">
        <v>10</v>
      </c>
      <c r="Q62" s="497">
        <v>2017</v>
      </c>
      <c r="R62" s="529"/>
      <c r="S62" s="530"/>
      <c r="T62" s="530"/>
      <c r="U62" s="530"/>
      <c r="V62" s="530"/>
      <c r="W62" s="531"/>
    </row>
    <row r="63" spans="3:23" ht="20.100000000000001" customHeight="1">
      <c r="C63" s="539">
        <v>47</v>
      </c>
      <c r="D63" s="523">
        <v>43011</v>
      </c>
      <c r="E63" s="532" t="s">
        <v>598</v>
      </c>
      <c r="F63" s="533" t="s">
        <v>22</v>
      </c>
      <c r="G63" s="534">
        <v>33.15</v>
      </c>
      <c r="H63" s="535">
        <v>1400</v>
      </c>
      <c r="I63" s="524">
        <v>45994.630499999999</v>
      </c>
      <c r="J63" s="524">
        <v>33.498530000000002</v>
      </c>
      <c r="K63" s="525">
        <v>-903.31150000000343</v>
      </c>
      <c r="L63" s="536">
        <v>-1.9261218328087901E-2</v>
      </c>
      <c r="M63" s="537">
        <v>-0.56515304430046975</v>
      </c>
      <c r="N63" s="966">
        <v>0</v>
      </c>
      <c r="O63" s="967">
        <v>0</v>
      </c>
      <c r="P63" s="497">
        <v>10</v>
      </c>
      <c r="Q63" s="497">
        <v>2017</v>
      </c>
      <c r="R63" s="529"/>
      <c r="S63" s="530"/>
      <c r="T63" s="530"/>
      <c r="U63" s="530"/>
      <c r="V63" s="530"/>
      <c r="W63" s="531"/>
    </row>
    <row r="64" spans="3:23" ht="20.100000000000001" customHeight="1">
      <c r="C64" s="539">
        <f>IF('Trade Log'!C62=0,"",'Trade Log'!C62)</f>
        <v>48</v>
      </c>
      <c r="D64" s="523" t="str">
        <f>IF(('Trade Log'!D62)=0,"",('Trade Log'!D62))</f>
        <v/>
      </c>
      <c r="E64" s="532">
        <f>'Trade Log'!E62</f>
        <v>0</v>
      </c>
      <c r="F64" s="533">
        <f>'Trade Log'!F62</f>
        <v>0</v>
      </c>
      <c r="G64" s="534">
        <f>'Trade Log'!G62</f>
        <v>0</v>
      </c>
      <c r="H64" s="535">
        <f>'Trade Log'!H62</f>
        <v>0</v>
      </c>
      <c r="I64" s="524">
        <f>'Trade Log'!U62</f>
        <v>0</v>
      </c>
      <c r="J64" s="524">
        <f>'Trade Log'!V62</f>
        <v>0</v>
      </c>
      <c r="K64" s="525">
        <f>'Trade Log'!Z62</f>
        <v>0</v>
      </c>
      <c r="L64" s="536">
        <f>'Trade Log'!AA62</f>
        <v>0</v>
      </c>
      <c r="M64" s="537">
        <f>'Trade Log'!AC62</f>
        <v>0</v>
      </c>
      <c r="N64" s="966">
        <f>'Trade Log'!AE62</f>
        <v>0</v>
      </c>
      <c r="O64" s="967">
        <f>'Trade Log'!AF62</f>
        <v>0</v>
      </c>
      <c r="P64" s="497" t="str">
        <f t="shared" ref="P17:P66" si="1">IFERROR(MONTH(D64),"")</f>
        <v/>
      </c>
      <c r="Q64" s="497" t="str">
        <f t="shared" ref="Q17:Q66" si="2">IFERROR(YEAR(D64),"")</f>
        <v/>
      </c>
      <c r="R64" s="529"/>
      <c r="S64" s="530"/>
      <c r="T64" s="530"/>
      <c r="U64" s="530"/>
      <c r="V64" s="530"/>
      <c r="W64" s="531"/>
    </row>
    <row r="65" spans="3:23" ht="20.100000000000001" customHeight="1">
      <c r="C65" s="539">
        <f>IF('Trade Log'!C63=0,"",'Trade Log'!C63)</f>
        <v>49</v>
      </c>
      <c r="D65" s="523" t="str">
        <f>IF(('Trade Log'!D63)=0,"",('Trade Log'!D63))</f>
        <v/>
      </c>
      <c r="E65" s="532">
        <f>'Trade Log'!E63</f>
        <v>0</v>
      </c>
      <c r="F65" s="533">
        <f>'Trade Log'!F63</f>
        <v>0</v>
      </c>
      <c r="G65" s="534">
        <f>'Trade Log'!G63</f>
        <v>0</v>
      </c>
      <c r="H65" s="535">
        <f>'Trade Log'!H63</f>
        <v>0</v>
      </c>
      <c r="I65" s="524">
        <f>'Trade Log'!U63</f>
        <v>0</v>
      </c>
      <c r="J65" s="524">
        <f>'Trade Log'!V63</f>
        <v>0</v>
      </c>
      <c r="K65" s="525">
        <f>'Trade Log'!Z63</f>
        <v>0</v>
      </c>
      <c r="L65" s="536">
        <f>'Trade Log'!AA63</f>
        <v>0</v>
      </c>
      <c r="M65" s="537">
        <f>'Trade Log'!AC63</f>
        <v>0</v>
      </c>
      <c r="N65" s="966">
        <f>'Trade Log'!AE63</f>
        <v>0</v>
      </c>
      <c r="O65" s="967">
        <f>'Trade Log'!AF63</f>
        <v>0</v>
      </c>
      <c r="P65" s="497" t="str">
        <f t="shared" si="1"/>
        <v/>
      </c>
      <c r="Q65" s="497" t="str">
        <f t="shared" si="2"/>
        <v/>
      </c>
      <c r="R65" s="529"/>
      <c r="S65" s="530"/>
      <c r="T65" s="530"/>
      <c r="U65" s="530"/>
      <c r="V65" s="530"/>
      <c r="W65" s="531"/>
    </row>
    <row r="66" spans="3:23" ht="20.100000000000001" customHeight="1">
      <c r="C66" s="539">
        <f>IF('Trade Log'!C64=0,"",'Trade Log'!C64)</f>
        <v>50</v>
      </c>
      <c r="D66" s="523" t="str">
        <f>IF(('Trade Log'!D64)=0,"",('Trade Log'!D64))</f>
        <v/>
      </c>
      <c r="E66" s="532">
        <f>'Trade Log'!E64</f>
        <v>0</v>
      </c>
      <c r="F66" s="533">
        <f>'Trade Log'!F64</f>
        <v>0</v>
      </c>
      <c r="G66" s="534">
        <f>'Trade Log'!G64</f>
        <v>0</v>
      </c>
      <c r="H66" s="535">
        <f>'Trade Log'!H64</f>
        <v>0</v>
      </c>
      <c r="I66" s="524">
        <f>'Trade Log'!U64</f>
        <v>0</v>
      </c>
      <c r="J66" s="524">
        <f>'Trade Log'!V64</f>
        <v>0</v>
      </c>
      <c r="K66" s="525">
        <f>'Trade Log'!Z64</f>
        <v>0</v>
      </c>
      <c r="L66" s="536">
        <f>'Trade Log'!AA64</f>
        <v>0</v>
      </c>
      <c r="M66" s="537">
        <f>'Trade Log'!AC64</f>
        <v>0</v>
      </c>
      <c r="N66" s="966">
        <f>'Trade Log'!AE64</f>
        <v>0</v>
      </c>
      <c r="O66" s="967">
        <f>'Trade Log'!AF64</f>
        <v>0</v>
      </c>
      <c r="P66" s="497" t="str">
        <f t="shared" si="1"/>
        <v/>
      </c>
      <c r="Q66" s="497" t="str">
        <f t="shared" si="2"/>
        <v/>
      </c>
      <c r="R66" s="529"/>
      <c r="S66" s="530"/>
      <c r="T66" s="530"/>
      <c r="U66" s="530"/>
      <c r="V66" s="530"/>
      <c r="W66" s="531"/>
    </row>
    <row r="67" spans="3:23" ht="20.100000000000001" customHeight="1"/>
    <row r="68" spans="3:23" ht="20.100000000000001" customHeight="1"/>
    <row r="69" spans="3:23" ht="20.100000000000001" customHeight="1"/>
    <row r="70" spans="3:23" ht="20.100000000000001" customHeight="1"/>
    <row r="71" spans="3:23" ht="20.100000000000001" customHeight="1"/>
    <row r="72" spans="3:23" ht="20.100000000000001" customHeight="1"/>
    <row r="73" spans="3:23" ht="20.100000000000001" customHeight="1"/>
    <row r="74" spans="3:23" ht="20.100000000000001" customHeight="1"/>
    <row r="75" spans="3:23" ht="20.100000000000001" customHeight="1"/>
    <row r="76" spans="3:23" ht="20.100000000000001" customHeight="1"/>
    <row r="77" spans="3:23" ht="20.100000000000001" customHeight="1"/>
    <row r="78" spans="3:23" ht="20.100000000000001" customHeight="1"/>
    <row r="79" spans="3:23" ht="20.100000000000001" customHeight="1"/>
    <row r="80" spans="3:23"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spans="24:24" ht="20.100000000000001" customHeight="1"/>
    <row r="514" spans="24:24" ht="20.100000000000001" customHeight="1"/>
    <row r="515" spans="24:24" ht="20.100000000000001" customHeight="1"/>
    <row r="516" spans="24:24" ht="20.100000000000001" customHeight="1"/>
    <row r="517" spans="24:24" ht="20.100000000000001" customHeight="1">
      <c r="X517" s="538"/>
    </row>
    <row r="518" spans="24:24" ht="20.100000000000001" customHeight="1">
      <c r="X518" s="538"/>
    </row>
    <row r="519" spans="24:24" ht="20.100000000000001" customHeight="1">
      <c r="X519" s="538"/>
    </row>
    <row r="520" spans="24:24" ht="20.100000000000001" customHeight="1">
      <c r="X520" s="538"/>
    </row>
    <row r="521" spans="24:24" ht="20.100000000000001" customHeight="1">
      <c r="X521" s="538"/>
    </row>
    <row r="522" spans="24:24" ht="20.100000000000001" customHeight="1">
      <c r="X522" s="538"/>
    </row>
    <row r="523" spans="24:24" ht="20.100000000000001" customHeight="1">
      <c r="X523" s="538"/>
    </row>
    <row r="524" spans="24:24" ht="20.100000000000001" customHeight="1">
      <c r="X524" s="538"/>
    </row>
    <row r="525" spans="24:24" ht="20.100000000000001" customHeight="1">
      <c r="X525" s="538"/>
    </row>
    <row r="526" spans="24:24" ht="20.100000000000001" customHeight="1">
      <c r="X526" s="538"/>
    </row>
    <row r="527" spans="24:24" ht="20.100000000000001" customHeight="1">
      <c r="X527" s="538"/>
    </row>
    <row r="528" spans="24:24" ht="20.100000000000001" customHeight="1">
      <c r="X528" s="538"/>
    </row>
    <row r="529" spans="24:24" ht="20.100000000000001" customHeight="1">
      <c r="X529" s="538"/>
    </row>
    <row r="530" spans="24:24" ht="20.100000000000001" customHeight="1">
      <c r="X530" s="538"/>
    </row>
    <row r="531" spans="24:24" ht="20.100000000000001" customHeight="1">
      <c r="X531" s="538"/>
    </row>
    <row r="532" spans="24:24" ht="20.100000000000001" customHeight="1">
      <c r="X532" s="538"/>
    </row>
    <row r="533" spans="24:24" ht="20.100000000000001" customHeight="1">
      <c r="X533" s="538"/>
    </row>
    <row r="534" spans="24:24" ht="20.100000000000001" customHeight="1">
      <c r="X534" s="538"/>
    </row>
    <row r="535" spans="24:24" ht="20.100000000000001" customHeight="1">
      <c r="X535" s="538"/>
    </row>
    <row r="536" spans="24:24" ht="20.100000000000001" customHeight="1">
      <c r="X536" s="538"/>
    </row>
    <row r="537" spans="24:24" ht="20.100000000000001" customHeight="1">
      <c r="X537" s="538"/>
    </row>
    <row r="538" spans="24:24" ht="20.100000000000001" customHeight="1">
      <c r="X538" s="538"/>
    </row>
    <row r="539" spans="24:24" ht="20.100000000000001" customHeight="1">
      <c r="X539" s="538"/>
    </row>
    <row r="540" spans="24:24" ht="20.100000000000001" customHeight="1">
      <c r="X540" s="538"/>
    </row>
    <row r="541" spans="24:24" ht="20.100000000000001" customHeight="1">
      <c r="X541" s="538"/>
    </row>
    <row r="542" spans="24:24" ht="20.100000000000001" customHeight="1">
      <c r="X542" s="538"/>
    </row>
    <row r="543" spans="24:24" ht="20.100000000000001" customHeight="1">
      <c r="X543" s="538"/>
    </row>
    <row r="544" spans="24:24" ht="20.100000000000001" customHeight="1">
      <c r="X544" s="538"/>
    </row>
    <row r="545" spans="24:24" ht="20.100000000000001" customHeight="1">
      <c r="X545" s="538"/>
    </row>
    <row r="546" spans="24:24" ht="20.100000000000001" customHeight="1">
      <c r="X546" s="538"/>
    </row>
    <row r="547" spans="24:24" ht="20.100000000000001" customHeight="1">
      <c r="X547" s="538"/>
    </row>
    <row r="548" spans="24:24" ht="20.100000000000001" customHeight="1">
      <c r="X548" s="538"/>
    </row>
    <row r="549" spans="24:24" ht="20.100000000000001" customHeight="1">
      <c r="X549" s="538"/>
    </row>
    <row r="550" spans="24:24" ht="20.100000000000001" customHeight="1">
      <c r="X550" s="538"/>
    </row>
    <row r="551" spans="24:24" ht="20.100000000000001" customHeight="1">
      <c r="X551" s="538"/>
    </row>
    <row r="552" spans="24:24" ht="20.100000000000001" customHeight="1">
      <c r="X552" s="538"/>
    </row>
    <row r="553" spans="24:24" ht="20.100000000000001" customHeight="1">
      <c r="X553" s="538"/>
    </row>
    <row r="554" spans="24:24" ht="20.100000000000001" customHeight="1">
      <c r="X554" s="538"/>
    </row>
    <row r="555" spans="24:24" ht="20.100000000000001" customHeight="1">
      <c r="X555" s="538"/>
    </row>
    <row r="556" spans="24:24" ht="20.100000000000001" customHeight="1">
      <c r="X556" s="538"/>
    </row>
    <row r="557" spans="24:24" ht="20.100000000000001" customHeight="1">
      <c r="X557" s="538"/>
    </row>
    <row r="558" spans="24:24" ht="20.100000000000001" customHeight="1">
      <c r="X558" s="538"/>
    </row>
    <row r="559" spans="24:24" ht="20.100000000000001" customHeight="1">
      <c r="X559" s="538"/>
    </row>
    <row r="560" spans="24:24" ht="20.100000000000001" customHeight="1">
      <c r="X560" s="538"/>
    </row>
    <row r="561" spans="24:24" ht="20.100000000000001" customHeight="1">
      <c r="X561" s="538"/>
    </row>
    <row r="562" spans="24:24" ht="20.100000000000001" customHeight="1">
      <c r="X562" s="538"/>
    </row>
    <row r="563" spans="24:24" ht="20.100000000000001" customHeight="1">
      <c r="X563" s="538"/>
    </row>
    <row r="564" spans="24:24" ht="20.100000000000001" customHeight="1">
      <c r="X564" s="538"/>
    </row>
    <row r="565" spans="24:24" ht="20.100000000000001" customHeight="1">
      <c r="X565" s="538"/>
    </row>
    <row r="566" spans="24:24" ht="20.100000000000001" customHeight="1">
      <c r="X566" s="538"/>
    </row>
    <row r="567" spans="24:24" ht="20.100000000000001" customHeight="1">
      <c r="X567" s="538"/>
    </row>
    <row r="568" spans="24:24" ht="20.100000000000001" customHeight="1">
      <c r="X568" s="538"/>
    </row>
    <row r="569" spans="24:24" ht="20.100000000000001" customHeight="1">
      <c r="X569" s="538"/>
    </row>
    <row r="570" spans="24:24" ht="20.100000000000001" customHeight="1">
      <c r="X570" s="538"/>
    </row>
    <row r="571" spans="24:24" ht="20.100000000000001" customHeight="1">
      <c r="X571" s="538"/>
    </row>
    <row r="572" spans="24:24" ht="20.100000000000001" customHeight="1">
      <c r="X572" s="538"/>
    </row>
    <row r="573" spans="24:24" ht="20.100000000000001" customHeight="1">
      <c r="X573" s="538"/>
    </row>
    <row r="574" spans="24:24" ht="20.100000000000001" customHeight="1">
      <c r="X574" s="538"/>
    </row>
    <row r="575" spans="24:24" ht="20.100000000000001" customHeight="1">
      <c r="X575" s="538"/>
    </row>
    <row r="576" spans="24:24" ht="20.100000000000001" customHeight="1">
      <c r="X576" s="538"/>
    </row>
    <row r="577" spans="24:24" ht="20.100000000000001" customHeight="1">
      <c r="X577" s="538"/>
    </row>
    <row r="578" spans="24:24" ht="20.100000000000001" customHeight="1">
      <c r="X578" s="538"/>
    </row>
    <row r="579" spans="24:24" ht="20.100000000000001" customHeight="1">
      <c r="X579" s="538"/>
    </row>
    <row r="580" spans="24:24" ht="20.100000000000001" customHeight="1">
      <c r="X580" s="538"/>
    </row>
    <row r="581" spans="24:24" ht="20.100000000000001" customHeight="1">
      <c r="X581" s="538"/>
    </row>
    <row r="582" spans="24:24" ht="20.100000000000001" customHeight="1">
      <c r="X582" s="538"/>
    </row>
    <row r="583" spans="24:24" ht="20.100000000000001" customHeight="1">
      <c r="X583" s="538"/>
    </row>
    <row r="584" spans="24:24" ht="20.100000000000001" customHeight="1">
      <c r="X584" s="538"/>
    </row>
    <row r="585" spans="24:24" ht="20.100000000000001" customHeight="1">
      <c r="X585" s="538"/>
    </row>
    <row r="586" spans="24:24" ht="20.100000000000001" customHeight="1">
      <c r="X586" s="538"/>
    </row>
    <row r="587" spans="24:24" ht="20.100000000000001" customHeight="1">
      <c r="X587" s="538"/>
    </row>
    <row r="588" spans="24:24" ht="20.100000000000001" customHeight="1">
      <c r="X588" s="538"/>
    </row>
    <row r="589" spans="24:24" ht="20.100000000000001" customHeight="1">
      <c r="X589" s="538"/>
    </row>
    <row r="590" spans="24:24" ht="20.100000000000001" customHeight="1">
      <c r="X590" s="538"/>
    </row>
    <row r="591" spans="24:24" ht="20.100000000000001" customHeight="1">
      <c r="X591" s="538"/>
    </row>
    <row r="592" spans="24:24" ht="20.100000000000001" customHeight="1">
      <c r="X592" s="538"/>
    </row>
    <row r="593" spans="24:24" ht="20.100000000000001" customHeight="1">
      <c r="X593" s="538"/>
    </row>
    <row r="594" spans="24:24" ht="20.100000000000001" customHeight="1">
      <c r="X594" s="538"/>
    </row>
    <row r="595" spans="24:24" ht="20.100000000000001" customHeight="1">
      <c r="X595" s="538"/>
    </row>
    <row r="596" spans="24:24" ht="20.100000000000001" customHeight="1">
      <c r="X596" s="538"/>
    </row>
    <row r="597" spans="24:24" ht="20.100000000000001" customHeight="1">
      <c r="X597" s="538"/>
    </row>
    <row r="598" spans="24:24" ht="20.100000000000001" customHeight="1">
      <c r="X598" s="538"/>
    </row>
    <row r="599" spans="24:24" ht="20.100000000000001" customHeight="1">
      <c r="X599" s="538"/>
    </row>
    <row r="600" spans="24:24" ht="20.100000000000001" customHeight="1">
      <c r="X600" s="538"/>
    </row>
    <row r="601" spans="24:24" ht="20.100000000000001" customHeight="1">
      <c r="X601" s="538"/>
    </row>
    <row r="602" spans="24:24" ht="20.100000000000001" customHeight="1">
      <c r="X602" s="538"/>
    </row>
    <row r="603" spans="24:24" ht="20.100000000000001" customHeight="1">
      <c r="X603" s="538"/>
    </row>
    <row r="604" spans="24:24" ht="20.100000000000001" customHeight="1">
      <c r="X604" s="538"/>
    </row>
    <row r="605" spans="24:24" ht="20.100000000000001" customHeight="1">
      <c r="X605" s="538"/>
    </row>
    <row r="606" spans="24:24" ht="20.100000000000001" customHeight="1">
      <c r="X606" s="538"/>
    </row>
    <row r="607" spans="24:24" ht="20.100000000000001" customHeight="1">
      <c r="X607" s="538"/>
    </row>
    <row r="608" spans="24:24" ht="20.100000000000001" customHeight="1">
      <c r="X608" s="538"/>
    </row>
    <row r="609" spans="24:24" ht="20.100000000000001" customHeight="1">
      <c r="X609" s="538"/>
    </row>
    <row r="610" spans="24:24" ht="20.100000000000001" customHeight="1">
      <c r="X610" s="538"/>
    </row>
    <row r="611" spans="24:24" ht="20.100000000000001" customHeight="1">
      <c r="X611" s="538"/>
    </row>
    <row r="612" spans="24:24" ht="20.100000000000001" customHeight="1">
      <c r="X612" s="538"/>
    </row>
    <row r="613" spans="24:24" ht="20.100000000000001" customHeight="1">
      <c r="X613" s="538"/>
    </row>
    <row r="614" spans="24:24" ht="20.100000000000001" customHeight="1">
      <c r="X614" s="538"/>
    </row>
    <row r="615" spans="24:24" ht="20.100000000000001" customHeight="1">
      <c r="X615" s="538"/>
    </row>
    <row r="616" spans="24:24" ht="20.100000000000001" customHeight="1">
      <c r="X616" s="538"/>
    </row>
    <row r="617" spans="24:24" ht="20.100000000000001" customHeight="1">
      <c r="X617" s="538"/>
    </row>
    <row r="618" spans="24:24" ht="20.100000000000001" customHeight="1">
      <c r="X618" s="538"/>
    </row>
    <row r="619" spans="24:24" ht="20.100000000000001" customHeight="1">
      <c r="X619" s="538"/>
    </row>
    <row r="620" spans="24:24" ht="20.100000000000001" customHeight="1">
      <c r="X620" s="538"/>
    </row>
    <row r="621" spans="24:24" ht="20.100000000000001" customHeight="1">
      <c r="X621" s="538"/>
    </row>
    <row r="622" spans="24:24" ht="20.100000000000001" customHeight="1">
      <c r="X622" s="538"/>
    </row>
    <row r="623" spans="24:24" ht="20.100000000000001" customHeight="1">
      <c r="X623" s="538"/>
    </row>
    <row r="624" spans="24:24" ht="20.100000000000001" customHeight="1">
      <c r="X624" s="538"/>
    </row>
    <row r="625" spans="24:24" ht="20.100000000000001" customHeight="1">
      <c r="X625" s="538"/>
    </row>
    <row r="626" spans="24:24" ht="20.100000000000001" customHeight="1">
      <c r="X626" s="538"/>
    </row>
    <row r="627" spans="24:24" ht="20.100000000000001" customHeight="1">
      <c r="X627" s="538"/>
    </row>
    <row r="628" spans="24:24" ht="20.100000000000001" customHeight="1">
      <c r="X628" s="538"/>
    </row>
    <row r="629" spans="24:24" ht="20.100000000000001" customHeight="1">
      <c r="X629" s="538"/>
    </row>
    <row r="630" spans="24:24" ht="20.100000000000001" customHeight="1">
      <c r="X630" s="538"/>
    </row>
    <row r="631" spans="24:24" ht="20.100000000000001" customHeight="1">
      <c r="X631" s="538"/>
    </row>
    <row r="632" spans="24:24" ht="20.100000000000001" customHeight="1">
      <c r="X632" s="538"/>
    </row>
    <row r="633" spans="24:24" ht="20.100000000000001" customHeight="1">
      <c r="X633" s="538"/>
    </row>
    <row r="634" spans="24:24" ht="20.100000000000001" customHeight="1">
      <c r="X634" s="538"/>
    </row>
    <row r="635" spans="24:24" ht="20.100000000000001" customHeight="1">
      <c r="X635" s="538"/>
    </row>
    <row r="636" spans="24:24" ht="20.100000000000001" customHeight="1">
      <c r="X636" s="538"/>
    </row>
    <row r="637" spans="24:24" ht="20.100000000000001" customHeight="1">
      <c r="X637" s="538"/>
    </row>
    <row r="638" spans="24:24" ht="20.100000000000001" customHeight="1">
      <c r="X638" s="538"/>
    </row>
    <row r="639" spans="24:24" ht="20.100000000000001" customHeight="1">
      <c r="X639" s="538"/>
    </row>
    <row r="640" spans="24:24" ht="20.100000000000001" customHeight="1">
      <c r="X640" s="538"/>
    </row>
    <row r="641" spans="24:24" ht="20.100000000000001" customHeight="1">
      <c r="X641" s="538"/>
    </row>
    <row r="642" spans="24:24" ht="20.100000000000001" customHeight="1">
      <c r="X642" s="538"/>
    </row>
    <row r="643" spans="24:24" ht="20.100000000000001" customHeight="1">
      <c r="X643" s="538"/>
    </row>
    <row r="644" spans="24:24" ht="20.100000000000001" customHeight="1">
      <c r="X644" s="538"/>
    </row>
    <row r="645" spans="24:24" ht="20.100000000000001" customHeight="1">
      <c r="X645" s="538"/>
    </row>
    <row r="646" spans="24:24" ht="20.100000000000001" customHeight="1">
      <c r="X646" s="538"/>
    </row>
    <row r="647" spans="24:24" ht="20.100000000000001" customHeight="1">
      <c r="X647" s="538"/>
    </row>
    <row r="648" spans="24:24" ht="20.100000000000001" customHeight="1">
      <c r="X648" s="538"/>
    </row>
    <row r="649" spans="24:24" ht="20.100000000000001" customHeight="1">
      <c r="X649" s="538"/>
    </row>
    <row r="650" spans="24:24" ht="20.100000000000001" customHeight="1">
      <c r="X650" s="538"/>
    </row>
    <row r="651" spans="24:24" ht="20.100000000000001" customHeight="1">
      <c r="X651" s="538"/>
    </row>
    <row r="652" spans="24:24" ht="20.100000000000001" customHeight="1">
      <c r="X652" s="538"/>
    </row>
    <row r="653" spans="24:24" ht="20.100000000000001" customHeight="1">
      <c r="X653" s="538"/>
    </row>
    <row r="654" spans="24:24" ht="20.100000000000001" customHeight="1">
      <c r="X654" s="538"/>
    </row>
    <row r="655" spans="24:24" ht="20.100000000000001" customHeight="1">
      <c r="X655" s="538"/>
    </row>
    <row r="656" spans="24:24"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spans="37:37" ht="20.100000000000001" customHeight="1"/>
    <row r="706" spans="37:37" ht="20.100000000000001" customHeight="1"/>
    <row r="707" spans="37:37" ht="20.100000000000001" customHeight="1"/>
    <row r="708" spans="37:37" ht="20.100000000000001" customHeight="1"/>
    <row r="709" spans="37:37" ht="20.100000000000001" customHeight="1"/>
    <row r="710" spans="37:37" ht="20.100000000000001" customHeight="1"/>
    <row r="711" spans="37:37" ht="20.100000000000001" customHeight="1"/>
    <row r="712" spans="37:37" ht="20.100000000000001" customHeight="1"/>
    <row r="713" spans="37:37" ht="20.100000000000001" customHeight="1"/>
    <row r="714" spans="37:37" ht="20.100000000000001" customHeight="1"/>
    <row r="715" spans="37:37" ht="20.100000000000001" customHeight="1"/>
    <row r="716" spans="37:37" ht="20.100000000000001" customHeight="1"/>
    <row r="717" spans="37:37" ht="20.100000000000001" customHeight="1"/>
    <row r="718" spans="37:37" ht="20.100000000000001" customHeight="1"/>
    <row r="719" spans="37:37" ht="20.100000000000001" customHeight="1">
      <c r="AK719" t="e">
        <f>IF(Settings!Z728="",NA(),1)</f>
        <v>#N/A</v>
      </c>
    </row>
    <row r="720" spans="37:37" ht="20.100000000000001" customHeight="1">
      <c r="AK720" t="e">
        <f>IF(Settings!Z729="",NA(),1)</f>
        <v>#N/A</v>
      </c>
    </row>
    <row r="721" spans="37:37" ht="20.100000000000001" customHeight="1">
      <c r="AK721" t="e">
        <f>IF(Settings!Z730="",NA(),1)</f>
        <v>#N/A</v>
      </c>
    </row>
    <row r="722" spans="37:37" ht="20.100000000000001" customHeight="1">
      <c r="AK722" t="e">
        <f>IF(Settings!Z731="",NA(),1)</f>
        <v>#N/A</v>
      </c>
    </row>
    <row r="723" spans="37:37" ht="20.100000000000001" customHeight="1">
      <c r="AK723" t="e">
        <f>IF(Settings!Z732="",NA(),1)</f>
        <v>#N/A</v>
      </c>
    </row>
    <row r="724" spans="37:37" ht="20.100000000000001" customHeight="1">
      <c r="AK724" t="e">
        <f>IF(Settings!Z733="",NA(),1)</f>
        <v>#N/A</v>
      </c>
    </row>
    <row r="725" spans="37:37" ht="20.100000000000001" customHeight="1">
      <c r="AK725" t="e">
        <f>IF(Settings!Z734="",NA(),1)</f>
        <v>#N/A</v>
      </c>
    </row>
    <row r="726" spans="37:37" ht="20.100000000000001" customHeight="1">
      <c r="AK726" t="e">
        <f>IF(Settings!Z735="",NA(),1)</f>
        <v>#N/A</v>
      </c>
    </row>
    <row r="727" spans="37:37" ht="20.100000000000001" customHeight="1">
      <c r="AK727" t="e">
        <f>IF(Settings!Z736="",NA(),1)</f>
        <v>#N/A</v>
      </c>
    </row>
    <row r="728" spans="37:37" ht="20.100000000000001" customHeight="1">
      <c r="AK728" t="e">
        <f>IF(Settings!Z737="",NA(),1)</f>
        <v>#N/A</v>
      </c>
    </row>
    <row r="729" spans="37:37" ht="20.100000000000001" customHeight="1">
      <c r="AK729" t="e">
        <f>IF(Settings!Z738="",NA(),1)</f>
        <v>#N/A</v>
      </c>
    </row>
    <row r="730" spans="37:37" ht="20.100000000000001" customHeight="1">
      <c r="AK730" t="e">
        <f>IF(Settings!Z739="",NA(),1)</f>
        <v>#N/A</v>
      </c>
    </row>
    <row r="731" spans="37:37" ht="20.100000000000001" customHeight="1">
      <c r="AK731" t="e">
        <f>IF(Settings!Z740="",NA(),1)</f>
        <v>#N/A</v>
      </c>
    </row>
    <row r="732" spans="37:37" ht="20.100000000000001" customHeight="1">
      <c r="AK732" t="e">
        <f>IF(Settings!Z741="",NA(),1)</f>
        <v>#N/A</v>
      </c>
    </row>
    <row r="733" spans="37:37" ht="20.100000000000001" customHeight="1">
      <c r="AK733" t="e">
        <f>IF(Settings!Z742="",NA(),1)</f>
        <v>#N/A</v>
      </c>
    </row>
    <row r="734" spans="37:37" ht="20.100000000000001" customHeight="1">
      <c r="AK734" t="e">
        <f>IF(Settings!Z743="",NA(),1)</f>
        <v>#N/A</v>
      </c>
    </row>
    <row r="735" spans="37:37" ht="20.100000000000001" customHeight="1">
      <c r="AK735" t="e">
        <f>IF(Settings!Z744="",NA(),1)</f>
        <v>#N/A</v>
      </c>
    </row>
    <row r="736" spans="37:37" ht="20.100000000000001" customHeight="1">
      <c r="AK736" t="e">
        <f>IF(Settings!Z745="",NA(),1)</f>
        <v>#N/A</v>
      </c>
    </row>
    <row r="737" spans="37:37" ht="20.100000000000001" customHeight="1">
      <c r="AK737" t="e">
        <f>IF(Settings!Z746="",NA(),1)</f>
        <v>#N/A</v>
      </c>
    </row>
    <row r="738" spans="37:37" ht="20.100000000000001" customHeight="1">
      <c r="AK738" t="e">
        <f>IF(Settings!Z747="",NA(),1)</f>
        <v>#N/A</v>
      </c>
    </row>
    <row r="739" spans="37:37" ht="20.100000000000001" customHeight="1">
      <c r="AK739" t="e">
        <f>IF(Settings!Z748="",NA(),1)</f>
        <v>#N/A</v>
      </c>
    </row>
    <row r="740" spans="37:37" ht="20.100000000000001" customHeight="1">
      <c r="AK740" t="e">
        <f>IF(Settings!Z749="",NA(),1)</f>
        <v>#N/A</v>
      </c>
    </row>
    <row r="741" spans="37:37" ht="20.100000000000001" customHeight="1">
      <c r="AK741" t="e">
        <f>IF(Settings!Z750="",NA(),1)</f>
        <v>#N/A</v>
      </c>
    </row>
    <row r="742" spans="37:37" ht="20.100000000000001" customHeight="1">
      <c r="AK742" t="e">
        <f>IF(Settings!Z751="",NA(),1)</f>
        <v>#N/A</v>
      </c>
    </row>
    <row r="743" spans="37:37" ht="20.100000000000001" customHeight="1">
      <c r="AK743" t="e">
        <f>IF(Settings!Z752="",NA(),1)</f>
        <v>#N/A</v>
      </c>
    </row>
    <row r="744" spans="37:37" ht="20.100000000000001" customHeight="1">
      <c r="AK744" t="e">
        <f>IF(Settings!Z753="",NA(),1)</f>
        <v>#N/A</v>
      </c>
    </row>
    <row r="745" spans="37:37" ht="20.100000000000001" customHeight="1">
      <c r="AK745" t="e">
        <f>IF(Settings!Z754="",NA(),1)</f>
        <v>#N/A</v>
      </c>
    </row>
    <row r="746" spans="37:37" ht="20.100000000000001" customHeight="1">
      <c r="AK746" t="e">
        <f>IF(Settings!Z755="",NA(),1)</f>
        <v>#N/A</v>
      </c>
    </row>
    <row r="747" spans="37:37" ht="20.100000000000001" customHeight="1">
      <c r="AK747" t="e">
        <f>IF(Settings!Z756="",NA(),1)</f>
        <v>#N/A</v>
      </c>
    </row>
    <row r="748" spans="37:37" ht="20.100000000000001" customHeight="1">
      <c r="AK748" t="e">
        <f>IF(Settings!Z757="",NA(),1)</f>
        <v>#N/A</v>
      </c>
    </row>
    <row r="749" spans="37:37" ht="20.100000000000001" customHeight="1">
      <c r="AK749" t="e">
        <f>IF(Settings!Z758="",NA(),1)</f>
        <v>#N/A</v>
      </c>
    </row>
    <row r="750" spans="37:37" ht="20.100000000000001" customHeight="1">
      <c r="AK750" t="e">
        <f>IF(Settings!Z759="",NA(),1)</f>
        <v>#N/A</v>
      </c>
    </row>
    <row r="751" spans="37:37" ht="20.100000000000001" customHeight="1">
      <c r="AK751" t="e">
        <f>IF(Settings!Z760="",NA(),1)</f>
        <v>#N/A</v>
      </c>
    </row>
    <row r="752" spans="37:37" ht="20.100000000000001" customHeight="1">
      <c r="AK752" t="e">
        <f>IF(Settings!Z761="",NA(),1)</f>
        <v>#N/A</v>
      </c>
    </row>
    <row r="753" spans="37:37" ht="20.100000000000001" customHeight="1">
      <c r="AK753" t="e">
        <f>IF(Settings!Z762="",NA(),1)</f>
        <v>#N/A</v>
      </c>
    </row>
    <row r="754" spans="37:37" ht="20.100000000000001" customHeight="1">
      <c r="AK754" t="e">
        <f>IF(Settings!Z763="",NA(),1)</f>
        <v>#N/A</v>
      </c>
    </row>
    <row r="755" spans="37:37" ht="20.100000000000001" customHeight="1">
      <c r="AK755" t="e">
        <f>IF(Settings!Z764="",NA(),1)</f>
        <v>#N/A</v>
      </c>
    </row>
    <row r="756" spans="37:37" ht="20.100000000000001" customHeight="1">
      <c r="AK756" t="e">
        <f>IF(Settings!Z765="",NA(),1)</f>
        <v>#N/A</v>
      </c>
    </row>
    <row r="757" spans="37:37" ht="20.100000000000001" customHeight="1">
      <c r="AK757" t="e">
        <f>IF(Settings!Z766="",NA(),1)</f>
        <v>#N/A</v>
      </c>
    </row>
    <row r="758" spans="37:37" ht="20.100000000000001" customHeight="1">
      <c r="AK758" t="e">
        <f>IF(Settings!Z767="",NA(),1)</f>
        <v>#N/A</v>
      </c>
    </row>
    <row r="759" spans="37:37" ht="20.100000000000001" customHeight="1">
      <c r="AK759" t="e">
        <f>IF(Settings!Z768="",NA(),1)</f>
        <v>#N/A</v>
      </c>
    </row>
    <row r="760" spans="37:37" ht="20.100000000000001" customHeight="1">
      <c r="AK760" t="e">
        <f>IF(Settings!Z769="",NA(),1)</f>
        <v>#N/A</v>
      </c>
    </row>
    <row r="761" spans="37:37" ht="20.100000000000001" customHeight="1">
      <c r="AK761" t="e">
        <f>IF(Settings!Z770="",NA(),1)</f>
        <v>#N/A</v>
      </c>
    </row>
    <row r="762" spans="37:37" ht="20.100000000000001" customHeight="1">
      <c r="AK762" t="e">
        <f>IF(Settings!Z771="",NA(),1)</f>
        <v>#N/A</v>
      </c>
    </row>
    <row r="763" spans="37:37" ht="20.100000000000001" customHeight="1">
      <c r="AK763" t="e">
        <f>IF(Settings!Z772="",NA(),1)</f>
        <v>#N/A</v>
      </c>
    </row>
    <row r="764" spans="37:37" ht="20.100000000000001" customHeight="1">
      <c r="AK764" t="e">
        <f>IF(Settings!Z773="",NA(),1)</f>
        <v>#N/A</v>
      </c>
    </row>
    <row r="765" spans="37:37" ht="20.100000000000001" customHeight="1">
      <c r="AK765" t="e">
        <f>IF(Settings!Z774="",NA(),1)</f>
        <v>#N/A</v>
      </c>
    </row>
    <row r="766" spans="37:37" ht="20.100000000000001" customHeight="1">
      <c r="AK766" t="e">
        <f>IF(Settings!Z775="",NA(),1)</f>
        <v>#N/A</v>
      </c>
    </row>
    <row r="767" spans="37:37" ht="20.100000000000001" customHeight="1">
      <c r="AK767" t="e">
        <f>IF(Settings!Z776="",NA(),1)</f>
        <v>#N/A</v>
      </c>
    </row>
    <row r="768" spans="37:37" ht="20.100000000000001" customHeight="1">
      <c r="AK768" t="e">
        <f>IF(Settings!Z777="",NA(),1)</f>
        <v>#N/A</v>
      </c>
    </row>
    <row r="769" spans="37:37" ht="20.100000000000001" customHeight="1">
      <c r="AK769" t="e">
        <f>IF(Settings!Z778="",NA(),1)</f>
        <v>#N/A</v>
      </c>
    </row>
    <row r="770" spans="37:37" ht="20.100000000000001" customHeight="1">
      <c r="AK770" t="e">
        <f>IF(Settings!Z779="",NA(),1)</f>
        <v>#N/A</v>
      </c>
    </row>
    <row r="771" spans="37:37" ht="20.100000000000001" customHeight="1">
      <c r="AK771" t="e">
        <f>IF(Settings!Z780="",NA(),1)</f>
        <v>#N/A</v>
      </c>
    </row>
    <row r="772" spans="37:37" ht="20.100000000000001" customHeight="1">
      <c r="AK772" t="e">
        <f>IF(Settings!Z781="",NA(),1)</f>
        <v>#N/A</v>
      </c>
    </row>
    <row r="773" spans="37:37" ht="20.100000000000001" customHeight="1">
      <c r="AK773" t="e">
        <f>IF(Settings!Z782="",NA(),1)</f>
        <v>#N/A</v>
      </c>
    </row>
    <row r="774" spans="37:37" ht="20.100000000000001" customHeight="1">
      <c r="AK774" t="e">
        <f>IF(Settings!Z783="",NA(),1)</f>
        <v>#N/A</v>
      </c>
    </row>
    <row r="775" spans="37:37" ht="20.100000000000001" customHeight="1">
      <c r="AK775" t="e">
        <f>IF(Settings!Z784="",NA(),1)</f>
        <v>#N/A</v>
      </c>
    </row>
    <row r="776" spans="37:37" ht="20.100000000000001" customHeight="1">
      <c r="AK776" t="e">
        <f>IF(Settings!Z785="",NA(),1)</f>
        <v>#N/A</v>
      </c>
    </row>
    <row r="777" spans="37:37" ht="20.100000000000001" customHeight="1">
      <c r="AK777" t="e">
        <f>IF(Settings!Z786="",NA(),1)</f>
        <v>#N/A</v>
      </c>
    </row>
    <row r="778" spans="37:37" ht="20.100000000000001" customHeight="1">
      <c r="AK778" t="e">
        <f>IF(Settings!Z787="",NA(),1)</f>
        <v>#N/A</v>
      </c>
    </row>
    <row r="779" spans="37:37" ht="20.100000000000001" customHeight="1">
      <c r="AK779" t="e">
        <f>IF(Settings!Z788="",NA(),1)</f>
        <v>#N/A</v>
      </c>
    </row>
    <row r="780" spans="37:37" ht="20.100000000000001" customHeight="1">
      <c r="AK780" t="e">
        <f>IF(Settings!Z789="",NA(),1)</f>
        <v>#N/A</v>
      </c>
    </row>
    <row r="781" spans="37:37" ht="20.100000000000001" customHeight="1">
      <c r="AK781" t="e">
        <f>IF(Settings!Z790="",NA(),1)</f>
        <v>#N/A</v>
      </c>
    </row>
    <row r="782" spans="37:37" ht="20.100000000000001" customHeight="1">
      <c r="AK782" t="e">
        <f>IF(Settings!Z791="",NA(),1)</f>
        <v>#N/A</v>
      </c>
    </row>
    <row r="783" spans="37:37" ht="20.100000000000001" customHeight="1">
      <c r="AK783" t="e">
        <f>IF(Settings!Z792="",NA(),1)</f>
        <v>#N/A</v>
      </c>
    </row>
    <row r="784" spans="37:37" ht="20.100000000000001" customHeight="1">
      <c r="AK784" t="e">
        <f>IF(Settings!Z793="",NA(),1)</f>
        <v>#N/A</v>
      </c>
    </row>
    <row r="785" spans="37:37" ht="20.100000000000001" customHeight="1">
      <c r="AK785" t="e">
        <f>IF(Settings!Z794="",NA(),1)</f>
        <v>#N/A</v>
      </c>
    </row>
    <row r="786" spans="37:37" ht="20.100000000000001" customHeight="1">
      <c r="AK786" t="e">
        <f>IF(Settings!Z795="",NA(),1)</f>
        <v>#N/A</v>
      </c>
    </row>
    <row r="787" spans="37:37" ht="20.100000000000001" customHeight="1">
      <c r="AK787" t="e">
        <f>IF(Settings!Z796="",NA(),1)</f>
        <v>#N/A</v>
      </c>
    </row>
    <row r="788" spans="37:37" ht="20.100000000000001" customHeight="1">
      <c r="AK788" t="e">
        <f>IF(Settings!Z797="",NA(),1)</f>
        <v>#N/A</v>
      </c>
    </row>
    <row r="789" spans="37:37" ht="20.100000000000001" customHeight="1">
      <c r="AK789" t="e">
        <f>IF(Settings!Z798="",NA(),1)</f>
        <v>#N/A</v>
      </c>
    </row>
    <row r="790" spans="37:37" ht="20.100000000000001" customHeight="1">
      <c r="AK790" t="e">
        <f>IF(Settings!Z799="",NA(),1)</f>
        <v>#N/A</v>
      </c>
    </row>
    <row r="791" spans="37:37" ht="20.100000000000001" customHeight="1">
      <c r="AK791" t="e">
        <f>IF(Settings!Z800="",NA(),1)</f>
        <v>#N/A</v>
      </c>
    </row>
    <row r="792" spans="37:37" ht="20.100000000000001" customHeight="1">
      <c r="AK792" t="e">
        <f>IF(Settings!Z801="",NA(),1)</f>
        <v>#N/A</v>
      </c>
    </row>
    <row r="793" spans="37:37" ht="20.100000000000001" customHeight="1">
      <c r="AK793" t="e">
        <f>IF(Settings!Z802="",NA(),1)</f>
        <v>#N/A</v>
      </c>
    </row>
    <row r="794" spans="37:37" ht="20.100000000000001" customHeight="1">
      <c r="AK794" t="e">
        <f>IF(Settings!Z803="",NA(),1)</f>
        <v>#N/A</v>
      </c>
    </row>
    <row r="795" spans="37:37" ht="20.100000000000001" customHeight="1">
      <c r="AK795" t="e">
        <f>IF(Settings!Z804="",NA(),1)</f>
        <v>#N/A</v>
      </c>
    </row>
    <row r="796" spans="37:37" ht="20.100000000000001" customHeight="1">
      <c r="AK796" t="e">
        <f>IF(Settings!Z805="",NA(),1)</f>
        <v>#N/A</v>
      </c>
    </row>
    <row r="797" spans="37:37" ht="20.100000000000001" customHeight="1">
      <c r="AK797" t="e">
        <f>IF(Settings!Z806="",NA(),1)</f>
        <v>#N/A</v>
      </c>
    </row>
    <row r="798" spans="37:37" ht="20.100000000000001" customHeight="1">
      <c r="AK798" t="e">
        <f>IF(Settings!Z807="",NA(),1)</f>
        <v>#N/A</v>
      </c>
    </row>
    <row r="799" spans="37:37" ht="20.100000000000001" customHeight="1">
      <c r="AK799" t="e">
        <f>IF(Settings!Z808="",NA(),1)</f>
        <v>#N/A</v>
      </c>
    </row>
    <row r="800" spans="37:37" ht="20.100000000000001" customHeight="1">
      <c r="AK800" t="e">
        <f>IF(Settings!Z809="",NA(),1)</f>
        <v>#N/A</v>
      </c>
    </row>
    <row r="801" spans="37:37" ht="20.100000000000001" customHeight="1">
      <c r="AK801" t="e">
        <f>IF(Settings!Z810="",NA(),1)</f>
        <v>#N/A</v>
      </c>
    </row>
    <row r="802" spans="37:37" ht="20.100000000000001" customHeight="1">
      <c r="AK802" t="e">
        <f>IF(Settings!Z811="",NA(),1)</f>
        <v>#N/A</v>
      </c>
    </row>
    <row r="803" spans="37:37" ht="20.100000000000001" customHeight="1">
      <c r="AK803" t="e">
        <f>IF(Settings!Z812="",NA(),1)</f>
        <v>#N/A</v>
      </c>
    </row>
    <row r="804" spans="37:37" ht="20.100000000000001" customHeight="1">
      <c r="AK804" t="e">
        <f>IF(Settings!Z813="",NA(),1)</f>
        <v>#N/A</v>
      </c>
    </row>
    <row r="805" spans="37:37" ht="20.100000000000001" customHeight="1">
      <c r="AK805" t="e">
        <f>IF(Settings!Z814="",NA(),1)</f>
        <v>#N/A</v>
      </c>
    </row>
    <row r="806" spans="37:37" ht="20.100000000000001" customHeight="1">
      <c r="AK806" t="e">
        <f>IF(Settings!Z815="",NA(),1)</f>
        <v>#N/A</v>
      </c>
    </row>
    <row r="807" spans="37:37" ht="20.100000000000001" customHeight="1">
      <c r="AK807" t="e">
        <f>IF(Settings!Z816="",NA(),1)</f>
        <v>#N/A</v>
      </c>
    </row>
    <row r="808" spans="37:37" ht="20.100000000000001" customHeight="1">
      <c r="AK808" t="e">
        <f>IF(Settings!Z817="",NA(),1)</f>
        <v>#N/A</v>
      </c>
    </row>
    <row r="809" spans="37:37" ht="20.100000000000001" customHeight="1">
      <c r="AK809" t="e">
        <f>IF(Settings!Z818="",NA(),1)</f>
        <v>#N/A</v>
      </c>
    </row>
    <row r="810" spans="37:37" ht="20.100000000000001" customHeight="1">
      <c r="AK810" t="e">
        <f>IF(Settings!Z819="",NA(),1)</f>
        <v>#N/A</v>
      </c>
    </row>
    <row r="811" spans="37:37" ht="20.100000000000001" customHeight="1">
      <c r="AK811" t="e">
        <f>IF(Settings!Z820="",NA(),1)</f>
        <v>#N/A</v>
      </c>
    </row>
    <row r="812" spans="37:37" ht="20.100000000000001" customHeight="1">
      <c r="AK812" t="e">
        <f>IF(Settings!Z821="",NA(),1)</f>
        <v>#N/A</v>
      </c>
    </row>
    <row r="813" spans="37:37" ht="20.100000000000001" customHeight="1">
      <c r="AK813" t="e">
        <f>IF(Settings!Z822="",NA(),1)</f>
        <v>#N/A</v>
      </c>
    </row>
    <row r="814" spans="37:37" ht="20.100000000000001" customHeight="1">
      <c r="AK814" t="e">
        <f>IF(Settings!Z823="",NA(),1)</f>
        <v>#N/A</v>
      </c>
    </row>
    <row r="815" spans="37:37" ht="20.100000000000001" customHeight="1">
      <c r="AK815" t="e">
        <f>IF(Settings!Z824="",NA(),1)</f>
        <v>#N/A</v>
      </c>
    </row>
    <row r="816" spans="37:37" ht="20.100000000000001" customHeight="1">
      <c r="AK816" t="e">
        <f>IF(Settings!Z825="",NA(),1)</f>
        <v>#N/A</v>
      </c>
    </row>
    <row r="817" spans="37:37" ht="20.100000000000001" customHeight="1">
      <c r="AK817" t="e">
        <f>IF(Settings!Z826="",NA(),1)</f>
        <v>#N/A</v>
      </c>
    </row>
    <row r="818" spans="37:37" ht="20.100000000000001" customHeight="1">
      <c r="AK818" t="e">
        <f>IF(Settings!Z827="",NA(),1)</f>
        <v>#N/A</v>
      </c>
    </row>
    <row r="819" spans="37:37" ht="20.100000000000001" customHeight="1">
      <c r="AK819" t="e">
        <f>IF(Settings!Z828="",NA(),1)</f>
        <v>#N/A</v>
      </c>
    </row>
    <row r="820" spans="37:37" ht="20.100000000000001" customHeight="1">
      <c r="AK820" t="e">
        <f>IF(Settings!Z829="",NA(),1)</f>
        <v>#N/A</v>
      </c>
    </row>
    <row r="821" spans="37:37" ht="20.100000000000001" customHeight="1">
      <c r="AK821" t="e">
        <f>IF(Settings!Z830="",NA(),1)</f>
        <v>#N/A</v>
      </c>
    </row>
    <row r="822" spans="37:37" ht="20.100000000000001" customHeight="1">
      <c r="AK822" t="e">
        <f>IF(Settings!Z831="",NA(),1)</f>
        <v>#N/A</v>
      </c>
    </row>
    <row r="823" spans="37:37" ht="20.100000000000001" customHeight="1">
      <c r="AK823" t="e">
        <f>IF(Settings!Z832="",NA(),1)</f>
        <v>#N/A</v>
      </c>
    </row>
    <row r="824" spans="37:37" ht="20.100000000000001" customHeight="1">
      <c r="AK824" t="e">
        <f>IF(Settings!Z833="",NA(),1)</f>
        <v>#N/A</v>
      </c>
    </row>
    <row r="825" spans="37:37" ht="20.100000000000001" customHeight="1">
      <c r="AK825" t="e">
        <f>IF(Settings!Z834="",NA(),1)</f>
        <v>#N/A</v>
      </c>
    </row>
    <row r="826" spans="37:37" ht="20.100000000000001" customHeight="1">
      <c r="AK826" t="e">
        <f>IF(Settings!Z835="",NA(),1)</f>
        <v>#N/A</v>
      </c>
    </row>
    <row r="827" spans="37:37" ht="20.100000000000001" customHeight="1">
      <c r="AK827" t="e">
        <f>IF(Settings!Z836="",NA(),1)</f>
        <v>#N/A</v>
      </c>
    </row>
    <row r="828" spans="37:37" ht="20.100000000000001" customHeight="1">
      <c r="AK828" t="e">
        <f>IF(Settings!Z837="",NA(),1)</f>
        <v>#N/A</v>
      </c>
    </row>
    <row r="829" spans="37:37" ht="20.100000000000001" customHeight="1">
      <c r="AK829" t="e">
        <f>IF(Settings!Z838="",NA(),1)</f>
        <v>#N/A</v>
      </c>
    </row>
    <row r="830" spans="37:37" ht="20.100000000000001" customHeight="1">
      <c r="AK830" t="e">
        <f>IF(Settings!Z839="",NA(),1)</f>
        <v>#N/A</v>
      </c>
    </row>
    <row r="831" spans="37:37" ht="20.100000000000001" customHeight="1">
      <c r="AK831" t="e">
        <f>IF(Settings!Z840="",NA(),1)</f>
        <v>#N/A</v>
      </c>
    </row>
    <row r="832" spans="37:37" ht="20.100000000000001" customHeight="1">
      <c r="AK832" t="e">
        <f>IF(Settings!Z841="",NA(),1)</f>
        <v>#N/A</v>
      </c>
    </row>
    <row r="833" spans="37:37" ht="20.100000000000001" customHeight="1">
      <c r="AK833" t="e">
        <f>IF(Settings!Z842="",NA(),1)</f>
        <v>#N/A</v>
      </c>
    </row>
    <row r="834" spans="37:37" ht="20.100000000000001" customHeight="1">
      <c r="AK834" t="e">
        <f>IF(Settings!Z843="",NA(),1)</f>
        <v>#N/A</v>
      </c>
    </row>
    <row r="835" spans="37:37" ht="20.100000000000001" customHeight="1">
      <c r="AK835" t="e">
        <f>IF(Settings!Z844="",NA(),1)</f>
        <v>#N/A</v>
      </c>
    </row>
    <row r="836" spans="37:37" ht="20.100000000000001" customHeight="1">
      <c r="AK836" t="e">
        <f>IF(Settings!Z845="",NA(),1)</f>
        <v>#N/A</v>
      </c>
    </row>
    <row r="837" spans="37:37" ht="20.100000000000001" customHeight="1">
      <c r="AK837" t="e">
        <f>IF(Settings!Z846="",NA(),1)</f>
        <v>#N/A</v>
      </c>
    </row>
    <row r="838" spans="37:37" ht="20.100000000000001" customHeight="1">
      <c r="AK838" t="e">
        <f>IF(Settings!Z847="",NA(),1)</f>
        <v>#N/A</v>
      </c>
    </row>
    <row r="839" spans="37:37" ht="20.100000000000001" customHeight="1">
      <c r="AK839" t="e">
        <f>IF(Settings!Z848="",NA(),1)</f>
        <v>#N/A</v>
      </c>
    </row>
    <row r="840" spans="37:37" ht="20.100000000000001" customHeight="1">
      <c r="AK840" t="e">
        <f>IF(Settings!Z849="",NA(),1)</f>
        <v>#N/A</v>
      </c>
    </row>
    <row r="841" spans="37:37" ht="20.100000000000001" customHeight="1">
      <c r="AK841" t="e">
        <f>IF(Settings!Z850="",NA(),1)</f>
        <v>#N/A</v>
      </c>
    </row>
    <row r="842" spans="37:37" ht="20.100000000000001" customHeight="1">
      <c r="AK842" t="e">
        <f>IF(Settings!Z851="",NA(),1)</f>
        <v>#N/A</v>
      </c>
    </row>
    <row r="843" spans="37:37" ht="20.100000000000001" customHeight="1">
      <c r="AK843" t="e">
        <f>IF(Settings!Z852="",NA(),1)</f>
        <v>#N/A</v>
      </c>
    </row>
    <row r="844" spans="37:37" ht="20.100000000000001" customHeight="1">
      <c r="AK844" t="e">
        <f>IF(Settings!Z853="",NA(),1)</f>
        <v>#N/A</v>
      </c>
    </row>
    <row r="845" spans="37:37" ht="20.100000000000001" customHeight="1">
      <c r="AK845" t="e">
        <f>IF(Settings!Z854="",NA(),1)</f>
        <v>#N/A</v>
      </c>
    </row>
    <row r="846" spans="37:37" ht="20.100000000000001" customHeight="1">
      <c r="AK846" t="e">
        <f>IF(Settings!Z855="",NA(),1)</f>
        <v>#N/A</v>
      </c>
    </row>
    <row r="847" spans="37:37" ht="20.100000000000001" customHeight="1">
      <c r="AK847" t="e">
        <f>IF(Settings!Z856="",NA(),1)</f>
        <v>#N/A</v>
      </c>
    </row>
    <row r="848" spans="37:37" ht="20.100000000000001" customHeight="1">
      <c r="AK848" t="e">
        <f>IF(Settings!Z857="",NA(),1)</f>
        <v>#N/A</v>
      </c>
    </row>
    <row r="849" spans="37:37" ht="20.100000000000001" customHeight="1">
      <c r="AK849" t="e">
        <f>IF(Settings!Z858="",NA(),1)</f>
        <v>#N/A</v>
      </c>
    </row>
    <row r="850" spans="37:37" ht="20.100000000000001" customHeight="1">
      <c r="AK850" t="e">
        <f>IF(Settings!Z859="",NA(),1)</f>
        <v>#N/A</v>
      </c>
    </row>
    <row r="851" spans="37:37" ht="20.100000000000001" customHeight="1">
      <c r="AK851" t="e">
        <f>IF(Settings!Z860="",NA(),1)</f>
        <v>#N/A</v>
      </c>
    </row>
    <row r="852" spans="37:37" ht="20.100000000000001" customHeight="1">
      <c r="AK852" t="e">
        <f>IF(Settings!Z861="",NA(),1)</f>
        <v>#N/A</v>
      </c>
    </row>
    <row r="853" spans="37:37" ht="20.100000000000001" customHeight="1">
      <c r="AK853" t="e">
        <f>IF(Settings!Z862="",NA(),1)</f>
        <v>#N/A</v>
      </c>
    </row>
    <row r="854" spans="37:37" ht="20.100000000000001" customHeight="1">
      <c r="AK854" t="e">
        <f>IF(Settings!Z863="",NA(),1)</f>
        <v>#N/A</v>
      </c>
    </row>
    <row r="855" spans="37:37" ht="20.100000000000001" customHeight="1">
      <c r="AK855" t="e">
        <f>IF(Settings!Z864="",NA(),1)</f>
        <v>#N/A</v>
      </c>
    </row>
    <row r="856" spans="37:37" ht="20.100000000000001" customHeight="1">
      <c r="AK856" t="e">
        <f>IF(Settings!Z865="",NA(),1)</f>
        <v>#N/A</v>
      </c>
    </row>
    <row r="857" spans="37:37" ht="20.100000000000001" customHeight="1">
      <c r="AK857" t="e">
        <f>IF(Settings!Z866="",NA(),1)</f>
        <v>#N/A</v>
      </c>
    </row>
    <row r="858" spans="37:37" ht="20.100000000000001" customHeight="1">
      <c r="AK858" t="e">
        <f>IF(Settings!Z867="",NA(),1)</f>
        <v>#N/A</v>
      </c>
    </row>
    <row r="859" spans="37:37" ht="20.100000000000001" customHeight="1">
      <c r="AK859" t="e">
        <f>IF(Settings!Z868="",NA(),1)</f>
        <v>#N/A</v>
      </c>
    </row>
    <row r="860" spans="37:37" ht="20.100000000000001" customHeight="1">
      <c r="AK860" t="e">
        <f>IF(Settings!Z869="",NA(),1)</f>
        <v>#N/A</v>
      </c>
    </row>
    <row r="861" spans="37:37" ht="20.100000000000001" customHeight="1">
      <c r="AK861" t="e">
        <f>IF(Settings!Z870="",NA(),1)</f>
        <v>#N/A</v>
      </c>
    </row>
    <row r="862" spans="37:37" ht="20.100000000000001" customHeight="1">
      <c r="AK862" t="e">
        <f>IF(Settings!Z871="",NA(),1)</f>
        <v>#N/A</v>
      </c>
    </row>
    <row r="863" spans="37:37" ht="20.100000000000001" customHeight="1">
      <c r="AK863" t="e">
        <f>IF(Settings!Z872="",NA(),1)</f>
        <v>#N/A</v>
      </c>
    </row>
    <row r="864" spans="37:37" ht="20.100000000000001" customHeight="1">
      <c r="AK864" t="e">
        <f>IF(Settings!Z873="",NA(),1)</f>
        <v>#N/A</v>
      </c>
    </row>
    <row r="865" spans="37:37" ht="20.100000000000001" customHeight="1">
      <c r="AK865" t="e">
        <f>IF(Settings!Z874="",NA(),1)</f>
        <v>#N/A</v>
      </c>
    </row>
    <row r="866" spans="37:37" ht="20.100000000000001" customHeight="1">
      <c r="AK866" t="e">
        <f>IF(Settings!Z875="",NA(),1)</f>
        <v>#N/A</v>
      </c>
    </row>
    <row r="867" spans="37:37" ht="20.100000000000001" customHeight="1">
      <c r="AK867" t="e">
        <f>IF(Settings!Z876="",NA(),1)</f>
        <v>#N/A</v>
      </c>
    </row>
    <row r="868" spans="37:37" ht="20.100000000000001" customHeight="1">
      <c r="AK868" t="e">
        <f>IF(Settings!Z877="",NA(),1)</f>
        <v>#N/A</v>
      </c>
    </row>
    <row r="869" spans="37:37" ht="20.100000000000001" customHeight="1">
      <c r="AK869" t="e">
        <f>IF(Settings!Z878="",NA(),1)</f>
        <v>#N/A</v>
      </c>
    </row>
    <row r="870" spans="37:37" ht="20.100000000000001" customHeight="1">
      <c r="AK870" t="e">
        <f>IF(Settings!Z879="",NA(),1)</f>
        <v>#N/A</v>
      </c>
    </row>
    <row r="871" spans="37:37" ht="20.100000000000001" customHeight="1">
      <c r="AK871" t="e">
        <f>IF(Settings!Z880="",NA(),1)</f>
        <v>#N/A</v>
      </c>
    </row>
    <row r="872" spans="37:37" ht="20.100000000000001" customHeight="1">
      <c r="AK872" t="e">
        <f>IF(Settings!Z881="",NA(),1)</f>
        <v>#N/A</v>
      </c>
    </row>
    <row r="873" spans="37:37" ht="20.100000000000001" customHeight="1">
      <c r="AK873" t="e">
        <f>IF(Settings!Z882="",NA(),1)</f>
        <v>#N/A</v>
      </c>
    </row>
    <row r="874" spans="37:37" ht="20.100000000000001" customHeight="1">
      <c r="AK874" t="e">
        <f>IF(Settings!Z883="",NA(),1)</f>
        <v>#N/A</v>
      </c>
    </row>
    <row r="875" spans="37:37" ht="20.100000000000001" customHeight="1">
      <c r="AK875" t="e">
        <f>IF(Settings!Z884="",NA(),1)</f>
        <v>#N/A</v>
      </c>
    </row>
    <row r="876" spans="37:37" ht="20.100000000000001" customHeight="1">
      <c r="AK876" t="e">
        <f>IF(Settings!Z885="",NA(),1)</f>
        <v>#N/A</v>
      </c>
    </row>
    <row r="877" spans="37:37" ht="20.100000000000001" customHeight="1">
      <c r="AK877" t="e">
        <f>IF(Settings!Z886="",NA(),1)</f>
        <v>#N/A</v>
      </c>
    </row>
    <row r="878" spans="37:37" ht="20.100000000000001" customHeight="1">
      <c r="AK878" t="e">
        <f>IF(Settings!Z887="",NA(),1)</f>
        <v>#N/A</v>
      </c>
    </row>
    <row r="879" spans="37:37" ht="20.100000000000001" customHeight="1">
      <c r="AK879" t="e">
        <f>IF(Settings!Z888="",NA(),1)</f>
        <v>#N/A</v>
      </c>
    </row>
    <row r="880" spans="37:37" ht="20.100000000000001" customHeight="1">
      <c r="AK880" t="e">
        <f>IF(Settings!Z889="",NA(),1)</f>
        <v>#N/A</v>
      </c>
    </row>
    <row r="881" spans="37:37" ht="20.100000000000001" customHeight="1">
      <c r="AK881" t="e">
        <f>IF(Settings!Z890="",NA(),1)</f>
        <v>#N/A</v>
      </c>
    </row>
    <row r="882" spans="37:37" ht="20.100000000000001" customHeight="1">
      <c r="AK882" t="e">
        <f>IF(Settings!Z891="",NA(),1)</f>
        <v>#N/A</v>
      </c>
    </row>
    <row r="883" spans="37:37" ht="20.100000000000001" customHeight="1">
      <c r="AK883" t="e">
        <f>IF(Settings!Z892="",NA(),1)</f>
        <v>#N/A</v>
      </c>
    </row>
    <row r="884" spans="37:37" ht="20.100000000000001" customHeight="1">
      <c r="AK884" t="e">
        <f>IF(Settings!Z893="",NA(),1)</f>
        <v>#N/A</v>
      </c>
    </row>
    <row r="885" spans="37:37" ht="20.100000000000001" customHeight="1">
      <c r="AK885" t="e">
        <f>IF(Settings!Z894="",NA(),1)</f>
        <v>#N/A</v>
      </c>
    </row>
    <row r="886" spans="37:37" ht="20.100000000000001" customHeight="1">
      <c r="AK886" t="e">
        <f>IF(Settings!Z895="",NA(),1)</f>
        <v>#N/A</v>
      </c>
    </row>
    <row r="887" spans="37:37" ht="20.100000000000001" customHeight="1">
      <c r="AK887" t="e">
        <f>IF(Settings!Z896="",NA(),1)</f>
        <v>#N/A</v>
      </c>
    </row>
    <row r="888" spans="37:37" ht="20.100000000000001" customHeight="1">
      <c r="AK888" t="e">
        <f>IF(Settings!Z897="",NA(),1)</f>
        <v>#N/A</v>
      </c>
    </row>
    <row r="889" spans="37:37" ht="20.100000000000001" customHeight="1">
      <c r="AK889" t="e">
        <f>IF(Settings!Z898="",NA(),1)</f>
        <v>#N/A</v>
      </c>
    </row>
    <row r="890" spans="37:37" ht="20.100000000000001" customHeight="1">
      <c r="AK890" t="e">
        <f>IF(Settings!Z899="",NA(),1)</f>
        <v>#N/A</v>
      </c>
    </row>
    <row r="891" spans="37:37" ht="20.100000000000001" customHeight="1">
      <c r="AK891" t="e">
        <f>IF(Settings!Z900="",NA(),1)</f>
        <v>#N/A</v>
      </c>
    </row>
    <row r="892" spans="37:37" ht="20.100000000000001" customHeight="1">
      <c r="AK892" t="e">
        <f>IF(Settings!Z901="",NA(),1)</f>
        <v>#N/A</v>
      </c>
    </row>
    <row r="893" spans="37:37" ht="20.100000000000001" customHeight="1">
      <c r="AK893" t="e">
        <f>IF(Settings!Z902="",NA(),1)</f>
        <v>#N/A</v>
      </c>
    </row>
    <row r="894" spans="37:37" ht="20.100000000000001" customHeight="1">
      <c r="AK894" t="e">
        <f>IF(Settings!Z903="",NA(),1)</f>
        <v>#N/A</v>
      </c>
    </row>
    <row r="895" spans="37:37" ht="20.100000000000001" customHeight="1">
      <c r="AK895" t="e">
        <f>IF(Settings!Z904="",NA(),1)</f>
        <v>#N/A</v>
      </c>
    </row>
    <row r="896" spans="37:37" ht="20.100000000000001" customHeight="1">
      <c r="AK896" t="e">
        <f>IF(Settings!Z905="",NA(),1)</f>
        <v>#N/A</v>
      </c>
    </row>
    <row r="897" spans="37:37" ht="20.100000000000001" customHeight="1">
      <c r="AK897" t="e">
        <f>IF(Settings!Z906="",NA(),1)</f>
        <v>#N/A</v>
      </c>
    </row>
    <row r="898" spans="37:37" ht="20.100000000000001" customHeight="1">
      <c r="AK898" t="e">
        <f>IF(Settings!Z907="",NA(),1)</f>
        <v>#N/A</v>
      </c>
    </row>
    <row r="899" spans="37:37" ht="20.100000000000001" customHeight="1">
      <c r="AK899" t="e">
        <f>IF(Settings!Z908="",NA(),1)</f>
        <v>#N/A</v>
      </c>
    </row>
    <row r="900" spans="37:37" ht="20.100000000000001" customHeight="1">
      <c r="AK900" t="e">
        <f>IF(Settings!Z909="",NA(),1)</f>
        <v>#N/A</v>
      </c>
    </row>
    <row r="901" spans="37:37" ht="20.100000000000001" customHeight="1">
      <c r="AK901" t="e">
        <f>IF(Settings!Z910="",NA(),1)</f>
        <v>#N/A</v>
      </c>
    </row>
    <row r="902" spans="37:37" ht="20.100000000000001" customHeight="1">
      <c r="AK902" t="e">
        <f>IF(Settings!Z911="",NA(),1)</f>
        <v>#N/A</v>
      </c>
    </row>
    <row r="903" spans="37:37" ht="20.100000000000001" customHeight="1">
      <c r="AK903" t="e">
        <f>IF(Settings!Z912="",NA(),1)</f>
        <v>#N/A</v>
      </c>
    </row>
    <row r="904" spans="37:37" ht="20.100000000000001" customHeight="1">
      <c r="AK904" t="e">
        <f>IF(Settings!Z913="",NA(),1)</f>
        <v>#N/A</v>
      </c>
    </row>
    <row r="905" spans="37:37" ht="20.100000000000001" customHeight="1">
      <c r="AK905" t="e">
        <f>IF(Settings!Z914="",NA(),1)</f>
        <v>#N/A</v>
      </c>
    </row>
    <row r="906" spans="37:37" ht="20.100000000000001" customHeight="1">
      <c r="AK906" t="e">
        <f>IF(Settings!Z915="",NA(),1)</f>
        <v>#N/A</v>
      </c>
    </row>
    <row r="907" spans="37:37" ht="20.100000000000001" customHeight="1">
      <c r="AK907" t="e">
        <f>IF(Settings!Z916="",NA(),1)</f>
        <v>#N/A</v>
      </c>
    </row>
    <row r="908" spans="37:37" ht="20.100000000000001" customHeight="1">
      <c r="AK908" t="e">
        <f>IF(Settings!Z917="",NA(),1)</f>
        <v>#N/A</v>
      </c>
    </row>
    <row r="909" spans="37:37" ht="20.100000000000001" customHeight="1">
      <c r="AK909" t="e">
        <f>IF(Settings!Z918="",NA(),1)</f>
        <v>#N/A</v>
      </c>
    </row>
    <row r="910" spans="37:37" ht="20.100000000000001" customHeight="1">
      <c r="AK910" t="e">
        <f>IF(Settings!Z919="",NA(),1)</f>
        <v>#N/A</v>
      </c>
    </row>
    <row r="911" spans="37:37" ht="20.100000000000001" customHeight="1">
      <c r="AK911" t="e">
        <f>IF(Settings!Z920="",NA(),1)</f>
        <v>#N/A</v>
      </c>
    </row>
    <row r="912" spans="37:37" ht="20.100000000000001" customHeight="1">
      <c r="AK912" t="e">
        <f>IF(Settings!Z921="",NA(),1)</f>
        <v>#N/A</v>
      </c>
    </row>
    <row r="913" spans="37:37" ht="20.100000000000001" customHeight="1">
      <c r="AK913" t="e">
        <f>IF(Settings!Z922="",NA(),1)</f>
        <v>#N/A</v>
      </c>
    </row>
    <row r="914" spans="37:37" ht="20.100000000000001" customHeight="1">
      <c r="AK914" t="e">
        <f>IF(Settings!Z923="",NA(),1)</f>
        <v>#N/A</v>
      </c>
    </row>
    <row r="915" spans="37:37" ht="20.100000000000001" customHeight="1">
      <c r="AK915" t="e">
        <f>IF(Settings!Z924="",NA(),1)</f>
        <v>#N/A</v>
      </c>
    </row>
    <row r="916" spans="37:37" ht="20.100000000000001" customHeight="1">
      <c r="AK916" t="e">
        <f>IF(Settings!Z925="",NA(),1)</f>
        <v>#N/A</v>
      </c>
    </row>
    <row r="917" spans="37:37" ht="20.100000000000001" customHeight="1">
      <c r="AK917" t="e">
        <f>IF(Settings!Z926="",NA(),1)</f>
        <v>#N/A</v>
      </c>
    </row>
    <row r="918" spans="37:37" ht="20.100000000000001" customHeight="1">
      <c r="AK918" t="e">
        <f>IF(Settings!Z927="",NA(),1)</f>
        <v>#N/A</v>
      </c>
    </row>
    <row r="919" spans="37:37" ht="20.100000000000001" customHeight="1">
      <c r="AK919" t="e">
        <f>IF(Settings!Z928="",NA(),1)</f>
        <v>#N/A</v>
      </c>
    </row>
    <row r="920" spans="37:37" ht="20.100000000000001" customHeight="1">
      <c r="AK920" t="e">
        <f>IF(Settings!Z929="",NA(),1)</f>
        <v>#N/A</v>
      </c>
    </row>
    <row r="921" spans="37:37" ht="20.100000000000001" customHeight="1">
      <c r="AK921" t="e">
        <f>IF(Settings!Z930="",NA(),1)</f>
        <v>#N/A</v>
      </c>
    </row>
    <row r="922" spans="37:37" ht="20.100000000000001" customHeight="1">
      <c r="AK922" t="e">
        <f>IF(Settings!Z931="",NA(),1)</f>
        <v>#N/A</v>
      </c>
    </row>
    <row r="923" spans="37:37" ht="20.100000000000001" customHeight="1">
      <c r="AK923" t="e">
        <f>IF(Settings!Z932="",NA(),1)</f>
        <v>#N/A</v>
      </c>
    </row>
    <row r="924" spans="37:37" ht="20.100000000000001" customHeight="1">
      <c r="AK924" t="e">
        <f>IF(Settings!Z933="",NA(),1)</f>
        <v>#N/A</v>
      </c>
    </row>
    <row r="925" spans="37:37" ht="20.100000000000001" customHeight="1">
      <c r="AK925" t="e">
        <f>IF(Settings!Z934="",NA(),1)</f>
        <v>#N/A</v>
      </c>
    </row>
    <row r="926" spans="37:37" ht="20.100000000000001" customHeight="1">
      <c r="AK926" t="e">
        <f>IF(Settings!Z935="",NA(),1)</f>
        <v>#N/A</v>
      </c>
    </row>
    <row r="927" spans="37:37" ht="20.100000000000001" customHeight="1">
      <c r="AK927" t="e">
        <f>IF(Settings!Z936="",NA(),1)</f>
        <v>#N/A</v>
      </c>
    </row>
    <row r="928" spans="37:37" ht="20.100000000000001" customHeight="1">
      <c r="AK928" t="e">
        <f>IF(Settings!Z937="",NA(),1)</f>
        <v>#N/A</v>
      </c>
    </row>
    <row r="929" spans="37:37" ht="20.100000000000001" customHeight="1">
      <c r="AK929" t="e">
        <f>IF(Settings!Z938="",NA(),1)</f>
        <v>#N/A</v>
      </c>
    </row>
    <row r="930" spans="37:37" ht="20.100000000000001" customHeight="1">
      <c r="AK930" t="e">
        <f>IF(Settings!Z939="",NA(),1)</f>
        <v>#N/A</v>
      </c>
    </row>
    <row r="931" spans="37:37" ht="20.100000000000001" customHeight="1">
      <c r="AK931" t="e">
        <f>IF(Settings!Z940="",NA(),1)</f>
        <v>#N/A</v>
      </c>
    </row>
    <row r="932" spans="37:37" ht="20.100000000000001" customHeight="1">
      <c r="AK932" t="e">
        <f>IF(Settings!Z941="",NA(),1)</f>
        <v>#N/A</v>
      </c>
    </row>
    <row r="933" spans="37:37" ht="20.100000000000001" customHeight="1">
      <c r="AK933" t="e">
        <f>IF(Settings!Z942="",NA(),1)</f>
        <v>#N/A</v>
      </c>
    </row>
    <row r="934" spans="37:37" ht="20.100000000000001" customHeight="1">
      <c r="AK934" t="e">
        <f>IF(Settings!Z943="",NA(),1)</f>
        <v>#N/A</v>
      </c>
    </row>
    <row r="935" spans="37:37" ht="20.100000000000001" customHeight="1">
      <c r="AK935" t="e">
        <f>IF(Settings!Z944="",NA(),1)</f>
        <v>#N/A</v>
      </c>
    </row>
    <row r="936" spans="37:37" ht="20.100000000000001" customHeight="1">
      <c r="AK936" t="e">
        <f>IF(Settings!Z945="",NA(),1)</f>
        <v>#N/A</v>
      </c>
    </row>
    <row r="937" spans="37:37" ht="20.100000000000001" customHeight="1">
      <c r="AK937" t="e">
        <f>IF(Settings!Z946="",NA(),1)</f>
        <v>#N/A</v>
      </c>
    </row>
    <row r="938" spans="37:37" ht="20.100000000000001" customHeight="1">
      <c r="AK938" t="e">
        <f>IF(Settings!Z947="",NA(),1)</f>
        <v>#N/A</v>
      </c>
    </row>
    <row r="939" spans="37:37" ht="20.100000000000001" customHeight="1">
      <c r="AK939" t="e">
        <f>IF(Settings!Z948="",NA(),1)</f>
        <v>#N/A</v>
      </c>
    </row>
    <row r="940" spans="37:37" ht="20.100000000000001" customHeight="1">
      <c r="AK940" t="e">
        <f>IF(Settings!Z949="",NA(),1)</f>
        <v>#N/A</v>
      </c>
    </row>
    <row r="941" spans="37:37" ht="20.100000000000001" customHeight="1">
      <c r="AK941" t="e">
        <f>IF(Settings!Z950="",NA(),1)</f>
        <v>#N/A</v>
      </c>
    </row>
    <row r="942" spans="37:37" ht="20.100000000000001" customHeight="1">
      <c r="AK942" t="e">
        <f>IF(Settings!Z951="",NA(),1)</f>
        <v>#N/A</v>
      </c>
    </row>
    <row r="943" spans="37:37" ht="20.100000000000001" customHeight="1">
      <c r="AK943" t="e">
        <f>IF(Settings!Z952="",NA(),1)</f>
        <v>#N/A</v>
      </c>
    </row>
    <row r="944" spans="37:37" ht="20.100000000000001" customHeight="1">
      <c r="AK944" t="e">
        <f>IF(Settings!Z953="",NA(),1)</f>
        <v>#N/A</v>
      </c>
    </row>
    <row r="945" spans="37:37" ht="20.100000000000001" customHeight="1">
      <c r="AK945" t="e">
        <f>IF(Settings!Z954="",NA(),1)</f>
        <v>#N/A</v>
      </c>
    </row>
    <row r="946" spans="37:37" ht="20.100000000000001" customHeight="1">
      <c r="AK946" t="e">
        <f>IF(Settings!Z955="",NA(),1)</f>
        <v>#N/A</v>
      </c>
    </row>
    <row r="947" spans="37:37" ht="20.100000000000001" customHeight="1">
      <c r="AK947" t="e">
        <f>IF(Settings!Z956="",NA(),1)</f>
        <v>#N/A</v>
      </c>
    </row>
    <row r="948" spans="37:37" ht="20.100000000000001" customHeight="1">
      <c r="AK948" t="e">
        <f>IF(Settings!Z957="",NA(),1)</f>
        <v>#N/A</v>
      </c>
    </row>
    <row r="949" spans="37:37" ht="20.100000000000001" customHeight="1">
      <c r="AK949" t="e">
        <f>IF(Settings!Z958="",NA(),1)</f>
        <v>#N/A</v>
      </c>
    </row>
    <row r="950" spans="37:37" ht="20.100000000000001" customHeight="1">
      <c r="AK950" t="e">
        <f>IF(Settings!Z959="",NA(),1)</f>
        <v>#N/A</v>
      </c>
    </row>
    <row r="951" spans="37:37" ht="20.100000000000001" customHeight="1">
      <c r="AK951" t="e">
        <f>IF(Settings!Z960="",NA(),1)</f>
        <v>#N/A</v>
      </c>
    </row>
    <row r="952" spans="37:37" ht="20.100000000000001" customHeight="1">
      <c r="AK952" t="e">
        <f>IF(Settings!Z961="",NA(),1)</f>
        <v>#N/A</v>
      </c>
    </row>
    <row r="953" spans="37:37" ht="20.100000000000001" customHeight="1">
      <c r="AK953" t="e">
        <f>IF(Settings!Z962="",NA(),1)</f>
        <v>#N/A</v>
      </c>
    </row>
    <row r="954" spans="37:37" ht="20.100000000000001" customHeight="1">
      <c r="AK954" t="e">
        <f>IF(Settings!Z963="",NA(),1)</f>
        <v>#N/A</v>
      </c>
    </row>
    <row r="955" spans="37:37" ht="20.100000000000001" customHeight="1">
      <c r="AK955" t="e">
        <f>IF(Settings!Z964="",NA(),1)</f>
        <v>#N/A</v>
      </c>
    </row>
    <row r="956" spans="37:37" ht="20.100000000000001" customHeight="1">
      <c r="AK956" t="e">
        <f>IF(Settings!Z965="",NA(),1)</f>
        <v>#N/A</v>
      </c>
    </row>
    <row r="957" spans="37:37" ht="20.100000000000001" customHeight="1">
      <c r="AK957" t="e">
        <f>IF(Settings!Z966="",NA(),1)</f>
        <v>#N/A</v>
      </c>
    </row>
    <row r="958" spans="37:37" ht="20.100000000000001" customHeight="1">
      <c r="AK958" t="e">
        <f>IF(Settings!Z967="",NA(),1)</f>
        <v>#N/A</v>
      </c>
    </row>
    <row r="959" spans="37:37" ht="20.100000000000001" customHeight="1">
      <c r="AK959" t="e">
        <f>IF(Settings!Z968="",NA(),1)</f>
        <v>#N/A</v>
      </c>
    </row>
    <row r="960" spans="37:37" ht="20.100000000000001" customHeight="1">
      <c r="AK960" t="e">
        <f>IF(Settings!Z969="",NA(),1)</f>
        <v>#N/A</v>
      </c>
    </row>
    <row r="961" spans="37:37" ht="20.100000000000001" customHeight="1">
      <c r="AK961" t="e">
        <f>IF(Settings!Z970="",NA(),1)</f>
        <v>#N/A</v>
      </c>
    </row>
    <row r="962" spans="37:37" ht="20.100000000000001" customHeight="1">
      <c r="AK962" t="e">
        <f>IF(Settings!Z971="",NA(),1)</f>
        <v>#N/A</v>
      </c>
    </row>
    <row r="963" spans="37:37" ht="20.100000000000001" customHeight="1">
      <c r="AK963" t="e">
        <f>IF(Settings!Z972="",NA(),1)</f>
        <v>#N/A</v>
      </c>
    </row>
    <row r="964" spans="37:37" ht="20.100000000000001" customHeight="1">
      <c r="AK964" t="e">
        <f>IF(Settings!Z973="",NA(),1)</f>
        <v>#N/A</v>
      </c>
    </row>
    <row r="965" spans="37:37" ht="20.100000000000001" customHeight="1">
      <c r="AK965" t="e">
        <f>IF(Settings!Z974="",NA(),1)</f>
        <v>#N/A</v>
      </c>
    </row>
    <row r="966" spans="37:37" ht="20.100000000000001" customHeight="1">
      <c r="AK966" t="e">
        <f>IF(Settings!Z975="",NA(),1)</f>
        <v>#N/A</v>
      </c>
    </row>
    <row r="967" spans="37:37" ht="20.100000000000001" customHeight="1">
      <c r="AK967" t="e">
        <f>IF(Settings!Z976="",NA(),1)</f>
        <v>#N/A</v>
      </c>
    </row>
    <row r="968" spans="37:37" ht="20.100000000000001" customHeight="1">
      <c r="AK968" t="e">
        <f>IF(Settings!Z977="",NA(),1)</f>
        <v>#N/A</v>
      </c>
    </row>
    <row r="969" spans="37:37" ht="20.100000000000001" customHeight="1">
      <c r="AK969" t="e">
        <f>IF(Settings!Z978="",NA(),1)</f>
        <v>#N/A</v>
      </c>
    </row>
    <row r="970" spans="37:37" ht="20.100000000000001" customHeight="1">
      <c r="AK970" t="e">
        <f>IF(Settings!Z979="",NA(),1)</f>
        <v>#N/A</v>
      </c>
    </row>
    <row r="971" spans="37:37" ht="20.100000000000001" customHeight="1">
      <c r="AK971" t="e">
        <f>IF(Settings!Z980="",NA(),1)</f>
        <v>#N/A</v>
      </c>
    </row>
    <row r="972" spans="37:37" ht="20.100000000000001" customHeight="1">
      <c r="AK972" t="e">
        <f>IF(Settings!Z981="",NA(),1)</f>
        <v>#N/A</v>
      </c>
    </row>
    <row r="973" spans="37:37" ht="20.100000000000001" customHeight="1">
      <c r="AK973" t="e">
        <f>IF(Settings!Z982="",NA(),1)</f>
        <v>#N/A</v>
      </c>
    </row>
    <row r="974" spans="37:37" ht="20.100000000000001" customHeight="1">
      <c r="AK974" t="e">
        <f>IF(Settings!Z983="",NA(),1)</f>
        <v>#N/A</v>
      </c>
    </row>
    <row r="975" spans="37:37" ht="20.100000000000001" customHeight="1">
      <c r="AK975" t="e">
        <f>IF(Settings!Z984="",NA(),1)</f>
        <v>#N/A</v>
      </c>
    </row>
    <row r="976" spans="37:37" ht="20.100000000000001" customHeight="1">
      <c r="AK976" t="e">
        <f>IF(Settings!Z985="",NA(),1)</f>
        <v>#N/A</v>
      </c>
    </row>
    <row r="977" spans="37:37" ht="20.100000000000001" customHeight="1">
      <c r="AK977" t="e">
        <f>IF(Settings!Z986="",NA(),1)</f>
        <v>#N/A</v>
      </c>
    </row>
    <row r="978" spans="37:37" ht="20.100000000000001" customHeight="1">
      <c r="AK978" t="e">
        <f>IF(Settings!Z987="",NA(),1)</f>
        <v>#N/A</v>
      </c>
    </row>
    <row r="979" spans="37:37" ht="20.100000000000001" customHeight="1">
      <c r="AK979" t="e">
        <f>IF(Settings!Z988="",NA(),1)</f>
        <v>#N/A</v>
      </c>
    </row>
    <row r="980" spans="37:37" ht="20.100000000000001" customHeight="1">
      <c r="AK980" t="e">
        <f>IF(Settings!Z989="",NA(),1)</f>
        <v>#N/A</v>
      </c>
    </row>
    <row r="981" spans="37:37" ht="20.100000000000001" customHeight="1">
      <c r="AK981" t="e">
        <f>IF(Settings!Z990="",NA(),1)</f>
        <v>#N/A</v>
      </c>
    </row>
    <row r="982" spans="37:37" ht="20.100000000000001" customHeight="1">
      <c r="AK982" t="e">
        <f>IF(Settings!Z991="",NA(),1)</f>
        <v>#N/A</v>
      </c>
    </row>
    <row r="983" spans="37:37" ht="20.100000000000001" customHeight="1">
      <c r="AK983" t="e">
        <f>IF(Settings!Z992="",NA(),1)</f>
        <v>#N/A</v>
      </c>
    </row>
    <row r="984" spans="37:37" ht="20.100000000000001" customHeight="1">
      <c r="AK984" t="e">
        <f>IF(Settings!Z993="",NA(),1)</f>
        <v>#N/A</v>
      </c>
    </row>
    <row r="985" spans="37:37" ht="20.100000000000001" customHeight="1">
      <c r="AK985" t="e">
        <f>IF(Settings!Z994="",NA(),1)</f>
        <v>#N/A</v>
      </c>
    </row>
    <row r="986" spans="37:37" ht="20.100000000000001" customHeight="1">
      <c r="AK986" t="e">
        <f>IF(Settings!Z995="",NA(),1)</f>
        <v>#N/A</v>
      </c>
    </row>
    <row r="987" spans="37:37" ht="20.100000000000001" customHeight="1">
      <c r="AK987" t="e">
        <f>IF(Settings!Z996="",NA(),1)</f>
        <v>#N/A</v>
      </c>
    </row>
    <row r="988" spans="37:37" ht="20.100000000000001" customHeight="1">
      <c r="AK988" t="e">
        <f>IF(Settings!Z997="",NA(),1)</f>
        <v>#N/A</v>
      </c>
    </row>
    <row r="989" spans="37:37" ht="20.100000000000001" customHeight="1">
      <c r="AK989" t="e">
        <f>IF(Settings!Z998="",NA(),1)</f>
        <v>#N/A</v>
      </c>
    </row>
    <row r="990" spans="37:37" ht="20.100000000000001" customHeight="1">
      <c r="AK990" t="e">
        <f>IF(Settings!Z999="",NA(),1)</f>
        <v>#N/A</v>
      </c>
    </row>
    <row r="991" spans="37:37" ht="20.100000000000001" customHeight="1">
      <c r="AK991" t="e">
        <f>IF(Settings!Z1000="",NA(),1)</f>
        <v>#N/A</v>
      </c>
    </row>
    <row r="992" spans="37:37" ht="20.100000000000001" customHeight="1"/>
    <row r="993" ht="20.100000000000001" customHeight="1"/>
    <row r="994" ht="20.100000000000001" customHeight="1"/>
    <row r="995" ht="20.100000000000001" customHeight="1"/>
    <row r="996" ht="20.100000000000001" customHeight="1"/>
    <row r="997" ht="20.100000000000001" customHeight="1"/>
    <row r="998" ht="20.100000000000001" customHeight="1"/>
    <row r="999" ht="20.100000000000001" customHeight="1"/>
    <row r="1000" ht="20.100000000000001" customHeight="1"/>
    <row r="1001" ht="20.100000000000001" customHeight="1"/>
    <row r="1002" ht="20.100000000000001" customHeight="1"/>
    <row r="1003" ht="20.100000000000001" customHeight="1"/>
    <row r="1004" ht="20.100000000000001" customHeight="1"/>
    <row r="1005" ht="20.100000000000001" customHeight="1"/>
    <row r="1006" ht="20.100000000000001" customHeight="1"/>
    <row r="1007" ht="20.100000000000001" customHeight="1"/>
    <row r="1008" ht="20.100000000000001" customHeight="1"/>
    <row r="1009" ht="20.100000000000001" customHeight="1"/>
    <row r="1010" ht="20.100000000000001" customHeight="1"/>
    <row r="1011" ht="20.100000000000001" customHeight="1"/>
    <row r="1012" ht="20.100000000000001" customHeight="1"/>
    <row r="1013" ht="20.100000000000001" customHeight="1"/>
    <row r="1014" ht="20.100000000000001" customHeight="1"/>
    <row r="1015" ht="20.100000000000001" customHeight="1"/>
    <row r="1016" ht="20.100000000000001" customHeight="1"/>
    <row r="1017" ht="0.6" customHeight="1"/>
    <row r="1018" ht="0.6" customHeight="1"/>
    <row r="10017" ht="15" customHeight="1"/>
    <row r="10028" ht="15.75" customHeight="1"/>
    <row r="10029" ht="15.75" customHeight="1"/>
  </sheetData>
  <sheetProtection algorithmName="SHA-512" hashValue="AgblPvFsh+MBUxuIVc6t6mGBMvGpFGVhcYUVep4JdAHf40JXHUhpqzAYNzCQFVQL1KspZIxkqXR5tLtvBKtIvA==" saltValue="IonPfcqhtaLcVYk/6ctnog==" spinCount="100000" sheet="1" objects="1" scenarios="1" formatCells="0" insertHyperlinks="0"/>
  <protectedRanges>
    <protectedRange sqref="D15:W15 D6:D8 D3 G3:G4 G6:G8 J3 L3:O3 R3:U3" name="text"/>
    <protectedRange sqref="P11:W20100" name="log"/>
    <protectedRange sqref="AG1:AH15" name="date sort"/>
    <protectedRange sqref="H4 H6:H8 E7:E8" name="filter"/>
    <protectedRange sqref="E7:E8 P1:Q10017" name="Range4"/>
  </protectedRanges>
  <mergeCells count="10">
    <mergeCell ref="T3:U3"/>
    <mergeCell ref="T4:U4"/>
    <mergeCell ref="T5:U5"/>
    <mergeCell ref="T6:U6"/>
    <mergeCell ref="T7:U7"/>
    <mergeCell ref="T12:U12"/>
    <mergeCell ref="T8:U8"/>
    <mergeCell ref="T9:U9"/>
    <mergeCell ref="T10:U10"/>
    <mergeCell ref="T11:U11"/>
  </mergeCells>
  <phoneticPr fontId="140" type="noConversion"/>
  <conditionalFormatting sqref="S4:U11 N4:O11">
    <cfRule type="cellIs" dxfId="210" priority="533" operator="equal">
      <formula>0</formula>
    </cfRule>
    <cfRule type="cellIs" dxfId="209" priority="534" operator="lessThan">
      <formula>0</formula>
    </cfRule>
  </conditionalFormatting>
  <conditionalFormatting sqref="O4:O11">
    <cfRule type="dataBar" priority="209">
      <dataBar>
        <cfvo type="min"/>
        <cfvo type="max"/>
        <color rgb="FF173630"/>
      </dataBar>
      <extLst>
        <ext xmlns:x14="http://schemas.microsoft.com/office/spreadsheetml/2009/9/main" uri="{B025F937-C7B1-47D3-B67F-A62EFF666E3E}">
          <x14:id>{BF0655E1-6D9D-446E-8AFE-7BECF9014847}</x14:id>
        </ext>
      </extLst>
    </cfRule>
  </conditionalFormatting>
  <conditionalFormatting sqref="O4">
    <cfRule type="cellIs" dxfId="208" priority="208" operator="lessThan">
      <formula>0</formula>
    </cfRule>
  </conditionalFormatting>
  <conditionalFormatting sqref="T5:U11 T4">
    <cfRule type="dataBar" priority="207">
      <dataBar>
        <cfvo type="min"/>
        <cfvo type="max"/>
        <color rgb="FF173630"/>
      </dataBar>
      <extLst>
        <ext xmlns:x14="http://schemas.microsoft.com/office/spreadsheetml/2009/9/main" uri="{B025F937-C7B1-47D3-B67F-A62EFF666E3E}">
          <x14:id>{633C6431-A6F2-4B80-B8CE-D3A79EE6EE06}</x14:id>
        </ext>
      </extLst>
    </cfRule>
  </conditionalFormatting>
  <conditionalFormatting sqref="T4">
    <cfRule type="cellIs" dxfId="207" priority="206" operator="lessThan">
      <formula>0</formula>
    </cfRule>
  </conditionalFormatting>
  <conditionalFormatting sqref="K14:M14">
    <cfRule type="cellIs" dxfId="206" priority="72" operator="lessThan">
      <formula>0</formula>
    </cfRule>
  </conditionalFormatting>
  <conditionalFormatting sqref="K14:O14">
    <cfRule type="cellIs" dxfId="205" priority="71" operator="equal">
      <formula>0</formula>
    </cfRule>
  </conditionalFormatting>
  <conditionalFormatting sqref="F14">
    <cfRule type="containsText" dxfId="204" priority="70" operator="containsText" text="BUY">
      <formula>NOT(ISERROR(SEARCH("BUY",F14)))</formula>
    </cfRule>
  </conditionalFormatting>
  <conditionalFormatting sqref="D14:H14">
    <cfRule type="cellIs" dxfId="203" priority="69" operator="equal">
      <formula>0</formula>
    </cfRule>
  </conditionalFormatting>
  <conditionalFormatting sqref="K17:M66">
    <cfRule type="cellIs" dxfId="18" priority="4" operator="lessThan">
      <formula>0</formula>
    </cfRule>
  </conditionalFormatting>
  <conditionalFormatting sqref="K17:O66">
    <cfRule type="cellIs" dxfId="17" priority="3" operator="equal">
      <formula>0</formula>
    </cfRule>
  </conditionalFormatting>
  <conditionalFormatting sqref="F17:F66">
    <cfRule type="containsText" dxfId="16" priority="2" operator="containsText" text="BUY">
      <formula>NOT(ISERROR(SEARCH("BUY",F17)))</formula>
    </cfRule>
  </conditionalFormatting>
  <conditionalFormatting sqref="D17:H66">
    <cfRule type="cellIs" dxfId="15" priority="1" operator="equal">
      <formula>0</formula>
    </cfRule>
  </conditionalFormatting>
  <dataValidations count="7">
    <dataValidation allowBlank="1" showInputMessage="1" showErrorMessage="1" prompt="Enter valid date as (mm/dd/yy)" sqref="D15:D16" xr:uid="{00000000-0002-0000-0300-000000000000}"/>
    <dataValidation allowBlank="1" showErrorMessage="1" sqref="C14:M14 C10018:M10029 C17:M66" xr:uid="{00000000-0002-0000-0300-000001000000}"/>
    <dataValidation type="list" allowBlank="1" showInputMessage="1" showErrorMessage="1" sqref="U14 U10018:U10029 U16:U66" xr:uid="{00000000-0002-0000-0300-000002000000}">
      <formula1>"UP,SIDE,DOWN"</formula1>
    </dataValidation>
    <dataValidation type="list" allowBlank="1" showInputMessage="1" showErrorMessage="1" sqref="E7" xr:uid="{B4ED232A-7103-4C0B-AD4D-F64F19791CB8}">
      <formula1>$AG$1:$AG$12</formula1>
    </dataValidation>
    <dataValidation type="list" allowBlank="1" showInputMessage="1" showErrorMessage="1" sqref="E8" xr:uid="{BC92E1EB-44F4-4165-A929-67AD2A76C98F}">
      <formula1>$AH$1:$AH$10</formula1>
    </dataValidation>
    <dataValidation type="list" allowBlank="1" showInputMessage="1" showErrorMessage="1" sqref="T14 T10018:T10029 T16:T66" xr:uid="{00000000-0002-0000-0300-000005000000}">
      <formula1>listEmotion</formula1>
    </dataValidation>
    <dataValidation type="list" allowBlank="1" showInputMessage="1" showErrorMessage="1" sqref="S14 S10018:S10029 S16:S66" xr:uid="{00000000-0002-0000-0300-000007000000}">
      <formula1>listEntryExit</formula1>
    </dataValidation>
  </dataValidations>
  <pageMargins left="0.7" right="0.7" top="0.75" bottom="0.75" header="0.3" footer="0.3"/>
  <pageSetup paperSize="9" scale="45" orientation="portrait" r:id="rId1"/>
  <colBreaks count="1" manualBreakCount="1">
    <brk id="23" max="1048575" man="1"/>
  </colBreaks>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BF0655E1-6D9D-446E-8AFE-7BECF9014847}">
            <x14:dataBar minLength="0" maxLength="100" gradient="0">
              <x14:cfvo type="autoMin"/>
              <x14:cfvo type="autoMax"/>
              <x14:negativeFillColor rgb="FF3C242C"/>
              <x14:axisColor theme="0" tint="-0.499984740745262"/>
            </x14:dataBar>
          </x14:cfRule>
          <xm:sqref>O4:O11</xm:sqref>
        </x14:conditionalFormatting>
        <x14:conditionalFormatting xmlns:xm="http://schemas.microsoft.com/office/excel/2006/main">
          <x14:cfRule type="dataBar" id="{633C6431-A6F2-4B80-B8CE-D3A79EE6EE06}">
            <x14:dataBar minLength="0" maxLength="100" gradient="0">
              <x14:cfvo type="autoMin"/>
              <x14:cfvo type="autoMax"/>
              <x14:negativeFillColor rgb="FF3C242C"/>
              <x14:axisColor theme="0" tint="-0.499984740745262"/>
            </x14:dataBar>
          </x14:cfRule>
          <xm:sqref>T5:U11 T4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OFFSET(Settings!$M$14,0,0,COUNT(Settings!$L$14:$L$33))</xm:f>
          </x14:formula1>
          <xm:sqref>H6</xm:sqref>
        </x14:dataValidation>
        <x14:dataValidation type="list" allowBlank="1" showInputMessage="1" showErrorMessage="1" xr:uid="{00000000-0002-0000-0300-000004000000}">
          <x14:formula1>
            <xm:f>OFFSET(Settings!$Z$14,0,0,COUNT($AK$2:$AK$28))</xm:f>
          </x14:formula1>
          <xm:sqref>H8</xm:sqref>
        </x14:dataValidation>
        <x14:dataValidation type="list" allowBlank="1" showInputMessage="1" showErrorMessage="1" xr:uid="{00000000-0002-0000-0300-000006000000}">
          <x14:formula1>
            <xm:f>OFFSET(Settings!$X$14,0,0,COUNT($AJ$2:$AJ$28))</xm:f>
          </x14:formula1>
          <xm:sqref>H7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onthlyReport">
    <tabColor rgb="FF2B3139"/>
    <pageSetUpPr fitToPage="1"/>
  </sheetPr>
  <dimension ref="A1:AX74"/>
  <sheetViews>
    <sheetView showGridLines="0" showRowColHeaders="0" topLeftCell="C1" zoomScaleNormal="100" workbookViewId="0">
      <pane ySplit="21" topLeftCell="A22" activePane="bottomLeft" state="frozen"/>
      <selection activeCell="C1" sqref="C1"/>
      <selection pane="bottomLeft" activeCell="D20" sqref="D20:U20"/>
    </sheetView>
  </sheetViews>
  <sheetFormatPr defaultColWidth="0" defaultRowHeight="15"/>
  <cols>
    <col min="1" max="1" width="9" hidden="1" customWidth="1"/>
    <col min="2" max="2" width="8" hidden="1" customWidth="1"/>
    <col min="3" max="3" width="2.7109375" customWidth="1"/>
    <col min="4" max="4" width="8.28515625" customWidth="1"/>
    <col min="5" max="10" width="14.7109375" customWidth="1"/>
    <col min="11" max="11" width="11" customWidth="1"/>
    <col min="12" max="12" width="0.85546875" customWidth="1"/>
    <col min="13" max="13" width="15" customWidth="1"/>
    <col min="14" max="14" width="10.42578125" customWidth="1"/>
    <col min="15" max="15" width="8.7109375" customWidth="1"/>
    <col min="16" max="16" width="0.85546875" customWidth="1"/>
    <col min="17" max="21" width="8.7109375" customWidth="1"/>
    <col min="22" max="22" width="90.7109375" customWidth="1"/>
    <col min="23" max="23" width="11.28515625" hidden="1" customWidth="1"/>
    <col min="24" max="24" width="11.42578125" hidden="1" customWidth="1"/>
    <col min="25" max="25" width="14.28515625" hidden="1" customWidth="1"/>
    <col min="26" max="26" width="10.28515625" hidden="1" customWidth="1"/>
    <col min="27" max="27" width="14.42578125" hidden="1" customWidth="1"/>
    <col min="28" max="29" width="5.7109375" hidden="1" customWidth="1"/>
    <col min="30" max="30" width="8.7109375" hidden="1" customWidth="1"/>
    <col min="31" max="31" width="14" hidden="1" customWidth="1"/>
    <col min="32" max="32" width="7.42578125" hidden="1" customWidth="1"/>
    <col min="33" max="33" width="13.42578125" hidden="1" customWidth="1"/>
    <col min="34" max="35" width="5.7109375" hidden="1" customWidth="1"/>
    <col min="36" max="36" width="8.85546875" hidden="1" customWidth="1"/>
    <col min="37" max="37" width="5.7109375" hidden="1" customWidth="1"/>
    <col min="38" max="38" width="21" hidden="1" customWidth="1"/>
    <col min="39" max="39" width="12" hidden="1" customWidth="1"/>
    <col min="40" max="40" width="16" hidden="1" customWidth="1"/>
    <col min="41" max="41" width="15.42578125" hidden="1" customWidth="1"/>
    <col min="42" max="42" width="17.140625" hidden="1" customWidth="1"/>
    <col min="43" max="44" width="12" hidden="1" customWidth="1"/>
    <col min="45" max="45" width="8.42578125" hidden="1" customWidth="1"/>
    <col min="46" max="46" width="11.28515625" hidden="1" customWidth="1"/>
    <col min="47" max="47" width="12" hidden="1" customWidth="1"/>
    <col min="48" max="48" width="12.7109375" hidden="1" customWidth="1"/>
    <col min="49" max="49" width="12" hidden="1" customWidth="1"/>
    <col min="50" max="50" width="12.7109375" hidden="1" customWidth="1"/>
    <col min="51" max="16384" width="5.7109375" hidden="1"/>
  </cols>
  <sheetData>
    <row r="1" spans="1:42" ht="24.95" customHeight="1">
      <c r="C1" s="92"/>
      <c r="D1" s="61"/>
      <c r="E1" s="62"/>
      <c r="F1" s="62"/>
      <c r="G1" s="63"/>
      <c r="H1" s="64"/>
      <c r="I1" s="64"/>
      <c r="J1" s="64"/>
      <c r="K1" s="65"/>
      <c r="L1" s="63"/>
      <c r="M1" s="63"/>
      <c r="N1" s="64"/>
      <c r="O1" s="63"/>
      <c r="P1" s="63"/>
      <c r="Q1" s="63"/>
      <c r="R1" s="63"/>
      <c r="S1" s="63"/>
      <c r="T1" s="63"/>
      <c r="U1" s="63"/>
      <c r="V1" s="63"/>
    </row>
    <row r="2" spans="1:42" ht="3.75" customHeight="1">
      <c r="C2" s="342"/>
      <c r="D2" s="361"/>
      <c r="E2" s="362"/>
      <c r="F2" s="362"/>
      <c r="G2" s="363"/>
      <c r="H2" s="364"/>
      <c r="I2" s="364"/>
      <c r="J2" s="364"/>
      <c r="K2" s="365"/>
      <c r="L2" s="366"/>
      <c r="M2" s="366"/>
      <c r="N2" s="364"/>
      <c r="O2" s="366"/>
      <c r="P2" s="366"/>
      <c r="Q2" s="366"/>
      <c r="R2" s="366"/>
      <c r="S2" s="366"/>
      <c r="T2" s="366"/>
      <c r="U2" s="366"/>
      <c r="V2" s="63"/>
      <c r="AE2">
        <f>6000*12*5</f>
        <v>360000</v>
      </c>
    </row>
    <row r="3" spans="1:42" ht="20.100000000000001" customHeight="1">
      <c r="A3" s="289"/>
      <c r="B3" s="289"/>
      <c r="C3" s="342"/>
      <c r="D3" s="343"/>
      <c r="E3" s="344"/>
      <c r="F3" s="344"/>
      <c r="G3" s="344"/>
      <c r="H3" s="289"/>
      <c r="I3" s="289"/>
      <c r="J3" s="289"/>
      <c r="K3" s="345"/>
      <c r="L3" s="346"/>
      <c r="M3" s="346"/>
      <c r="N3" s="344"/>
      <c r="O3" s="346"/>
      <c r="P3" s="346"/>
      <c r="Q3" s="289"/>
      <c r="R3" s="289"/>
      <c r="S3" s="1075" t="str">
        <f>AA9</f>
        <v>Nov-16 to Oct-17</v>
      </c>
      <c r="T3" s="1075"/>
      <c r="U3" s="346"/>
      <c r="V3" s="73"/>
      <c r="W3" s="10">
        <f>Settings!AG1</f>
        <v>43038</v>
      </c>
      <c r="X3" t="s">
        <v>478</v>
      </c>
    </row>
    <row r="4" spans="1:42" ht="14.1" customHeight="1">
      <c r="A4" s="289"/>
      <c r="B4" s="289"/>
      <c r="C4" s="342"/>
      <c r="D4" s="347"/>
      <c r="E4" s="348"/>
      <c r="F4" s="1078"/>
      <c r="G4" s="1078"/>
      <c r="H4" s="289"/>
      <c r="I4" s="289"/>
      <c r="J4" s="289"/>
      <c r="K4" s="346"/>
      <c r="L4" s="349"/>
      <c r="M4" s="349"/>
      <c r="N4" s="349"/>
      <c r="O4" s="349"/>
      <c r="P4" s="349"/>
      <c r="Q4" s="346"/>
      <c r="R4" s="349"/>
      <c r="S4" s="1076" t="str">
        <f>AA10</f>
        <v>vs. Nov-15 to Oct-16</v>
      </c>
      <c r="T4" s="1076"/>
      <c r="U4" s="346"/>
      <c r="V4" s="73"/>
      <c r="W4" s="10">
        <f>DATE(YEAR(W3),MONTH(W3),DAY(1))</f>
        <v>43009</v>
      </c>
      <c r="X4" s="10"/>
      <c r="AA4" t="s">
        <v>124</v>
      </c>
    </row>
    <row r="5" spans="1:42" ht="3" customHeight="1">
      <c r="A5" s="289"/>
      <c r="B5" s="289"/>
      <c r="C5" s="342"/>
      <c r="D5" s="347"/>
      <c r="E5" s="348"/>
      <c r="F5" s="1079"/>
      <c r="G5" s="1079"/>
      <c r="H5" s="289"/>
      <c r="I5" s="289"/>
      <c r="J5" s="289"/>
      <c r="K5" s="349"/>
      <c r="L5" s="349"/>
      <c r="M5" s="349"/>
      <c r="N5" s="349"/>
      <c r="O5" s="349"/>
      <c r="P5" s="349"/>
      <c r="Q5" s="346"/>
      <c r="R5" s="349"/>
      <c r="S5" s="289"/>
      <c r="T5" s="289"/>
      <c r="U5" s="350"/>
      <c r="V5" s="148"/>
      <c r="W5" s="10">
        <f>IF(Y5=0,W3,Y5)</f>
        <v>42982</v>
      </c>
      <c r="X5" s="10"/>
      <c r="Y5" s="10">
        <f>MIN('Trade Log'!D15:D18357)</f>
        <v>42982</v>
      </c>
      <c r="AA5" t="s">
        <v>124</v>
      </c>
      <c r="AM5" s="35" t="s">
        <v>479</v>
      </c>
      <c r="AN5" t="str">
        <f>Settings!T3</f>
        <v>Php</v>
      </c>
    </row>
    <row r="6" spans="1:42" ht="15.75" customHeight="1">
      <c r="A6" s="289"/>
      <c r="B6" s="289"/>
      <c r="C6" s="342"/>
      <c r="D6" s="347"/>
      <c r="E6" s="348"/>
      <c r="F6" s="1079"/>
      <c r="G6" s="1079"/>
      <c r="H6" s="289"/>
      <c r="I6" s="351"/>
      <c r="J6" s="289"/>
      <c r="K6" s="349"/>
      <c r="L6" s="349"/>
      <c r="M6" s="349"/>
      <c r="N6" s="349"/>
      <c r="O6" s="349"/>
      <c r="P6" s="349"/>
      <c r="Q6" s="346"/>
      <c r="R6" s="349"/>
      <c r="S6" s="1074" t="s">
        <v>262</v>
      </c>
      <c r="T6" s="1074"/>
      <c r="U6" s="352"/>
      <c r="V6" s="149"/>
      <c r="W6" s="10">
        <f>IF(Y6=0,W3,Y6)</f>
        <v>42981</v>
      </c>
      <c r="X6" s="10"/>
      <c r="Y6" s="10">
        <f>MIN('Bank Transfers'!D15:D1000)</f>
        <v>42981</v>
      </c>
      <c r="AA6" t="s">
        <v>126</v>
      </c>
    </row>
    <row r="7" spans="1:42" ht="24" customHeight="1">
      <c r="A7" s="289"/>
      <c r="B7" s="289"/>
      <c r="C7" s="353"/>
      <c r="D7" s="354"/>
      <c r="E7" s="355"/>
      <c r="F7" s="1080"/>
      <c r="G7" s="1080"/>
      <c r="H7" s="289"/>
      <c r="I7" s="289"/>
      <c r="J7" s="289"/>
      <c r="K7" s="349"/>
      <c r="L7" s="349"/>
      <c r="M7" s="349"/>
      <c r="N7" s="349"/>
      <c r="O7" s="349"/>
      <c r="P7" s="349"/>
      <c r="Q7" s="346"/>
      <c r="R7" s="349"/>
      <c r="S7" s="289"/>
      <c r="T7" s="289"/>
      <c r="U7" s="356"/>
      <c r="V7" s="150"/>
      <c r="W7" s="10">
        <f>MIN(W5:W6)</f>
        <v>42981</v>
      </c>
      <c r="X7" s="10">
        <f>DATE(YEAR(W7),MONTH(W7),DAY(1))</f>
        <v>42979</v>
      </c>
    </row>
    <row r="8" spans="1:42" ht="16.5" customHeight="1">
      <c r="A8" s="289"/>
      <c r="B8" s="289"/>
      <c r="C8" s="342"/>
      <c r="D8" s="347"/>
      <c r="E8" s="348"/>
      <c r="F8" s="1081"/>
      <c r="G8" s="1081"/>
      <c r="H8" s="289"/>
      <c r="I8" s="289"/>
      <c r="J8" s="289"/>
      <c r="K8" s="349"/>
      <c r="L8" s="349"/>
      <c r="M8" s="349"/>
      <c r="N8" s="349"/>
      <c r="O8" s="349"/>
      <c r="P8" s="349"/>
      <c r="Q8" s="349"/>
      <c r="R8" s="349"/>
      <c r="S8" s="1073" t="str">
        <f>AP21</f>
        <v/>
      </c>
      <c r="T8" s="1073"/>
      <c r="U8" s="357"/>
      <c r="V8" s="151"/>
      <c r="AA8" t="str">
        <f>"PROFIT "&amp;YEAR(W23)&amp;" vs "&amp;YEAR(W23)-1</f>
        <v>PROFIT 2017 vs 2016</v>
      </c>
    </row>
    <row r="9" spans="1:42" ht="14.1" customHeight="1">
      <c r="A9" s="289"/>
      <c r="B9" s="289"/>
      <c r="C9" s="342"/>
      <c r="D9" s="347"/>
      <c r="E9" s="348"/>
      <c r="F9" s="1077"/>
      <c r="G9" s="1077"/>
      <c r="H9" s="289"/>
      <c r="I9" s="289"/>
      <c r="J9" s="289"/>
      <c r="K9" s="349"/>
      <c r="L9" s="349"/>
      <c r="M9" s="349"/>
      <c r="N9" s="349"/>
      <c r="O9" s="349"/>
      <c r="P9" s="349"/>
      <c r="Q9" s="349"/>
      <c r="R9" s="349"/>
      <c r="S9" s="349"/>
      <c r="T9" s="349"/>
      <c r="U9" s="358"/>
      <c r="V9" s="74"/>
      <c r="W9" s="35" t="s">
        <v>195</v>
      </c>
      <c r="X9" s="45">
        <f>MAX(AE23:AE47)*1.1</f>
        <v>180935.18833500001</v>
      </c>
      <c r="Y9" s="34"/>
      <c r="AA9" t="str">
        <f>TEXT(AN34,"mmm-yy") &amp;" to "&amp;TEXT(AN23,"mmm-yy")</f>
        <v>Nov-16 to Oct-17</v>
      </c>
    </row>
    <row r="10" spans="1:42" ht="14.1" customHeight="1">
      <c r="A10" s="289"/>
      <c r="B10" s="289"/>
      <c r="C10" s="342"/>
      <c r="D10" s="347"/>
      <c r="E10" s="348"/>
      <c r="F10" s="1077"/>
      <c r="G10" s="1077"/>
      <c r="H10" s="289"/>
      <c r="I10" s="289"/>
      <c r="J10" s="289"/>
      <c r="K10" s="349"/>
      <c r="L10" s="349"/>
      <c r="M10" s="349"/>
      <c r="N10" s="349"/>
      <c r="O10" s="349"/>
      <c r="P10" s="349"/>
      <c r="Q10" s="349"/>
      <c r="R10" s="349"/>
      <c r="S10" s="349"/>
      <c r="T10" s="349"/>
      <c r="U10" s="358"/>
      <c r="V10" s="74"/>
      <c r="W10" s="49" t="s">
        <v>196</v>
      </c>
      <c r="X10" s="45">
        <f>MIN(AE23:AE47)*0.9</f>
        <v>0</v>
      </c>
      <c r="Y10" s="34"/>
      <c r="AA10" t="str">
        <f>"vs. "&amp;TEXT(AP34,"mmm-yy") &amp;" to "&amp;TEXT(AP23,"mmm-yy")</f>
        <v>vs. Nov-15 to Oct-16</v>
      </c>
      <c r="AO10" s="30"/>
      <c r="AP10" s="46"/>
    </row>
    <row r="11" spans="1:42" ht="6.75" customHeight="1">
      <c r="A11" s="289"/>
      <c r="B11" s="289"/>
      <c r="C11" s="342"/>
      <c r="D11" s="289"/>
      <c r="E11" s="289"/>
      <c r="F11" s="289"/>
      <c r="G11" s="289"/>
      <c r="H11" s="289"/>
      <c r="I11" s="289"/>
      <c r="J11" s="289"/>
      <c r="K11" s="358"/>
      <c r="L11" s="359"/>
      <c r="M11" s="359"/>
      <c r="N11" s="360"/>
      <c r="O11" s="359"/>
      <c r="P11" s="359"/>
      <c r="Q11" s="359"/>
      <c r="R11" s="358"/>
      <c r="S11" s="358"/>
      <c r="T11" s="358"/>
      <c r="U11" s="358"/>
      <c r="V11" s="74"/>
    </row>
    <row r="12" spans="1:42" ht="9" hidden="1" customHeight="1">
      <c r="A12" s="289"/>
      <c r="B12" s="289"/>
      <c r="C12" s="289"/>
      <c r="D12" s="289"/>
      <c r="E12" s="289"/>
      <c r="F12" s="289"/>
      <c r="G12" s="289"/>
      <c r="H12" s="289"/>
      <c r="I12" s="289"/>
      <c r="J12" s="289"/>
      <c r="K12" s="289"/>
      <c r="L12" s="289"/>
      <c r="M12" s="289"/>
      <c r="N12" s="289"/>
      <c r="O12" s="289"/>
      <c r="P12" s="289"/>
      <c r="Q12" s="289"/>
      <c r="R12" s="289"/>
      <c r="S12" s="289"/>
      <c r="T12" s="289"/>
      <c r="U12" s="289"/>
      <c r="V12" s="57"/>
    </row>
    <row r="13" spans="1:42" ht="18.75" hidden="1" customHeight="1">
      <c r="A13" s="289"/>
      <c r="B13" s="289"/>
      <c r="C13" s="289"/>
      <c r="D13" s="289"/>
      <c r="E13" s="289"/>
      <c r="F13" s="289"/>
      <c r="G13" s="289"/>
      <c r="H13" s="289"/>
      <c r="I13" s="289"/>
      <c r="J13" s="289"/>
      <c r="K13" s="289"/>
      <c r="L13" s="289"/>
      <c r="M13" s="289"/>
      <c r="N13" s="289"/>
      <c r="O13" s="289"/>
      <c r="P13" s="289"/>
      <c r="Q13" s="289"/>
      <c r="R13" s="289"/>
      <c r="S13" s="289"/>
      <c r="T13" s="289"/>
      <c r="U13" s="289"/>
      <c r="V13" s="57"/>
    </row>
    <row r="14" spans="1:42" ht="18.75" hidden="1" customHeight="1">
      <c r="A14" s="289"/>
      <c r="B14" s="289"/>
      <c r="C14" s="289"/>
      <c r="D14" s="289"/>
      <c r="E14" s="289"/>
      <c r="F14" s="289"/>
      <c r="G14" s="289"/>
      <c r="H14" s="289"/>
      <c r="I14" s="289"/>
      <c r="J14" s="289"/>
      <c r="K14" s="289"/>
      <c r="L14" s="289"/>
      <c r="M14" s="289"/>
      <c r="N14" s="289"/>
      <c r="O14" s="289"/>
      <c r="P14" s="289"/>
      <c r="Q14" s="289"/>
      <c r="R14" s="289"/>
      <c r="S14" s="289"/>
      <c r="T14" s="289"/>
      <c r="U14" s="289"/>
      <c r="V14" s="57"/>
    </row>
    <row r="15" spans="1:42" ht="18.75" hidden="1" customHeight="1">
      <c r="A15" s="289"/>
      <c r="B15" s="289"/>
      <c r="C15" s="289"/>
      <c r="D15" s="289"/>
      <c r="E15" s="289"/>
      <c r="F15" s="289"/>
      <c r="G15" s="289"/>
      <c r="H15" s="289"/>
      <c r="I15" s="289"/>
      <c r="J15" s="289"/>
      <c r="K15" s="289"/>
      <c r="L15" s="289"/>
      <c r="M15" s="289"/>
      <c r="N15" s="289"/>
      <c r="O15" s="289"/>
      <c r="P15" s="289"/>
      <c r="Q15" s="289"/>
      <c r="R15" s="289"/>
      <c r="S15" s="289"/>
      <c r="T15" s="289"/>
      <c r="U15" s="289"/>
      <c r="V15" s="57"/>
    </row>
    <row r="16" spans="1:42" ht="18.75" hidden="1" customHeight="1">
      <c r="A16" s="289"/>
      <c r="B16" s="289"/>
      <c r="C16" s="289"/>
      <c r="D16" s="289"/>
      <c r="E16" s="289"/>
      <c r="F16" s="289"/>
      <c r="G16" s="289"/>
      <c r="H16" s="289"/>
      <c r="I16" s="289"/>
      <c r="J16" s="289"/>
      <c r="K16" s="289"/>
      <c r="L16" s="289"/>
      <c r="M16" s="289"/>
      <c r="N16" s="289"/>
      <c r="O16" s="289"/>
      <c r="P16" s="289"/>
      <c r="Q16" s="289"/>
      <c r="R16" s="289"/>
      <c r="S16" s="289"/>
      <c r="T16" s="289"/>
      <c r="U16" s="289"/>
      <c r="V16" s="57"/>
    </row>
    <row r="17" spans="1:46" ht="6.75" customHeight="1">
      <c r="A17" s="289"/>
      <c r="B17" s="289"/>
      <c r="C17" s="289"/>
      <c r="D17" s="289"/>
      <c r="E17" s="289"/>
      <c r="F17" s="289"/>
      <c r="G17" s="289"/>
      <c r="H17" s="289"/>
      <c r="I17" s="289"/>
      <c r="J17" s="289"/>
      <c r="K17" s="289"/>
      <c r="L17" s="289"/>
      <c r="M17" s="289"/>
      <c r="N17" s="289"/>
      <c r="O17" s="289"/>
      <c r="P17" s="289"/>
      <c r="Q17" s="289"/>
      <c r="R17" s="289"/>
      <c r="S17" s="289"/>
      <c r="T17" s="289"/>
      <c r="U17" s="289"/>
      <c r="V17" s="57"/>
    </row>
    <row r="18" spans="1:46" ht="4.5" hidden="1" customHeight="1">
      <c r="C18" s="57"/>
      <c r="D18" s="57"/>
      <c r="E18" s="57"/>
      <c r="F18" s="57"/>
      <c r="G18" s="57"/>
      <c r="H18" s="57"/>
      <c r="I18" s="57"/>
      <c r="J18" s="57"/>
      <c r="K18" s="57"/>
      <c r="L18" s="57"/>
      <c r="M18" s="57"/>
      <c r="N18" s="57"/>
      <c r="O18" s="57"/>
      <c r="P18" s="57"/>
      <c r="Q18" s="57"/>
      <c r="R18" s="57"/>
      <c r="S18" s="57"/>
      <c r="T18" s="57"/>
      <c r="U18" s="57"/>
      <c r="V18" s="57"/>
    </row>
    <row r="19" spans="1:46" ht="5.0999999999999996" customHeight="1">
      <c r="C19" s="66"/>
      <c r="D19" s="67"/>
      <c r="E19" s="68"/>
      <c r="F19" s="68"/>
      <c r="G19" s="68"/>
      <c r="H19" s="68"/>
      <c r="I19" s="68"/>
      <c r="J19" s="68"/>
      <c r="K19" s="68"/>
      <c r="L19" s="546"/>
      <c r="M19" s="69"/>
      <c r="N19" s="69"/>
      <c r="O19" s="69"/>
      <c r="P19" s="546"/>
      <c r="Q19" s="69"/>
      <c r="R19" s="70"/>
      <c r="S19" s="69"/>
      <c r="T19" s="70"/>
      <c r="U19" s="71"/>
      <c r="V19" s="72"/>
      <c r="W19" s="48" t="s">
        <v>521</v>
      </c>
      <c r="X19" s="48" t="s">
        <v>522</v>
      </c>
      <c r="Y19" s="33" t="s">
        <v>214</v>
      </c>
    </row>
    <row r="20" spans="1:46" ht="21.95" customHeight="1">
      <c r="A20" t="s">
        <v>55</v>
      </c>
      <c r="B20" t="s">
        <v>56</v>
      </c>
      <c r="C20" s="542"/>
      <c r="D20" s="979" t="s">
        <v>261</v>
      </c>
      <c r="E20" s="979" t="s">
        <v>256</v>
      </c>
      <c r="F20" s="979" t="s">
        <v>264</v>
      </c>
      <c r="G20" s="979" t="s">
        <v>257</v>
      </c>
      <c r="H20" s="979" t="s">
        <v>628</v>
      </c>
      <c r="I20" s="979" t="s">
        <v>263</v>
      </c>
      <c r="J20" s="979" t="s">
        <v>255</v>
      </c>
      <c r="K20" s="979" t="s">
        <v>98</v>
      </c>
      <c r="L20" s="1003"/>
      <c r="M20" s="979" t="s">
        <v>257</v>
      </c>
      <c r="N20" s="979" t="s">
        <v>265</v>
      </c>
      <c r="O20" s="1004" t="s">
        <v>396</v>
      </c>
      <c r="P20" s="1003"/>
      <c r="Q20" s="1004" t="s">
        <v>355</v>
      </c>
      <c r="R20" s="1004" t="s">
        <v>358</v>
      </c>
      <c r="S20" s="1004" t="s">
        <v>356</v>
      </c>
      <c r="T20" s="1004" t="s">
        <v>357</v>
      </c>
      <c r="U20" s="1004" t="s">
        <v>633</v>
      </c>
      <c r="V20" s="75"/>
      <c r="W20" s="48">
        <f>EOMONTH(W23,-13)+1</f>
        <v>42644</v>
      </c>
      <c r="X20" s="48">
        <f>IF(Y20&gt;W22,W22,Y20)</f>
        <v>43009</v>
      </c>
      <c r="Y20" s="48">
        <f>EOMONTH(W23,11)+1</f>
        <v>43374</v>
      </c>
      <c r="AB20" t="s">
        <v>123</v>
      </c>
      <c r="AL20" t="s">
        <v>67</v>
      </c>
      <c r="AP20" s="52">
        <f>AO21-AQ21</f>
        <v>44486.534849999967</v>
      </c>
      <c r="AQ20">
        <f>MIN(Z22:Z47)*0.8</f>
        <v>0</v>
      </c>
      <c r="AS20" t="s">
        <v>198</v>
      </c>
      <c r="AT20" t="s">
        <v>198</v>
      </c>
    </row>
    <row r="21" spans="1:46" ht="20.100000000000001" customHeight="1">
      <c r="A21">
        <f>IFERROR(SUMIFS('Bank Transfers'!H15:H514,'Bank Transfers'!E15:E514,"deposit")-E21,0)</f>
        <v>20000</v>
      </c>
      <c r="B21">
        <f>SUMIFS('Bank Transfers'!H15:H514,'Bank Transfers'!E15:E514,"Withdraw",'Bank Transfers'!D15:D514,"&gt;0")</f>
        <v>0</v>
      </c>
      <c r="C21" s="543"/>
      <c r="D21" s="367">
        <f>EOMONTH(W4,0)+1</f>
        <v>43040</v>
      </c>
      <c r="E21" s="831">
        <f>'Bank Transfers'!H15</f>
        <v>100000</v>
      </c>
      <c r="F21" s="831">
        <f>A21+B21</f>
        <v>20000</v>
      </c>
      <c r="G21" s="831">
        <f>SUMIFS(profitLoss,profitLoss,"&gt;0",dateLog,"&gt;0")</f>
        <v>51426.900049999982</v>
      </c>
      <c r="H21" s="803">
        <f>SUMIFS(profitLoss,profitLoss,"&lt;0",dateLog,"&gt;0")</f>
        <v>-12495.365200000015</v>
      </c>
      <c r="I21" s="831">
        <f>SUMIFS(Dividends!$G$15:$G$174,Dividends!$E$15:$E$174,"cash")</f>
        <v>5555</v>
      </c>
      <c r="J21" s="831">
        <f>SUM(E21:I21)-F21+B21+A21</f>
        <v>164486.53485</v>
      </c>
      <c r="K21" s="831">
        <f>SUM('Trade Log'!T15:T25905)</f>
        <v>10179.843649999999</v>
      </c>
      <c r="L21" s="547"/>
      <c r="M21" s="368">
        <f>G21+H21+I21</f>
        <v>44486.534849999967</v>
      </c>
      <c r="N21" s="551">
        <f>IFERROR(M21/(E21+F21),0)</f>
        <v>0.37072112374999971</v>
      </c>
      <c r="O21" s="552">
        <f>SUM('Trade Log'!AC15:AC25905)</f>
        <v>35.180676354668329</v>
      </c>
      <c r="P21" s="549"/>
      <c r="Q21" s="832">
        <f>AB21+AC21</f>
        <v>21</v>
      </c>
      <c r="R21" s="833">
        <f>'Stock Position'!BF8</f>
        <v>0.42857142857142855</v>
      </c>
      <c r="S21" s="833">
        <f>Dashboard!I38</f>
        <v>0.15476162265178506</v>
      </c>
      <c r="T21" s="808">
        <f>Dashboard!I39</f>
        <v>-2.5614718385150431E-2</v>
      </c>
      <c r="U21" s="821">
        <f>Dashboard!P17</f>
        <v>4.1156780315632489</v>
      </c>
      <c r="V21" s="79"/>
      <c r="W21" t="s">
        <v>33</v>
      </c>
      <c r="Y21" t="s">
        <v>33</v>
      </c>
      <c r="Z21">
        <f>SUM('Trade Log'!$K$15:$K$25947)</f>
        <v>1700251</v>
      </c>
      <c r="AA21" t="s">
        <v>35</v>
      </c>
      <c r="AB21">
        <f>'Trade Log'!AN3</f>
        <v>9</v>
      </c>
      <c r="AC21">
        <f>'Trade Log'!AN4</f>
        <v>12</v>
      </c>
      <c r="AE21" t="s">
        <v>36</v>
      </c>
      <c r="AG21" t="s">
        <v>37</v>
      </c>
      <c r="AH21" t="s">
        <v>38</v>
      </c>
      <c r="AI21" t="s">
        <v>39</v>
      </c>
      <c r="AO21" s="905">
        <f>SUM(AO23:AO34)</f>
        <v>44486.534849999967</v>
      </c>
      <c r="AP21" s="18" t="str">
        <f>IFERROR(IF(AQ21&gt;0,AP20/AQ21,-AP20/AQ21),"")</f>
        <v/>
      </c>
      <c r="AQ21">
        <f>SUM(AQ23:AQ34)</f>
        <v>0</v>
      </c>
      <c r="AS21" t="s">
        <v>197</v>
      </c>
      <c r="AT21" t="s">
        <v>199</v>
      </c>
    </row>
    <row r="22" spans="1:46" ht="21.95" hidden="1" customHeight="1">
      <c r="A22">
        <f>IF(D22="","",IF(D22='Bank Transfers'!$L$15,
AS22,
AS22))</f>
        <v>20000</v>
      </c>
      <c r="B22">
        <f t="shared" ref="B22:B45" si="0">IF(D22="","",AT22)</f>
        <v>0</v>
      </c>
      <c r="C22" s="544">
        <v>1</v>
      </c>
      <c r="D22" s="554">
        <f t="shared" ref="D22:D45" si="1">IF(W22&lt;$X$7,"",W22)</f>
        <v>43009</v>
      </c>
      <c r="E22" s="555">
        <f>IF(D22='Bank Transfers'!L15,'Bank Transfers'!H15,J22-M22-A22-B22)</f>
        <v>142474.50915</v>
      </c>
      <c r="F22" s="555">
        <f>IFERROR(IF(D22='Bank Transfers'!L15,A22+B22-E22,A22+B22),"")</f>
        <v>20000</v>
      </c>
      <c r="G22" s="555">
        <f>SUMIFS('Trade Log'!$Z$15:$Z$26022,'Trade Log'!$Z$15:$Z$26022,"&gt;0",'Trade Log'!$AM$15:$AM$26022,"="&amp;D22)</f>
        <v>0</v>
      </c>
      <c r="H22" s="804">
        <f>SUMIFS('Trade Log'!$Z$15:$Z$26022,'Trade Log'!$Z$15:$Z$26022,"&lt;0",'Trade Log'!$AM$15:$AM$26022,"="&amp;D22)</f>
        <v>-3542.9743000000017</v>
      </c>
      <c r="I22" s="826">
        <f>SUMIFS(Dividends!$G$15:$G$174,Dividends!$L$15:$L$174,D22,Dividends!$E$15:$E$174,"cash")</f>
        <v>5555</v>
      </c>
      <c r="J22" s="826">
        <f>J21</f>
        <v>164486.53485</v>
      </c>
      <c r="K22" s="827">
        <f>SUMIFS('Trade Log'!$T$15:$T$26022,'Trade Log'!$AM$15:$AM$26022,"="&amp;D22)</f>
        <v>1653.6408000000001</v>
      </c>
      <c r="L22" s="548"/>
      <c r="M22" s="556">
        <f t="shared" ref="M22:M47" si="2">IFERROR(G22+H22+I22,"")</f>
        <v>2012.0256999999983</v>
      </c>
      <c r="N22" s="557">
        <f>IFERROR(M22/IF(COUNT(W22)=0,(E22+A22),E22),"")</f>
        <v>1.4122004785303016E-2</v>
      </c>
      <c r="O22" s="558">
        <f>IFERROR(SUMIFS('Trade Log'!$AC$15:$AC$26022,'Trade Log'!$AM$15:$AM$26022,"="&amp;D22),"")</f>
        <v>-2.1898157768174853</v>
      </c>
      <c r="P22" s="550"/>
      <c r="Q22" s="813">
        <f t="shared" ref="Q22:Q26" si="3">IFERROR(AB22+AC22,"")</f>
        <v>3</v>
      </c>
      <c r="R22" s="814">
        <f t="shared" ref="R22:R47" si="4">IFERROR(AB22/(AB22+AC22),"")</f>
        <v>0</v>
      </c>
      <c r="S22" s="814">
        <f>IFERROR(((AVERAGEIFS('Trade Log'!$AT$15:$AT$26022,'Trade Log'!$AN$15:$AN$26022,2,'Trade Log'!$AM$15:$AM$26022,"="&amp;D22))),0)</f>
        <v>0</v>
      </c>
      <c r="T22" s="809">
        <f>IFERROR(((AVERAGEIFS('Trade Log'!$AT$15:$AT$26022,'Trade Log'!$AN$15:$AN$26022,1,'Trade Log'!$AM$15:$AM$26022,"="&amp;D22))),"")</f>
        <v>-2.5012945505531309E-2</v>
      </c>
      <c r="U22" s="822">
        <f t="shared" ref="U22" si="5">IF(D22="","",IF((AC22+AB22)=0,"",IFERROR((G22/AB22)/-(H22/AC22),0)))</f>
        <v>0</v>
      </c>
      <c r="V22" s="80"/>
      <c r="W22" s="10">
        <f>W4</f>
        <v>43009</v>
      </c>
      <c r="Y22" s="10">
        <f t="shared" ref="Y22:Y45" si="6">D22</f>
        <v>43009</v>
      </c>
      <c r="Z22">
        <f>SUMIFS('Trade Log'!$K$15:$K$25947,'Trade Log'!$AM$15:$AM$25947,"="&amp;D22)</f>
        <v>278304</v>
      </c>
      <c r="AA22" s="17">
        <f>AA23</f>
        <v>144486.53484999997</v>
      </c>
      <c r="AB22">
        <f>SUMIFS('Trade Log'!$AN$15:$AN$26022,'Trade Log'!$AN$15:$AN$26022,"=2",'Trade Log'!$AM$15:$AM$26022,"="&amp;D22)/2</f>
        <v>0</v>
      </c>
      <c r="AC22">
        <f>SUMIFS('Trade Log'!$AN$15:$AN$26022,'Trade Log'!$AN$15:$AN$26022,"=1",'Trade Log'!$AM$15:$AM$26022,"="&amp;D22)</f>
        <v>3</v>
      </c>
      <c r="AE22" s="50">
        <f>AE23</f>
        <v>164486.53485</v>
      </c>
      <c r="AG22">
        <f t="shared" ref="AG22:AG47" si="7">A22</f>
        <v>20000</v>
      </c>
      <c r="AH22">
        <f t="shared" ref="AH22:AH47" si="8">B22</f>
        <v>0</v>
      </c>
      <c r="AI22">
        <f t="shared" ref="AI22:AI47" si="9">I22</f>
        <v>5555</v>
      </c>
      <c r="AJ22">
        <f t="shared" ref="AJ22:AJ47" si="10">IFERROR(INDEX($Z$22:$Z$47,MATCH(W22,$Y$22:$Y$47,0)),0)</f>
        <v>278304</v>
      </c>
      <c r="AL22">
        <f t="shared" ref="AL22:AL47" si="11">IFERROR((J22-E22)/E22,"")</f>
        <v>0.15449799287832816</v>
      </c>
      <c r="AS22">
        <f>SUMIFS('Bank Transfers'!$H$15:$H$514,'Bank Transfers'!$L$15:$L$514,D22,'Bank Transfers'!$E$15:$E$514,"deposit")</f>
        <v>20000</v>
      </c>
      <c r="AT22">
        <f>SUMIFS('Bank Transfers'!$H$15:$H$514,'Bank Transfers'!$L$15:$L$514,D22,'Bank Transfers'!$E$15:$E$514,"withdraw")</f>
        <v>0</v>
      </c>
    </row>
    <row r="23" spans="1:46" ht="21.95" customHeight="1">
      <c r="A23">
        <f>IF(D23="","",IF(D23='Bank Transfers'!$L$15,
AS23-E23,
AS23))</f>
        <v>20000</v>
      </c>
      <c r="B23">
        <f t="shared" si="0"/>
        <v>0</v>
      </c>
      <c r="C23" s="553">
        <v>1</v>
      </c>
      <c r="D23" s="834">
        <f t="shared" si="1"/>
        <v>43009</v>
      </c>
      <c r="E23" s="828">
        <f>IF(D23="","",IF(D23='Bank Transfers'!$L$15,'Bank Transfers'!$H$15,J24))</f>
        <v>142474.50915</v>
      </c>
      <c r="F23" s="828">
        <f t="shared" ref="F23:F47" si="12">IFERROR(A23+B23,"")</f>
        <v>20000</v>
      </c>
      <c r="G23" s="828">
        <f t="shared" ref="G23:G47" si="13">SUMIFS(profitLoss,profitLoss,"&gt;0",dateCode,"="&amp;D23)</f>
        <v>0</v>
      </c>
      <c r="H23" s="805">
        <f t="shared" ref="H23:H47" si="14">SUMIFS(profitLoss,profitLoss,"&lt;0",dateCode,"="&amp;D23)</f>
        <v>-3542.9743000000017</v>
      </c>
      <c r="I23" s="828">
        <f>SUMIFS(Dividends!$G$15:$G$174,Dividends!$L$15:$L$174,D23,Dividends!$E$15:$E$174,"cash")</f>
        <v>5555</v>
      </c>
      <c r="J23" s="828">
        <f t="shared" ref="J23:J47" si="15">IFERROR(IF(D23="","",SUM(E23:I23)+B23+A23)-F23,"")</f>
        <v>164486.53485</v>
      </c>
      <c r="K23" s="828">
        <f>SUMIFS('Trade Log'!$T$15:$T$20100,dateCode,"="&amp;D23)</f>
        <v>1653.6408000000001</v>
      </c>
      <c r="L23" s="568"/>
      <c r="M23" s="559">
        <f t="shared" si="2"/>
        <v>2012.0256999999983</v>
      </c>
      <c r="N23" s="560">
        <f t="shared" ref="N23:N47" si="16">IFERROR(M23/E23,"")</f>
        <v>1.4122004785303016E-2</v>
      </c>
      <c r="O23" s="561">
        <f>IFERROR(SUMIFS('Trade Log'!$AC$15:$AC$20100,dateCode,"="&amp;D23),"")</f>
        <v>-2.1898157768174853</v>
      </c>
      <c r="P23" s="571"/>
      <c r="Q23" s="815">
        <f t="shared" si="3"/>
        <v>3</v>
      </c>
      <c r="R23" s="816">
        <f t="shared" si="4"/>
        <v>0</v>
      </c>
      <c r="S23" s="816">
        <f t="shared" ref="S23:S47" si="17">IFERROR(((AVERAGEIFS(profitPercent,stats,2,dateCode,"="&amp;D23))),0)</f>
        <v>0</v>
      </c>
      <c r="T23" s="810">
        <f t="shared" ref="T23:T47" si="18">IFERROR(((AVERAGEIFS(profitPercent,stats,1,dateCode,"="&amp;D23))),"")</f>
        <v>-2.5012945505531309E-2</v>
      </c>
      <c r="U23" s="823" t="str">
        <f>IF(D23="","",IF((AC23+AB23)=0,"",IFERROR(((G23/AB23)*R23)/-((H23/AC23)*(1-R23)),"NA")))</f>
        <v>NA</v>
      </c>
      <c r="V23" s="80"/>
      <c r="W23" s="47">
        <v>43009</v>
      </c>
      <c r="Y23" s="10">
        <f t="shared" si="6"/>
        <v>43009</v>
      </c>
      <c r="Z23">
        <f>SUMIFS('Trade Log'!$K$15:$K$20100,dateCode,"="&amp;D23)</f>
        <v>278304</v>
      </c>
      <c r="AA23" s="17">
        <f>SUM(M23:$M$48)+$E$21</f>
        <v>144486.53484999997</v>
      </c>
      <c r="AB23">
        <f t="shared" ref="AB23:AB47" si="19">SUMIFS(stats,stats,"=2",dateCode,"="&amp;D23)/2</f>
        <v>0</v>
      </c>
      <c r="AC23">
        <f t="shared" ref="AC23:AC47" si="20">SUMIFS(stats,stats,"=1",dateCode,"="&amp;D23)</f>
        <v>3</v>
      </c>
      <c r="AE23" s="17">
        <f t="shared" ref="AE23:AE47" si="21">IFERROR(INDEX($J$22:$J$47,MATCH(W23,$Y$22:$Y$47,0)),0)</f>
        <v>164486.53485</v>
      </c>
      <c r="AG23">
        <f t="shared" si="7"/>
        <v>20000</v>
      </c>
      <c r="AH23">
        <f t="shared" si="8"/>
        <v>0</v>
      </c>
      <c r="AI23">
        <f t="shared" si="9"/>
        <v>5555</v>
      </c>
      <c r="AJ23">
        <f t="shared" si="10"/>
        <v>278304</v>
      </c>
      <c r="AL23">
        <f t="shared" si="11"/>
        <v>0.15449799287832816</v>
      </c>
      <c r="AN23" s="10">
        <f t="shared" ref="AN23:AN34" si="22">W23</f>
        <v>43009</v>
      </c>
      <c r="AO23" s="17">
        <f t="shared" ref="AO23:AO34" si="23">M23</f>
        <v>2012.0256999999983</v>
      </c>
      <c r="AP23" s="10">
        <f>DATE(YEAR(AN23)-1,MONTH(AN23),DAY(AN23))</f>
        <v>42644</v>
      </c>
      <c r="AQ23">
        <f t="shared" ref="AQ23:AQ34" si="24">M35</f>
        <v>0</v>
      </c>
      <c r="AS23">
        <f>SUMIFS('Bank Transfers'!$H$15:$H$514,'Bank Transfers'!$L$15:$L$514,D23,'Bank Transfers'!$E$15:$E$514,"deposit")</f>
        <v>20000</v>
      </c>
      <c r="AT23">
        <f>SUMIFS('Bank Transfers'!$H$15:$H$514,'Bank Transfers'!$L$15:$L$514,D23,'Bank Transfers'!$E$15:$E$514,"withdraw")</f>
        <v>0</v>
      </c>
    </row>
    <row r="24" spans="1:46" ht="21.95" customHeight="1">
      <c r="A24">
        <f>IF(D24="","",IF(D24='Bank Transfers'!$L$15,
AS24-E24,
AS24))</f>
        <v>0</v>
      </c>
      <c r="B24">
        <f t="shared" si="0"/>
        <v>0</v>
      </c>
      <c r="C24" s="553">
        <f t="shared" ref="C24:C47" si="25">C23+1</f>
        <v>2</v>
      </c>
      <c r="D24" s="835">
        <f t="shared" si="1"/>
        <v>42979</v>
      </c>
      <c r="E24" s="829">
        <f>IF(D24="","",IF(D24='Bank Transfers'!$L$15,'Bank Transfers'!$H$15,J25))</f>
        <v>100000</v>
      </c>
      <c r="F24" s="829">
        <f t="shared" si="12"/>
        <v>0</v>
      </c>
      <c r="G24" s="829">
        <f t="shared" si="13"/>
        <v>51426.900049999982</v>
      </c>
      <c r="H24" s="806">
        <f t="shared" si="14"/>
        <v>-8952.3909000000131</v>
      </c>
      <c r="I24" s="829">
        <f>SUMIFS(Dividends!$G$15:$G$174,Dividends!$L$15:$L$174,D24,Dividends!$E$15:$E$174,"cash")</f>
        <v>0</v>
      </c>
      <c r="J24" s="829">
        <f t="shared" si="15"/>
        <v>142474.50915</v>
      </c>
      <c r="K24" s="829">
        <f>SUMIFS('Trade Log'!$T$15:$T$20100,dateCode,"="&amp;D24)</f>
        <v>8526.2028499999997</v>
      </c>
      <c r="L24" s="568"/>
      <c r="M24" s="562">
        <f t="shared" si="2"/>
        <v>42474.509149999969</v>
      </c>
      <c r="N24" s="563">
        <f t="shared" si="16"/>
        <v>0.42474509149999967</v>
      </c>
      <c r="O24" s="564">
        <f>IFERROR(SUMIFS('Trade Log'!$AC$15:$AC$20100,dateCode,"="&amp;D24),"")</f>
        <v>37.370492131485818</v>
      </c>
      <c r="P24" s="571"/>
      <c r="Q24" s="817">
        <f t="shared" si="3"/>
        <v>18</v>
      </c>
      <c r="R24" s="818">
        <f t="shared" si="4"/>
        <v>0.5</v>
      </c>
      <c r="S24" s="818">
        <f t="shared" si="17"/>
        <v>0.15476162265178506</v>
      </c>
      <c r="T24" s="811">
        <f t="shared" si="18"/>
        <v>-2.581530934502347E-2</v>
      </c>
      <c r="U24" s="824">
        <f t="shared" ref="U24:U47" si="26">IF(D24="","",IF((AC24+AB24)=0,"",IFERROR(((G24/AB24)*R24)/-((H24/AC24)*(1-R24)),"NA")))</f>
        <v>5.7444877714175666</v>
      </c>
      <c r="V24" s="80"/>
      <c r="W24" s="10">
        <f t="shared" ref="W24:W47" si="27">EOMONTH(W23,-2)+1</f>
        <v>42979</v>
      </c>
      <c r="Y24" s="10">
        <f t="shared" si="6"/>
        <v>42979</v>
      </c>
      <c r="Z24">
        <f>SUMIFS('Trade Log'!$K$15:$K$20100,dateCode,"="&amp;D24)</f>
        <v>1421947</v>
      </c>
      <c r="AA24" s="17">
        <f>SUM(M24:$M$48)+$E$21</f>
        <v>142474.50914999997</v>
      </c>
      <c r="AB24">
        <f t="shared" si="19"/>
        <v>9</v>
      </c>
      <c r="AC24">
        <f t="shared" si="20"/>
        <v>9</v>
      </c>
      <c r="AE24" s="17">
        <f t="shared" si="21"/>
        <v>142474.50915</v>
      </c>
      <c r="AG24">
        <f t="shared" si="7"/>
        <v>0</v>
      </c>
      <c r="AH24">
        <f t="shared" si="8"/>
        <v>0</v>
      </c>
      <c r="AI24">
        <f t="shared" si="9"/>
        <v>0</v>
      </c>
      <c r="AJ24">
        <f t="shared" si="10"/>
        <v>1421947</v>
      </c>
      <c r="AL24">
        <f t="shared" si="11"/>
        <v>0.4247450915</v>
      </c>
      <c r="AN24" s="10">
        <f t="shared" si="22"/>
        <v>42979</v>
      </c>
      <c r="AO24" s="17">
        <f t="shared" si="23"/>
        <v>42474.509149999969</v>
      </c>
      <c r="AP24" s="10">
        <f t="shared" ref="AP24:AP34" si="28">DATE(YEAR(AN24)-1,MONTH(AN24),DAY(AN24))</f>
        <v>42614</v>
      </c>
      <c r="AQ24">
        <f t="shared" si="24"/>
        <v>0</v>
      </c>
      <c r="AS24">
        <f>SUMIFS('Bank Transfers'!$H$15:$H$514,'Bank Transfers'!$L$15:$L$514,D24,'Bank Transfers'!$E$15:$E$514,"deposit")</f>
        <v>100000</v>
      </c>
      <c r="AT24">
        <f>SUMIFS('Bank Transfers'!$H$15:$H$514,'Bank Transfers'!$L$15:$L$514,D24,'Bank Transfers'!$E$15:$E$514,"withdraw")</f>
        <v>0</v>
      </c>
    </row>
    <row r="25" spans="1:46" ht="21.95" customHeight="1">
      <c r="A25" t="str">
        <f>IF(D25="","",IF(D25='Bank Transfers'!$L$15,
AS25-E25,
AS25))</f>
        <v/>
      </c>
      <c r="B25" t="str">
        <f t="shared" si="0"/>
        <v/>
      </c>
      <c r="C25" s="553">
        <f t="shared" si="25"/>
        <v>3</v>
      </c>
      <c r="D25" s="835" t="str">
        <f t="shared" si="1"/>
        <v/>
      </c>
      <c r="E25" s="829" t="str">
        <f>IF(D25="","",IF(D25='Bank Transfers'!$L$15,'Bank Transfers'!$H$15,J26))</f>
        <v/>
      </c>
      <c r="F25" s="829" t="str">
        <f t="shared" si="12"/>
        <v/>
      </c>
      <c r="G25" s="829">
        <f t="shared" si="13"/>
        <v>0</v>
      </c>
      <c r="H25" s="806">
        <f t="shared" si="14"/>
        <v>0</v>
      </c>
      <c r="I25" s="829">
        <f>SUMIFS(Dividends!$G$15:$G$174,Dividends!$L$15:$L$174,D25,Dividends!$E$15:$E$174,"cash")</f>
        <v>0</v>
      </c>
      <c r="J25" s="829" t="str">
        <f t="shared" si="15"/>
        <v/>
      </c>
      <c r="K25" s="829">
        <f>SUMIFS('Trade Log'!$T$15:$T$20100,dateCode,"="&amp;D25)</f>
        <v>0</v>
      </c>
      <c r="L25" s="568"/>
      <c r="M25" s="562">
        <f t="shared" si="2"/>
        <v>0</v>
      </c>
      <c r="N25" s="563" t="str">
        <f t="shared" si="16"/>
        <v/>
      </c>
      <c r="O25" s="564">
        <f>IFERROR(SUMIFS('Trade Log'!$AC$15:$AC$20100,dateCode,"="&amp;D25),"")</f>
        <v>0</v>
      </c>
      <c r="P25" s="571"/>
      <c r="Q25" s="817">
        <f t="shared" si="3"/>
        <v>0</v>
      </c>
      <c r="R25" s="818" t="str">
        <f t="shared" si="4"/>
        <v/>
      </c>
      <c r="S25" s="818">
        <f t="shared" si="17"/>
        <v>0</v>
      </c>
      <c r="T25" s="811" t="str">
        <f t="shared" si="18"/>
        <v/>
      </c>
      <c r="U25" s="824" t="str">
        <f t="shared" si="26"/>
        <v/>
      </c>
      <c r="V25" s="80"/>
      <c r="W25" s="10">
        <f t="shared" si="27"/>
        <v>42948</v>
      </c>
      <c r="Y25" s="10" t="str">
        <f t="shared" si="6"/>
        <v/>
      </c>
      <c r="Z25">
        <f>SUMIFS('Trade Log'!$K$15:$K$20100,dateCode,"="&amp;D25)</f>
        <v>0</v>
      </c>
      <c r="AA25" s="17">
        <f>SUM(M25:$M$48)+$E$21</f>
        <v>100000</v>
      </c>
      <c r="AB25">
        <f t="shared" si="19"/>
        <v>0</v>
      </c>
      <c r="AC25">
        <f t="shared" si="20"/>
        <v>0</v>
      </c>
      <c r="AE25" s="17">
        <f t="shared" si="21"/>
        <v>0</v>
      </c>
      <c r="AG25" t="str">
        <f t="shared" si="7"/>
        <v/>
      </c>
      <c r="AH25" t="str">
        <f t="shared" si="8"/>
        <v/>
      </c>
      <c r="AI25">
        <f t="shared" si="9"/>
        <v>0</v>
      </c>
      <c r="AJ25">
        <f t="shared" si="10"/>
        <v>0</v>
      </c>
      <c r="AL25" t="str">
        <f t="shared" si="11"/>
        <v/>
      </c>
      <c r="AN25" s="10">
        <f t="shared" si="22"/>
        <v>42948</v>
      </c>
      <c r="AO25" s="17">
        <f t="shared" si="23"/>
        <v>0</v>
      </c>
      <c r="AP25" s="10">
        <f t="shared" si="28"/>
        <v>42583</v>
      </c>
      <c r="AQ25">
        <f t="shared" si="24"/>
        <v>0</v>
      </c>
      <c r="AS25">
        <f>SUMIFS('Bank Transfers'!$H$15:$H$514,'Bank Transfers'!$L$15:$L$514,D25,'Bank Transfers'!$E$15:$E$514,"deposit")</f>
        <v>0</v>
      </c>
      <c r="AT25">
        <f>SUMIFS('Bank Transfers'!$H$15:$H$514,'Bank Transfers'!$L$15:$L$514,D25,'Bank Transfers'!$E$15:$E$514,"withdraw")</f>
        <v>0</v>
      </c>
    </row>
    <row r="26" spans="1:46" ht="21.95" customHeight="1">
      <c r="A26" t="str">
        <f>IF(D26="","",IF(D26='Bank Transfers'!$L$15,
AS26-E26,
AS26))</f>
        <v/>
      </c>
      <c r="B26" t="str">
        <f t="shared" si="0"/>
        <v/>
      </c>
      <c r="C26" s="553">
        <f t="shared" si="25"/>
        <v>4</v>
      </c>
      <c r="D26" s="835" t="str">
        <f t="shared" si="1"/>
        <v/>
      </c>
      <c r="E26" s="829" t="str">
        <f>IF(D26="","",IF(D26='Bank Transfers'!$L$15,'Bank Transfers'!$H$15,J27))</f>
        <v/>
      </c>
      <c r="F26" s="829" t="str">
        <f t="shared" si="12"/>
        <v/>
      </c>
      <c r="G26" s="829">
        <f t="shared" si="13"/>
        <v>0</v>
      </c>
      <c r="H26" s="806">
        <f t="shared" si="14"/>
        <v>0</v>
      </c>
      <c r="I26" s="829">
        <f>SUMIFS(Dividends!$G$15:$G$174,Dividends!$L$15:$L$174,D26,Dividends!$E$15:$E$174,"cash")</f>
        <v>0</v>
      </c>
      <c r="J26" s="829" t="str">
        <f>IFERROR(IF(D26="","",SUM(E26:I26)+B26+A26)-F26,"")</f>
        <v/>
      </c>
      <c r="K26" s="829">
        <f>SUMIFS('Trade Log'!$T$15:$T$20100,dateCode,"="&amp;D26)</f>
        <v>0</v>
      </c>
      <c r="L26" s="568"/>
      <c r="M26" s="562">
        <f t="shared" si="2"/>
        <v>0</v>
      </c>
      <c r="N26" s="563" t="str">
        <f t="shared" si="16"/>
        <v/>
      </c>
      <c r="O26" s="564">
        <f>IFERROR(SUMIFS('Trade Log'!$AC$15:$AC$20100,dateCode,"="&amp;D26),"")</f>
        <v>0</v>
      </c>
      <c r="P26" s="571"/>
      <c r="Q26" s="817">
        <f t="shared" si="3"/>
        <v>0</v>
      </c>
      <c r="R26" s="818" t="str">
        <f t="shared" si="4"/>
        <v/>
      </c>
      <c r="S26" s="818">
        <f t="shared" si="17"/>
        <v>0</v>
      </c>
      <c r="T26" s="811" t="str">
        <f t="shared" si="18"/>
        <v/>
      </c>
      <c r="U26" s="824" t="str">
        <f t="shared" si="26"/>
        <v/>
      </c>
      <c r="V26" s="80"/>
      <c r="W26" s="10">
        <f t="shared" si="27"/>
        <v>42917</v>
      </c>
      <c r="Y26" s="10" t="str">
        <f t="shared" si="6"/>
        <v/>
      </c>
      <c r="Z26">
        <f>SUMIFS('Trade Log'!$K$15:$K$20100,dateCode,"="&amp;D26)</f>
        <v>0</v>
      </c>
      <c r="AA26" s="17">
        <f>SUM(M26:$M$48)+$E$21</f>
        <v>100000</v>
      </c>
      <c r="AB26">
        <f t="shared" si="19"/>
        <v>0</v>
      </c>
      <c r="AC26">
        <f t="shared" si="20"/>
        <v>0</v>
      </c>
      <c r="AE26" s="17">
        <f t="shared" si="21"/>
        <v>0</v>
      </c>
      <c r="AG26" t="str">
        <f t="shared" si="7"/>
        <v/>
      </c>
      <c r="AH26" t="str">
        <f t="shared" si="8"/>
        <v/>
      </c>
      <c r="AI26">
        <f t="shared" si="9"/>
        <v>0</v>
      </c>
      <c r="AJ26">
        <f t="shared" si="10"/>
        <v>0</v>
      </c>
      <c r="AL26" t="str">
        <f t="shared" si="11"/>
        <v/>
      </c>
      <c r="AN26" s="10">
        <f t="shared" si="22"/>
        <v>42917</v>
      </c>
      <c r="AO26" s="17">
        <f t="shared" si="23"/>
        <v>0</v>
      </c>
      <c r="AP26" s="10">
        <f t="shared" si="28"/>
        <v>42552</v>
      </c>
      <c r="AQ26">
        <f t="shared" si="24"/>
        <v>0</v>
      </c>
      <c r="AS26">
        <f>SUMIFS('Bank Transfers'!$H$15:$H$514,'Bank Transfers'!$L$15:$L$514,D26,'Bank Transfers'!$E$15:$E$514,"deposit")</f>
        <v>0</v>
      </c>
      <c r="AT26">
        <f>SUMIFS('Bank Transfers'!$H$15:$H$514,'Bank Transfers'!$L$15:$L$514,D26,'Bank Transfers'!$E$15:$E$514,"withdraw")</f>
        <v>0</v>
      </c>
    </row>
    <row r="27" spans="1:46" ht="21.95" customHeight="1">
      <c r="A27" t="str">
        <f>IF(D27="","",IF(D27='Bank Transfers'!$L$15,
AS27-E27,
AS27))</f>
        <v/>
      </c>
      <c r="B27" t="str">
        <f t="shared" si="0"/>
        <v/>
      </c>
      <c r="C27" s="553">
        <f t="shared" si="25"/>
        <v>5</v>
      </c>
      <c r="D27" s="835" t="str">
        <f t="shared" si="1"/>
        <v/>
      </c>
      <c r="E27" s="829" t="str">
        <f>IF(D27="","",IF(D27='Bank Transfers'!$L$15,'Bank Transfers'!$H$15,J28))</f>
        <v/>
      </c>
      <c r="F27" s="829" t="str">
        <f t="shared" si="12"/>
        <v/>
      </c>
      <c r="G27" s="829">
        <f t="shared" si="13"/>
        <v>0</v>
      </c>
      <c r="H27" s="806">
        <f t="shared" si="14"/>
        <v>0</v>
      </c>
      <c r="I27" s="829">
        <f>SUMIFS(Dividends!$G$15:$G$174,Dividends!$L$15:$L$174,D27,Dividends!$E$15:$E$174,"cash")</f>
        <v>0</v>
      </c>
      <c r="J27" s="829" t="str">
        <f t="shared" si="15"/>
        <v/>
      </c>
      <c r="K27" s="829">
        <f>SUMIFS('Trade Log'!$T$15:$T$20100,dateCode,"="&amp;D27)</f>
        <v>0</v>
      </c>
      <c r="L27" s="568"/>
      <c r="M27" s="562">
        <f t="shared" si="2"/>
        <v>0</v>
      </c>
      <c r="N27" s="563" t="str">
        <f t="shared" si="16"/>
        <v/>
      </c>
      <c r="O27" s="564">
        <f>IFERROR(SUMIFS('Trade Log'!$AC$15:$AC$20100,dateCode,"="&amp;D27),"")</f>
        <v>0</v>
      </c>
      <c r="P27" s="571"/>
      <c r="Q27" s="817">
        <f>IFERROR(AB27+AC27,"")</f>
        <v>0</v>
      </c>
      <c r="R27" s="818" t="str">
        <f t="shared" si="4"/>
        <v/>
      </c>
      <c r="S27" s="818">
        <f t="shared" si="17"/>
        <v>0</v>
      </c>
      <c r="T27" s="811" t="str">
        <f t="shared" si="18"/>
        <v/>
      </c>
      <c r="U27" s="824" t="str">
        <f t="shared" si="26"/>
        <v/>
      </c>
      <c r="V27" s="80"/>
      <c r="W27" s="10">
        <f t="shared" si="27"/>
        <v>42887</v>
      </c>
      <c r="Y27" s="10" t="str">
        <f t="shared" si="6"/>
        <v/>
      </c>
      <c r="Z27">
        <f>SUMIFS('Trade Log'!$K$15:$K$20100,dateCode,"="&amp;D27)</f>
        <v>0</v>
      </c>
      <c r="AA27" s="17">
        <f>SUM(M27:$M$48)+$E$21</f>
        <v>100000</v>
      </c>
      <c r="AB27">
        <f t="shared" si="19"/>
        <v>0</v>
      </c>
      <c r="AC27">
        <f t="shared" si="20"/>
        <v>0</v>
      </c>
      <c r="AE27" s="17">
        <f t="shared" si="21"/>
        <v>0</v>
      </c>
      <c r="AG27" t="str">
        <f t="shared" si="7"/>
        <v/>
      </c>
      <c r="AH27" t="str">
        <f t="shared" si="8"/>
        <v/>
      </c>
      <c r="AI27">
        <f t="shared" si="9"/>
        <v>0</v>
      </c>
      <c r="AJ27">
        <f t="shared" si="10"/>
        <v>0</v>
      </c>
      <c r="AL27" t="str">
        <f t="shared" si="11"/>
        <v/>
      </c>
      <c r="AN27" s="10">
        <f t="shared" si="22"/>
        <v>42887</v>
      </c>
      <c r="AO27" s="17">
        <f t="shared" si="23"/>
        <v>0</v>
      </c>
      <c r="AP27" s="10">
        <f t="shared" si="28"/>
        <v>42522</v>
      </c>
      <c r="AQ27">
        <f t="shared" si="24"/>
        <v>0</v>
      </c>
      <c r="AS27">
        <f>SUMIFS('Bank Transfers'!$H$15:$H$514,'Bank Transfers'!$L$15:$L$514,D27,'Bank Transfers'!$E$15:$E$514,"deposit")</f>
        <v>0</v>
      </c>
      <c r="AT27">
        <f>SUMIFS('Bank Transfers'!$H$15:$H$514,'Bank Transfers'!$L$15:$L$514,D27,'Bank Transfers'!$E$15:$E$514,"withdraw")</f>
        <v>0</v>
      </c>
    </row>
    <row r="28" spans="1:46" ht="21.95" customHeight="1">
      <c r="A28" t="str">
        <f>IF(D28="","",IF(D28='Bank Transfers'!$L$15,
AS28-E28,
AS28))</f>
        <v/>
      </c>
      <c r="B28" t="str">
        <f t="shared" si="0"/>
        <v/>
      </c>
      <c r="C28" s="553">
        <f t="shared" si="25"/>
        <v>6</v>
      </c>
      <c r="D28" s="835" t="str">
        <f t="shared" si="1"/>
        <v/>
      </c>
      <c r="E28" s="829" t="str">
        <f>IF(D28="","",IF(D28='Bank Transfers'!$L$15,'Bank Transfers'!$H$15,J29))</f>
        <v/>
      </c>
      <c r="F28" s="829" t="str">
        <f t="shared" si="12"/>
        <v/>
      </c>
      <c r="G28" s="829">
        <f t="shared" si="13"/>
        <v>0</v>
      </c>
      <c r="H28" s="806">
        <f t="shared" si="14"/>
        <v>0</v>
      </c>
      <c r="I28" s="829">
        <f>SUMIFS(Dividends!$G$15:$G$174,Dividends!$L$15:$L$174,D28,Dividends!$E$15:$E$174,"cash")</f>
        <v>0</v>
      </c>
      <c r="J28" s="829" t="str">
        <f t="shared" si="15"/>
        <v/>
      </c>
      <c r="K28" s="829">
        <f>SUMIFS('Trade Log'!$T$15:$T$20100,dateCode,"="&amp;D28)</f>
        <v>0</v>
      </c>
      <c r="L28" s="568"/>
      <c r="M28" s="562">
        <f t="shared" si="2"/>
        <v>0</v>
      </c>
      <c r="N28" s="563" t="str">
        <f t="shared" si="16"/>
        <v/>
      </c>
      <c r="O28" s="564">
        <f>IFERROR(SUMIFS('Trade Log'!$AC$15:$AC$20100,dateCode,"="&amp;D28),"")</f>
        <v>0</v>
      </c>
      <c r="P28" s="571"/>
      <c r="Q28" s="817">
        <f t="shared" ref="Q28:Q47" si="29">IFERROR(AB28+AC28,"")</f>
        <v>0</v>
      </c>
      <c r="R28" s="818" t="str">
        <f t="shared" si="4"/>
        <v/>
      </c>
      <c r="S28" s="818">
        <f t="shared" si="17"/>
        <v>0</v>
      </c>
      <c r="T28" s="811" t="str">
        <f t="shared" si="18"/>
        <v/>
      </c>
      <c r="U28" s="824" t="str">
        <f t="shared" si="26"/>
        <v/>
      </c>
      <c r="V28" s="80"/>
      <c r="W28" s="10">
        <f t="shared" si="27"/>
        <v>42856</v>
      </c>
      <c r="Y28" s="10" t="str">
        <f t="shared" si="6"/>
        <v/>
      </c>
      <c r="Z28">
        <f>SUMIFS('Trade Log'!$K$15:$K$20100,dateCode,"="&amp;D28)</f>
        <v>0</v>
      </c>
      <c r="AA28" s="17">
        <f>SUM(M28:$M$48)+$E$21</f>
        <v>100000</v>
      </c>
      <c r="AB28">
        <f t="shared" si="19"/>
        <v>0</v>
      </c>
      <c r="AC28">
        <f t="shared" si="20"/>
        <v>0</v>
      </c>
      <c r="AE28" s="17">
        <f t="shared" si="21"/>
        <v>0</v>
      </c>
      <c r="AG28" t="str">
        <f t="shared" si="7"/>
        <v/>
      </c>
      <c r="AH28" t="str">
        <f t="shared" si="8"/>
        <v/>
      </c>
      <c r="AI28">
        <f t="shared" si="9"/>
        <v>0</v>
      </c>
      <c r="AJ28">
        <f t="shared" si="10"/>
        <v>0</v>
      </c>
      <c r="AL28" t="str">
        <f t="shared" si="11"/>
        <v/>
      </c>
      <c r="AN28" s="10">
        <f t="shared" si="22"/>
        <v>42856</v>
      </c>
      <c r="AO28" s="17">
        <f t="shared" si="23"/>
        <v>0</v>
      </c>
      <c r="AP28" s="10">
        <f t="shared" si="28"/>
        <v>42491</v>
      </c>
      <c r="AQ28">
        <f t="shared" si="24"/>
        <v>0</v>
      </c>
      <c r="AS28">
        <f>SUMIFS('Bank Transfers'!$H$15:$H$514,'Bank Transfers'!$L$15:$L$514,D28,'Bank Transfers'!$E$15:$E$514,"deposit")</f>
        <v>0</v>
      </c>
      <c r="AT28">
        <f>SUMIFS('Bank Transfers'!$H$15:$H$514,'Bank Transfers'!$L$15:$L$514,D28,'Bank Transfers'!$E$15:$E$514,"withdraw")</f>
        <v>0</v>
      </c>
    </row>
    <row r="29" spans="1:46" ht="21.95" customHeight="1">
      <c r="A29" t="str">
        <f>IF(D29="","",IF(D29='Bank Transfers'!$L$15,
AS29-E29,
AS29))</f>
        <v/>
      </c>
      <c r="B29" t="str">
        <f t="shared" si="0"/>
        <v/>
      </c>
      <c r="C29" s="553">
        <f t="shared" si="25"/>
        <v>7</v>
      </c>
      <c r="D29" s="835" t="str">
        <f t="shared" si="1"/>
        <v/>
      </c>
      <c r="E29" s="829" t="str">
        <f>IF(D29="","",IF(D29='Bank Transfers'!$L$15,'Bank Transfers'!$H$15,J30))</f>
        <v/>
      </c>
      <c r="F29" s="829" t="str">
        <f t="shared" si="12"/>
        <v/>
      </c>
      <c r="G29" s="829">
        <f t="shared" si="13"/>
        <v>0</v>
      </c>
      <c r="H29" s="806">
        <f t="shared" si="14"/>
        <v>0</v>
      </c>
      <c r="I29" s="829">
        <f>SUMIFS(Dividends!$G$15:$G$174,Dividends!$L$15:$L$174,D29,Dividends!$E$15:$E$174,"cash")</f>
        <v>0</v>
      </c>
      <c r="J29" s="829" t="str">
        <f t="shared" si="15"/>
        <v/>
      </c>
      <c r="K29" s="829">
        <f>SUMIFS('Trade Log'!$T$15:$T$20100,dateCode,"="&amp;D29)</f>
        <v>0</v>
      </c>
      <c r="L29" s="568"/>
      <c r="M29" s="562">
        <f t="shared" si="2"/>
        <v>0</v>
      </c>
      <c r="N29" s="563" t="str">
        <f t="shared" si="16"/>
        <v/>
      </c>
      <c r="O29" s="564">
        <f>IFERROR(SUMIFS('Trade Log'!$AC$15:$AC$20100,dateCode,"="&amp;D29),"")</f>
        <v>0</v>
      </c>
      <c r="P29" s="571"/>
      <c r="Q29" s="817">
        <f t="shared" si="29"/>
        <v>0</v>
      </c>
      <c r="R29" s="818" t="str">
        <f t="shared" si="4"/>
        <v/>
      </c>
      <c r="S29" s="818">
        <f t="shared" si="17"/>
        <v>0</v>
      </c>
      <c r="T29" s="811" t="str">
        <f t="shared" si="18"/>
        <v/>
      </c>
      <c r="U29" s="824" t="str">
        <f t="shared" si="26"/>
        <v/>
      </c>
      <c r="V29" s="80"/>
      <c r="W29" s="10">
        <f t="shared" si="27"/>
        <v>42826</v>
      </c>
      <c r="Y29" s="10" t="str">
        <f t="shared" si="6"/>
        <v/>
      </c>
      <c r="Z29">
        <f>SUMIFS('Trade Log'!$K$15:$K$20100,dateCode,"="&amp;D29)</f>
        <v>0</v>
      </c>
      <c r="AA29" s="17">
        <f>SUM(M29:$M$48)+$E$21</f>
        <v>100000</v>
      </c>
      <c r="AB29">
        <f t="shared" si="19"/>
        <v>0</v>
      </c>
      <c r="AC29">
        <f t="shared" si="20"/>
        <v>0</v>
      </c>
      <c r="AE29" s="17">
        <f t="shared" si="21"/>
        <v>0</v>
      </c>
      <c r="AG29" t="str">
        <f t="shared" si="7"/>
        <v/>
      </c>
      <c r="AH29" t="str">
        <f t="shared" si="8"/>
        <v/>
      </c>
      <c r="AI29">
        <f t="shared" si="9"/>
        <v>0</v>
      </c>
      <c r="AJ29">
        <f t="shared" si="10"/>
        <v>0</v>
      </c>
      <c r="AL29" t="str">
        <f t="shared" si="11"/>
        <v/>
      </c>
      <c r="AN29" s="10">
        <f t="shared" si="22"/>
        <v>42826</v>
      </c>
      <c r="AO29" s="17">
        <f t="shared" si="23"/>
        <v>0</v>
      </c>
      <c r="AP29" s="10">
        <f t="shared" si="28"/>
        <v>42461</v>
      </c>
      <c r="AQ29">
        <f t="shared" si="24"/>
        <v>0</v>
      </c>
      <c r="AS29">
        <f>SUMIFS('Bank Transfers'!$H$15:$H$514,'Bank Transfers'!$L$15:$L$514,D29,'Bank Transfers'!$E$15:$E$514,"deposit")</f>
        <v>0</v>
      </c>
      <c r="AT29">
        <f>SUMIFS('Bank Transfers'!$H$15:$H$514,'Bank Transfers'!$L$15:$L$514,D29,'Bank Transfers'!$E$15:$E$514,"withdraw")</f>
        <v>0</v>
      </c>
    </row>
    <row r="30" spans="1:46" ht="21.95" customHeight="1">
      <c r="A30" t="str">
        <f>IF(D30="","",IF(D30='Bank Transfers'!$L$15,
AS30-E30,
AS30))</f>
        <v/>
      </c>
      <c r="B30" t="str">
        <f t="shared" si="0"/>
        <v/>
      </c>
      <c r="C30" s="553">
        <f t="shared" si="25"/>
        <v>8</v>
      </c>
      <c r="D30" s="835" t="str">
        <f t="shared" si="1"/>
        <v/>
      </c>
      <c r="E30" s="829" t="str">
        <f>IF(D30="","",IF(D30='Bank Transfers'!$L$15,'Bank Transfers'!$H$15,J31))</f>
        <v/>
      </c>
      <c r="F30" s="829" t="str">
        <f t="shared" si="12"/>
        <v/>
      </c>
      <c r="G30" s="829">
        <f t="shared" si="13"/>
        <v>0</v>
      </c>
      <c r="H30" s="806">
        <f t="shared" si="14"/>
        <v>0</v>
      </c>
      <c r="I30" s="829">
        <f>SUMIFS(Dividends!$G$15:$G$174,Dividends!$L$15:$L$174,D30,Dividends!$E$15:$E$174,"cash")</f>
        <v>0</v>
      </c>
      <c r="J30" s="829" t="str">
        <f t="shared" si="15"/>
        <v/>
      </c>
      <c r="K30" s="829">
        <f>SUMIFS('Trade Log'!$T$15:$T$20100,dateCode,"="&amp;D30)</f>
        <v>0</v>
      </c>
      <c r="L30" s="568"/>
      <c r="M30" s="562">
        <f t="shared" si="2"/>
        <v>0</v>
      </c>
      <c r="N30" s="563" t="str">
        <f t="shared" si="16"/>
        <v/>
      </c>
      <c r="O30" s="564">
        <f>IFERROR(SUMIFS('Trade Log'!$AC$15:$AC$20100,dateCode,"="&amp;D30),"")</f>
        <v>0</v>
      </c>
      <c r="P30" s="571"/>
      <c r="Q30" s="817">
        <f t="shared" si="29"/>
        <v>0</v>
      </c>
      <c r="R30" s="818" t="str">
        <f t="shared" si="4"/>
        <v/>
      </c>
      <c r="S30" s="818">
        <f t="shared" si="17"/>
        <v>0</v>
      </c>
      <c r="T30" s="811" t="str">
        <f t="shared" si="18"/>
        <v/>
      </c>
      <c r="U30" s="824" t="str">
        <f t="shared" si="26"/>
        <v/>
      </c>
      <c r="V30" s="80"/>
      <c r="W30" s="10">
        <f t="shared" si="27"/>
        <v>42795</v>
      </c>
      <c r="Y30" s="10" t="str">
        <f t="shared" si="6"/>
        <v/>
      </c>
      <c r="Z30">
        <f>SUMIFS('Trade Log'!$K$15:$K$20100,dateCode,"="&amp;D30)</f>
        <v>0</v>
      </c>
      <c r="AA30" s="17">
        <f>SUM(M30:$M$48)+$E$21</f>
        <v>100000</v>
      </c>
      <c r="AB30">
        <f t="shared" si="19"/>
        <v>0</v>
      </c>
      <c r="AC30">
        <f t="shared" si="20"/>
        <v>0</v>
      </c>
      <c r="AE30">
        <f t="shared" si="21"/>
        <v>0</v>
      </c>
      <c r="AG30" t="str">
        <f t="shared" si="7"/>
        <v/>
      </c>
      <c r="AH30" t="str">
        <f t="shared" si="8"/>
        <v/>
      </c>
      <c r="AI30">
        <f t="shared" si="9"/>
        <v>0</v>
      </c>
      <c r="AJ30">
        <f t="shared" si="10"/>
        <v>0</v>
      </c>
      <c r="AL30" t="str">
        <f t="shared" si="11"/>
        <v/>
      </c>
      <c r="AN30" s="10">
        <f t="shared" si="22"/>
        <v>42795</v>
      </c>
      <c r="AO30" s="17">
        <f t="shared" si="23"/>
        <v>0</v>
      </c>
      <c r="AP30" s="10">
        <f t="shared" si="28"/>
        <v>42430</v>
      </c>
      <c r="AQ30">
        <f t="shared" si="24"/>
        <v>0</v>
      </c>
      <c r="AS30">
        <f>SUMIFS('Bank Transfers'!$H$15:$H$514,'Bank Transfers'!$L$15:$L$514,D30,'Bank Transfers'!$E$15:$E$514,"deposit")</f>
        <v>0</v>
      </c>
      <c r="AT30">
        <f>SUMIFS('Bank Transfers'!$H$15:$H$514,'Bank Transfers'!$L$15:$L$514,D30,'Bank Transfers'!$E$15:$E$514,"withdraw")</f>
        <v>0</v>
      </c>
    </row>
    <row r="31" spans="1:46" ht="21.95" customHeight="1">
      <c r="A31" t="str">
        <f>IF(D31="","",IF(D31='Bank Transfers'!$L$15,
AS31-E31,
AS31))</f>
        <v/>
      </c>
      <c r="B31" t="str">
        <f t="shared" si="0"/>
        <v/>
      </c>
      <c r="C31" s="553">
        <f t="shared" si="25"/>
        <v>9</v>
      </c>
      <c r="D31" s="835" t="str">
        <f t="shared" si="1"/>
        <v/>
      </c>
      <c r="E31" s="829" t="str">
        <f>IF(D31="","",IF(D31='Bank Transfers'!$L$15,'Bank Transfers'!$H$15,J32))</f>
        <v/>
      </c>
      <c r="F31" s="829" t="str">
        <f t="shared" si="12"/>
        <v/>
      </c>
      <c r="G31" s="829">
        <f t="shared" si="13"/>
        <v>0</v>
      </c>
      <c r="H31" s="806">
        <f t="shared" si="14"/>
        <v>0</v>
      </c>
      <c r="I31" s="829">
        <f>SUMIFS(Dividends!$G$15:$G$174,Dividends!$L$15:$L$174,D31,Dividends!$E$15:$E$174,"cash")</f>
        <v>0</v>
      </c>
      <c r="J31" s="829" t="str">
        <f t="shared" si="15"/>
        <v/>
      </c>
      <c r="K31" s="829">
        <f>SUMIFS('Trade Log'!$T$15:$T$20100,dateCode,"="&amp;D31)</f>
        <v>0</v>
      </c>
      <c r="L31" s="568"/>
      <c r="M31" s="562">
        <f t="shared" si="2"/>
        <v>0</v>
      </c>
      <c r="N31" s="563" t="str">
        <f t="shared" si="16"/>
        <v/>
      </c>
      <c r="O31" s="564">
        <f>IFERROR(SUMIFS('Trade Log'!$AC$15:$AC$20100,dateCode,"="&amp;D31),"")</f>
        <v>0</v>
      </c>
      <c r="P31" s="571"/>
      <c r="Q31" s="817">
        <f t="shared" si="29"/>
        <v>0</v>
      </c>
      <c r="R31" s="818" t="str">
        <f t="shared" si="4"/>
        <v/>
      </c>
      <c r="S31" s="818">
        <f t="shared" si="17"/>
        <v>0</v>
      </c>
      <c r="T31" s="811" t="str">
        <f t="shared" si="18"/>
        <v/>
      </c>
      <c r="U31" s="824" t="str">
        <f t="shared" si="26"/>
        <v/>
      </c>
      <c r="V31" s="80"/>
      <c r="W31" s="10">
        <f t="shared" si="27"/>
        <v>42767</v>
      </c>
      <c r="Y31" s="10" t="str">
        <f t="shared" si="6"/>
        <v/>
      </c>
      <c r="Z31">
        <f>SUMIFS('Trade Log'!$K$15:$K$20100,dateCode,"="&amp;D31)</f>
        <v>0</v>
      </c>
      <c r="AA31" s="17">
        <f>SUM(M31:$M$48)+$E$21</f>
        <v>100000</v>
      </c>
      <c r="AB31">
        <f t="shared" si="19"/>
        <v>0</v>
      </c>
      <c r="AC31">
        <f t="shared" si="20"/>
        <v>0</v>
      </c>
      <c r="AE31">
        <f t="shared" si="21"/>
        <v>0</v>
      </c>
      <c r="AG31" t="str">
        <f t="shared" si="7"/>
        <v/>
      </c>
      <c r="AH31" t="str">
        <f t="shared" si="8"/>
        <v/>
      </c>
      <c r="AI31">
        <f t="shared" si="9"/>
        <v>0</v>
      </c>
      <c r="AJ31">
        <f t="shared" si="10"/>
        <v>0</v>
      </c>
      <c r="AL31" t="str">
        <f t="shared" si="11"/>
        <v/>
      </c>
      <c r="AN31" s="10">
        <f t="shared" si="22"/>
        <v>42767</v>
      </c>
      <c r="AO31" s="17">
        <f t="shared" si="23"/>
        <v>0</v>
      </c>
      <c r="AP31" s="10">
        <f t="shared" si="28"/>
        <v>42401</v>
      </c>
      <c r="AQ31">
        <f t="shared" si="24"/>
        <v>0</v>
      </c>
      <c r="AS31">
        <f>SUMIFS('Bank Transfers'!$H$15:$H$514,'Bank Transfers'!$L$15:$L$514,D31,'Bank Transfers'!$E$15:$E$514,"deposit")</f>
        <v>0</v>
      </c>
      <c r="AT31">
        <f>SUMIFS('Bank Transfers'!$H$15:$H$514,'Bank Transfers'!$L$15:$L$514,D31,'Bank Transfers'!$E$15:$E$514,"withdraw")</f>
        <v>0</v>
      </c>
    </row>
    <row r="32" spans="1:46" ht="21.95" customHeight="1">
      <c r="A32" t="str">
        <f>IF(D32="","",IF(D32='Bank Transfers'!$L$15,
AS32-E32,
AS32))</f>
        <v/>
      </c>
      <c r="B32" t="str">
        <f t="shared" si="0"/>
        <v/>
      </c>
      <c r="C32" s="553">
        <f t="shared" si="25"/>
        <v>10</v>
      </c>
      <c r="D32" s="835" t="str">
        <f t="shared" si="1"/>
        <v/>
      </c>
      <c r="E32" s="829" t="str">
        <f>IF(D32="","",IF(D32='Bank Transfers'!$L$15,'Bank Transfers'!$H$15,J33))</f>
        <v/>
      </c>
      <c r="F32" s="829" t="str">
        <f t="shared" si="12"/>
        <v/>
      </c>
      <c r="G32" s="829">
        <f t="shared" si="13"/>
        <v>0</v>
      </c>
      <c r="H32" s="806">
        <f t="shared" si="14"/>
        <v>0</v>
      </c>
      <c r="I32" s="829">
        <f>SUMIFS(Dividends!$G$15:$G$174,Dividends!$L$15:$L$174,D32,Dividends!$E$15:$E$174,"cash")</f>
        <v>0</v>
      </c>
      <c r="J32" s="829" t="str">
        <f t="shared" si="15"/>
        <v/>
      </c>
      <c r="K32" s="829">
        <f>SUMIFS('Trade Log'!$T$15:$T$20100,dateCode,"="&amp;D32)</f>
        <v>0</v>
      </c>
      <c r="L32" s="568"/>
      <c r="M32" s="562">
        <f t="shared" si="2"/>
        <v>0</v>
      </c>
      <c r="N32" s="563" t="str">
        <f t="shared" si="16"/>
        <v/>
      </c>
      <c r="O32" s="564">
        <f>IFERROR(SUMIFS('Trade Log'!$AC$15:$AC$20100,dateCode,"="&amp;D32),"")</f>
        <v>0</v>
      </c>
      <c r="P32" s="571"/>
      <c r="Q32" s="817">
        <f t="shared" si="29"/>
        <v>0</v>
      </c>
      <c r="R32" s="818" t="str">
        <f t="shared" si="4"/>
        <v/>
      </c>
      <c r="S32" s="818">
        <f t="shared" si="17"/>
        <v>0</v>
      </c>
      <c r="T32" s="811" t="str">
        <f t="shared" si="18"/>
        <v/>
      </c>
      <c r="U32" s="824" t="str">
        <f t="shared" si="26"/>
        <v/>
      </c>
      <c r="V32" s="80"/>
      <c r="W32" s="10">
        <f t="shared" si="27"/>
        <v>42736</v>
      </c>
      <c r="Y32" s="10" t="str">
        <f t="shared" si="6"/>
        <v/>
      </c>
      <c r="Z32">
        <f>SUMIFS('Trade Log'!$K$15:$K$20100,dateCode,"="&amp;D32)</f>
        <v>0</v>
      </c>
      <c r="AA32" s="17">
        <f>SUM(M32:$M$48)+$E$21</f>
        <v>100000</v>
      </c>
      <c r="AB32">
        <f t="shared" si="19"/>
        <v>0</v>
      </c>
      <c r="AC32">
        <f t="shared" si="20"/>
        <v>0</v>
      </c>
      <c r="AE32">
        <f t="shared" si="21"/>
        <v>0</v>
      </c>
      <c r="AG32" t="str">
        <f t="shared" si="7"/>
        <v/>
      </c>
      <c r="AH32" t="str">
        <f t="shared" si="8"/>
        <v/>
      </c>
      <c r="AI32">
        <f t="shared" si="9"/>
        <v>0</v>
      </c>
      <c r="AJ32">
        <f t="shared" si="10"/>
        <v>0</v>
      </c>
      <c r="AL32" t="str">
        <f t="shared" si="11"/>
        <v/>
      </c>
      <c r="AN32" s="10">
        <f t="shared" si="22"/>
        <v>42736</v>
      </c>
      <c r="AO32" s="17">
        <f t="shared" si="23"/>
        <v>0</v>
      </c>
      <c r="AP32" s="10">
        <f t="shared" si="28"/>
        <v>42370</v>
      </c>
      <c r="AQ32">
        <f t="shared" si="24"/>
        <v>0</v>
      </c>
      <c r="AS32">
        <f>SUMIFS('Bank Transfers'!$H$15:$H$514,'Bank Transfers'!$L$15:$L$514,D32,'Bank Transfers'!$E$15:$E$514,"deposit")</f>
        <v>0</v>
      </c>
      <c r="AT32">
        <f>SUMIFS('Bank Transfers'!$H$15:$H$514,'Bank Transfers'!$L$15:$L$514,D32,'Bank Transfers'!$E$15:$E$514,"withdraw")</f>
        <v>0</v>
      </c>
    </row>
    <row r="33" spans="1:46" ht="21.95" customHeight="1">
      <c r="A33" t="str">
        <f>IF(D33="","",IF(D33='Bank Transfers'!$L$15,
AS33-E33,
AS33))</f>
        <v/>
      </c>
      <c r="B33" t="str">
        <f t="shared" si="0"/>
        <v/>
      </c>
      <c r="C33" s="553">
        <f t="shared" si="25"/>
        <v>11</v>
      </c>
      <c r="D33" s="835" t="str">
        <f t="shared" si="1"/>
        <v/>
      </c>
      <c r="E33" s="829" t="str">
        <f>IF(D33="","",IF(D33='Bank Transfers'!$L$15,'Bank Transfers'!$H$15,J34))</f>
        <v/>
      </c>
      <c r="F33" s="829" t="str">
        <f t="shared" si="12"/>
        <v/>
      </c>
      <c r="G33" s="829">
        <f t="shared" si="13"/>
        <v>0</v>
      </c>
      <c r="H33" s="806">
        <f t="shared" si="14"/>
        <v>0</v>
      </c>
      <c r="I33" s="829">
        <f>SUMIFS(Dividends!$G$15:$G$174,Dividends!$L$15:$L$174,D33,Dividends!$E$15:$E$174,"cash")</f>
        <v>0</v>
      </c>
      <c r="J33" s="829" t="str">
        <f t="shared" si="15"/>
        <v/>
      </c>
      <c r="K33" s="829">
        <f>SUMIFS('Trade Log'!$T$15:$T$20100,dateCode,"="&amp;D33)</f>
        <v>0</v>
      </c>
      <c r="L33" s="568"/>
      <c r="M33" s="562">
        <f t="shared" si="2"/>
        <v>0</v>
      </c>
      <c r="N33" s="563" t="str">
        <f t="shared" si="16"/>
        <v/>
      </c>
      <c r="O33" s="564">
        <f>IFERROR(SUMIFS('Trade Log'!$AC$15:$AC$20100,dateCode,"="&amp;D33),"")</f>
        <v>0</v>
      </c>
      <c r="P33" s="571"/>
      <c r="Q33" s="817">
        <f t="shared" si="29"/>
        <v>0</v>
      </c>
      <c r="R33" s="818" t="str">
        <f t="shared" si="4"/>
        <v/>
      </c>
      <c r="S33" s="818">
        <f t="shared" si="17"/>
        <v>0</v>
      </c>
      <c r="T33" s="811" t="str">
        <f t="shared" si="18"/>
        <v/>
      </c>
      <c r="U33" s="824" t="str">
        <f t="shared" si="26"/>
        <v/>
      </c>
      <c r="V33" s="80"/>
      <c r="W33" s="10">
        <f t="shared" si="27"/>
        <v>42705</v>
      </c>
      <c r="Y33" s="10" t="str">
        <f t="shared" si="6"/>
        <v/>
      </c>
      <c r="Z33">
        <f>SUMIFS('Trade Log'!$K$15:$K$20100,dateCode,"="&amp;D33)</f>
        <v>0</v>
      </c>
      <c r="AA33" s="17">
        <f>SUM(M33:$M$48)+$E$21</f>
        <v>100000</v>
      </c>
      <c r="AB33">
        <f t="shared" si="19"/>
        <v>0</v>
      </c>
      <c r="AC33">
        <f t="shared" si="20"/>
        <v>0</v>
      </c>
      <c r="AE33">
        <f t="shared" si="21"/>
        <v>0</v>
      </c>
      <c r="AG33" t="str">
        <f t="shared" si="7"/>
        <v/>
      </c>
      <c r="AH33" t="str">
        <f t="shared" si="8"/>
        <v/>
      </c>
      <c r="AI33">
        <f t="shared" si="9"/>
        <v>0</v>
      </c>
      <c r="AJ33">
        <f t="shared" si="10"/>
        <v>0</v>
      </c>
      <c r="AL33" t="str">
        <f t="shared" si="11"/>
        <v/>
      </c>
      <c r="AN33" s="10">
        <f t="shared" si="22"/>
        <v>42705</v>
      </c>
      <c r="AO33" s="17">
        <f t="shared" si="23"/>
        <v>0</v>
      </c>
      <c r="AP33" s="10">
        <f t="shared" si="28"/>
        <v>42339</v>
      </c>
      <c r="AQ33">
        <f t="shared" si="24"/>
        <v>0</v>
      </c>
      <c r="AS33">
        <f>SUMIFS('Bank Transfers'!$H$15:$H$514,'Bank Transfers'!$L$15:$L$514,D33,'Bank Transfers'!$E$15:$E$514,"deposit")</f>
        <v>0</v>
      </c>
      <c r="AT33">
        <f>SUMIFS('Bank Transfers'!$H$15:$H$514,'Bank Transfers'!$L$15:$L$514,D33,'Bank Transfers'!$E$15:$E$514,"withdraw")</f>
        <v>0</v>
      </c>
    </row>
    <row r="34" spans="1:46" ht="21.95" customHeight="1">
      <c r="A34" t="str">
        <f>IF(D34="","",IF(D34='Bank Transfers'!$L$15,
AS34-E34,
AS34))</f>
        <v/>
      </c>
      <c r="B34" t="str">
        <f t="shared" si="0"/>
        <v/>
      </c>
      <c r="C34" s="553">
        <f t="shared" si="25"/>
        <v>12</v>
      </c>
      <c r="D34" s="835" t="str">
        <f t="shared" si="1"/>
        <v/>
      </c>
      <c r="E34" s="829" t="str">
        <f>IF(D34="","",IF(D34='Bank Transfers'!$L$15,'Bank Transfers'!$H$15,J35))</f>
        <v/>
      </c>
      <c r="F34" s="829" t="str">
        <f t="shared" si="12"/>
        <v/>
      </c>
      <c r="G34" s="829">
        <f t="shared" si="13"/>
        <v>0</v>
      </c>
      <c r="H34" s="806">
        <f t="shared" si="14"/>
        <v>0</v>
      </c>
      <c r="I34" s="829">
        <f>SUMIFS(Dividends!$G$15:$G$174,Dividends!$L$15:$L$174,D34,Dividends!$E$15:$E$174,"cash")</f>
        <v>0</v>
      </c>
      <c r="J34" s="829" t="str">
        <f t="shared" si="15"/>
        <v/>
      </c>
      <c r="K34" s="829">
        <f>SUMIFS('Trade Log'!$T$15:$T$20100,dateCode,"="&amp;D34)</f>
        <v>0</v>
      </c>
      <c r="L34" s="568"/>
      <c r="M34" s="562">
        <f t="shared" si="2"/>
        <v>0</v>
      </c>
      <c r="N34" s="563" t="str">
        <f t="shared" si="16"/>
        <v/>
      </c>
      <c r="O34" s="564">
        <f>IFERROR(SUMIFS('Trade Log'!$AC$15:$AC$20100,dateCode,"="&amp;D34),"")</f>
        <v>0</v>
      </c>
      <c r="P34" s="571"/>
      <c r="Q34" s="817">
        <f t="shared" si="29"/>
        <v>0</v>
      </c>
      <c r="R34" s="818" t="str">
        <f t="shared" si="4"/>
        <v/>
      </c>
      <c r="S34" s="818">
        <f t="shared" si="17"/>
        <v>0</v>
      </c>
      <c r="T34" s="811" t="str">
        <f t="shared" si="18"/>
        <v/>
      </c>
      <c r="U34" s="824" t="str">
        <f t="shared" si="26"/>
        <v/>
      </c>
      <c r="V34" s="80"/>
      <c r="W34">
        <f t="shared" si="27"/>
        <v>42675</v>
      </c>
      <c r="Y34" s="10" t="str">
        <f t="shared" si="6"/>
        <v/>
      </c>
      <c r="Z34">
        <f>SUMIFS('Trade Log'!$K$15:$K$20100,dateCode,"="&amp;D34)</f>
        <v>0</v>
      </c>
      <c r="AA34" s="17">
        <f>SUM(M34:$M$48)+$E$21</f>
        <v>100000</v>
      </c>
      <c r="AB34">
        <f t="shared" si="19"/>
        <v>0</v>
      </c>
      <c r="AC34">
        <f t="shared" si="20"/>
        <v>0</v>
      </c>
      <c r="AE34">
        <f t="shared" si="21"/>
        <v>0</v>
      </c>
      <c r="AG34" t="str">
        <f t="shared" si="7"/>
        <v/>
      </c>
      <c r="AH34" t="str">
        <f t="shared" si="8"/>
        <v/>
      </c>
      <c r="AI34">
        <f t="shared" si="9"/>
        <v>0</v>
      </c>
      <c r="AJ34">
        <f t="shared" si="10"/>
        <v>0</v>
      </c>
      <c r="AL34" t="str">
        <f t="shared" si="11"/>
        <v/>
      </c>
      <c r="AN34" s="10">
        <f t="shared" si="22"/>
        <v>42675</v>
      </c>
      <c r="AO34" s="17">
        <f t="shared" si="23"/>
        <v>0</v>
      </c>
      <c r="AP34" s="10">
        <f t="shared" si="28"/>
        <v>42309</v>
      </c>
      <c r="AQ34">
        <f t="shared" si="24"/>
        <v>0</v>
      </c>
      <c r="AS34">
        <f>SUMIFS('Bank Transfers'!$H$15:$H$514,'Bank Transfers'!$L$15:$L$514,D34,'Bank Transfers'!$E$15:$E$514,"deposit")</f>
        <v>0</v>
      </c>
      <c r="AT34">
        <f>SUMIFS('Bank Transfers'!$H$15:$H$514,'Bank Transfers'!$L$15:$L$514,D34,'Bank Transfers'!$E$15:$E$514,"withdraw")</f>
        <v>0</v>
      </c>
    </row>
    <row r="35" spans="1:46" ht="21.95" customHeight="1">
      <c r="A35" t="str">
        <f>IF(D35="","",IF(D35='Bank Transfers'!$L$15,
AS35-E35,
AS35))</f>
        <v/>
      </c>
      <c r="B35" t="str">
        <f t="shared" si="0"/>
        <v/>
      </c>
      <c r="C35" s="553">
        <f t="shared" si="25"/>
        <v>13</v>
      </c>
      <c r="D35" s="835" t="str">
        <f t="shared" si="1"/>
        <v/>
      </c>
      <c r="E35" s="829" t="str">
        <f>IF(D35="","",IF(D35='Bank Transfers'!$L$15,'Bank Transfers'!$H$15,J36))</f>
        <v/>
      </c>
      <c r="F35" s="829" t="str">
        <f t="shared" si="12"/>
        <v/>
      </c>
      <c r="G35" s="829">
        <f t="shared" si="13"/>
        <v>0</v>
      </c>
      <c r="H35" s="806">
        <f t="shared" si="14"/>
        <v>0</v>
      </c>
      <c r="I35" s="829">
        <f>SUMIFS(Dividends!$G$15:$G$174,Dividends!$L$15:$L$174,D35,Dividends!$E$15:$E$174,"cash")</f>
        <v>0</v>
      </c>
      <c r="J35" s="829" t="str">
        <f t="shared" si="15"/>
        <v/>
      </c>
      <c r="K35" s="829">
        <f>SUMIFS('Trade Log'!$T$15:$T$20100,dateCode,"="&amp;D35)</f>
        <v>0</v>
      </c>
      <c r="L35" s="568"/>
      <c r="M35" s="562">
        <f t="shared" si="2"/>
        <v>0</v>
      </c>
      <c r="N35" s="563" t="str">
        <f t="shared" si="16"/>
        <v/>
      </c>
      <c r="O35" s="564">
        <f>IFERROR(SUMIFS('Trade Log'!$AC$15:$AC$20100,dateCode,"="&amp;D35),"")</f>
        <v>0</v>
      </c>
      <c r="P35" s="571"/>
      <c r="Q35" s="817">
        <f t="shared" si="29"/>
        <v>0</v>
      </c>
      <c r="R35" s="818" t="str">
        <f t="shared" si="4"/>
        <v/>
      </c>
      <c r="S35" s="818">
        <f t="shared" si="17"/>
        <v>0</v>
      </c>
      <c r="T35" s="811" t="str">
        <f t="shared" si="18"/>
        <v/>
      </c>
      <c r="U35" s="824" t="str">
        <f t="shared" si="26"/>
        <v/>
      </c>
      <c r="V35" s="80"/>
      <c r="W35">
        <f t="shared" si="27"/>
        <v>42644</v>
      </c>
      <c r="Y35" s="10" t="str">
        <f t="shared" si="6"/>
        <v/>
      </c>
      <c r="Z35">
        <f>SUMIFS('Trade Log'!$K$15:$K$20100,dateCode,"="&amp;D35)</f>
        <v>0</v>
      </c>
      <c r="AA35" s="17">
        <f>SUM(M35:$M$48)+$E$21</f>
        <v>100000</v>
      </c>
      <c r="AB35">
        <f t="shared" si="19"/>
        <v>0</v>
      </c>
      <c r="AC35">
        <f t="shared" si="20"/>
        <v>0</v>
      </c>
      <c r="AE35">
        <f t="shared" si="21"/>
        <v>0</v>
      </c>
      <c r="AG35" t="str">
        <f t="shared" si="7"/>
        <v/>
      </c>
      <c r="AH35" t="str">
        <f t="shared" si="8"/>
        <v/>
      </c>
      <c r="AI35">
        <f t="shared" si="9"/>
        <v>0</v>
      </c>
      <c r="AJ35">
        <f t="shared" si="10"/>
        <v>0</v>
      </c>
      <c r="AL35" t="str">
        <f t="shared" si="11"/>
        <v/>
      </c>
      <c r="AN35" s="10"/>
      <c r="AO35" s="17"/>
      <c r="AP35" s="10"/>
      <c r="AS35">
        <f>SUMIFS('Bank Transfers'!$H$15:$H$514,'Bank Transfers'!$L$15:$L$514,D35,'Bank Transfers'!$E$15:$E$514,"deposit")</f>
        <v>0</v>
      </c>
      <c r="AT35">
        <f>SUMIFS('Bank Transfers'!$H$15:$H$514,'Bank Transfers'!$L$15:$L$514,D35,'Bank Transfers'!$E$15:$E$514,"withdraw")</f>
        <v>0</v>
      </c>
    </row>
    <row r="36" spans="1:46" ht="21.95" customHeight="1">
      <c r="A36" t="str">
        <f>IF(D36="","",IF(D36='Bank Transfers'!$L$15,
AS36-E36,
AS36))</f>
        <v/>
      </c>
      <c r="B36" t="str">
        <f t="shared" si="0"/>
        <v/>
      </c>
      <c r="C36" s="553">
        <f t="shared" si="25"/>
        <v>14</v>
      </c>
      <c r="D36" s="835" t="str">
        <f t="shared" si="1"/>
        <v/>
      </c>
      <c r="E36" s="829" t="str">
        <f>IF(D36="","",IF(D36='Bank Transfers'!$L$15,'Bank Transfers'!$H$15,J37))</f>
        <v/>
      </c>
      <c r="F36" s="829" t="str">
        <f t="shared" si="12"/>
        <v/>
      </c>
      <c r="G36" s="829">
        <f t="shared" si="13"/>
        <v>0</v>
      </c>
      <c r="H36" s="806">
        <f t="shared" si="14"/>
        <v>0</v>
      </c>
      <c r="I36" s="829">
        <f>SUMIFS(Dividends!$G$15:$G$174,Dividends!$L$15:$L$174,D36,Dividends!$E$15:$E$174,"cash")</f>
        <v>0</v>
      </c>
      <c r="J36" s="829" t="str">
        <f t="shared" si="15"/>
        <v/>
      </c>
      <c r="K36" s="829">
        <f>SUMIFS('Trade Log'!$T$15:$T$20100,dateCode,"="&amp;D36)</f>
        <v>0</v>
      </c>
      <c r="L36" s="568"/>
      <c r="M36" s="562">
        <f t="shared" si="2"/>
        <v>0</v>
      </c>
      <c r="N36" s="563" t="str">
        <f t="shared" si="16"/>
        <v/>
      </c>
      <c r="O36" s="564">
        <f>IFERROR(SUMIFS('Trade Log'!$AC$15:$AC$20100,dateCode,"="&amp;D36),"")</f>
        <v>0</v>
      </c>
      <c r="P36" s="571"/>
      <c r="Q36" s="817">
        <f t="shared" si="29"/>
        <v>0</v>
      </c>
      <c r="R36" s="818" t="str">
        <f t="shared" si="4"/>
        <v/>
      </c>
      <c r="S36" s="818">
        <f t="shared" si="17"/>
        <v>0</v>
      </c>
      <c r="T36" s="811" t="str">
        <f t="shared" si="18"/>
        <v/>
      </c>
      <c r="U36" s="824" t="str">
        <f t="shared" si="26"/>
        <v/>
      </c>
      <c r="V36" s="80"/>
      <c r="W36">
        <f t="shared" si="27"/>
        <v>42614</v>
      </c>
      <c r="Y36" t="str">
        <f t="shared" si="6"/>
        <v/>
      </c>
      <c r="Z36">
        <f>SUMIFS('Trade Log'!$K$15:$K$20100,dateCode,"="&amp;D36)</f>
        <v>0</v>
      </c>
      <c r="AA36" s="17">
        <f>SUM(M36:$M$48)+$E$21</f>
        <v>100000</v>
      </c>
      <c r="AB36">
        <f t="shared" si="19"/>
        <v>0</v>
      </c>
      <c r="AC36">
        <f t="shared" si="20"/>
        <v>0</v>
      </c>
      <c r="AE36">
        <f t="shared" si="21"/>
        <v>0</v>
      </c>
      <c r="AG36" t="str">
        <f t="shared" si="7"/>
        <v/>
      </c>
      <c r="AH36" t="str">
        <f t="shared" si="8"/>
        <v/>
      </c>
      <c r="AI36">
        <f t="shared" si="9"/>
        <v>0</v>
      </c>
      <c r="AJ36">
        <f t="shared" si="10"/>
        <v>0</v>
      </c>
      <c r="AL36" t="str">
        <f t="shared" si="11"/>
        <v/>
      </c>
      <c r="AN36" s="10"/>
      <c r="AO36" s="17"/>
      <c r="AP36" s="10"/>
      <c r="AS36">
        <f>SUMIFS('Bank Transfers'!$H$15:$H$514,'Bank Transfers'!$L$15:$L$514,D36,'Bank Transfers'!$E$15:$E$514,"deposit")</f>
        <v>0</v>
      </c>
      <c r="AT36">
        <f>SUMIFS('Bank Transfers'!$H$15:$H$514,'Bank Transfers'!$L$15:$L$514,D36,'Bank Transfers'!$E$15:$E$514,"withdraw")</f>
        <v>0</v>
      </c>
    </row>
    <row r="37" spans="1:46" ht="21.95" customHeight="1">
      <c r="A37" t="str">
        <f>IF(D37="","",IF(D37='Bank Transfers'!$L$15,
AS37-E37,
AS37))</f>
        <v/>
      </c>
      <c r="B37" t="str">
        <f t="shared" si="0"/>
        <v/>
      </c>
      <c r="C37" s="553">
        <f t="shared" si="25"/>
        <v>15</v>
      </c>
      <c r="D37" s="835" t="str">
        <f t="shared" si="1"/>
        <v/>
      </c>
      <c r="E37" s="829" t="str">
        <f>IF(D37="","",IF(D37='Bank Transfers'!$L$15,'Bank Transfers'!$H$15,J38))</f>
        <v/>
      </c>
      <c r="F37" s="829" t="str">
        <f t="shared" si="12"/>
        <v/>
      </c>
      <c r="G37" s="829">
        <f t="shared" si="13"/>
        <v>0</v>
      </c>
      <c r="H37" s="806">
        <f t="shared" si="14"/>
        <v>0</v>
      </c>
      <c r="I37" s="829">
        <f>SUMIFS(Dividends!$G$15:$G$174,Dividends!$L$15:$L$174,D37,Dividends!$E$15:$E$174,"cash")</f>
        <v>0</v>
      </c>
      <c r="J37" s="829" t="str">
        <f t="shared" si="15"/>
        <v/>
      </c>
      <c r="K37" s="829">
        <f>SUMIFS('Trade Log'!$T$15:$T$20100,dateCode,"="&amp;D37)</f>
        <v>0</v>
      </c>
      <c r="L37" s="568"/>
      <c r="M37" s="562">
        <f t="shared" si="2"/>
        <v>0</v>
      </c>
      <c r="N37" s="563" t="str">
        <f t="shared" si="16"/>
        <v/>
      </c>
      <c r="O37" s="564">
        <f>IFERROR(SUMIFS('Trade Log'!$AC$15:$AC$20100,dateCode,"="&amp;D37),"")</f>
        <v>0</v>
      </c>
      <c r="P37" s="571"/>
      <c r="Q37" s="817">
        <f t="shared" si="29"/>
        <v>0</v>
      </c>
      <c r="R37" s="818" t="str">
        <f t="shared" si="4"/>
        <v/>
      </c>
      <c r="S37" s="818">
        <f t="shared" si="17"/>
        <v>0</v>
      </c>
      <c r="T37" s="811" t="str">
        <f t="shared" si="18"/>
        <v/>
      </c>
      <c r="U37" s="824" t="str">
        <f t="shared" si="26"/>
        <v/>
      </c>
      <c r="V37" s="80"/>
      <c r="W37">
        <f t="shared" si="27"/>
        <v>42583</v>
      </c>
      <c r="Y37" t="str">
        <f t="shared" si="6"/>
        <v/>
      </c>
      <c r="Z37">
        <f>SUMIFS('Trade Log'!$K$15:$K$20100,dateCode,"="&amp;D37)</f>
        <v>0</v>
      </c>
      <c r="AA37" s="17">
        <f>SUM(M37:$M$48)+$E$21</f>
        <v>100000</v>
      </c>
      <c r="AB37">
        <f t="shared" si="19"/>
        <v>0</v>
      </c>
      <c r="AC37">
        <f t="shared" si="20"/>
        <v>0</v>
      </c>
      <c r="AE37">
        <f t="shared" si="21"/>
        <v>0</v>
      </c>
      <c r="AG37" t="str">
        <f t="shared" si="7"/>
        <v/>
      </c>
      <c r="AH37" t="str">
        <f t="shared" si="8"/>
        <v/>
      </c>
      <c r="AI37">
        <f t="shared" si="9"/>
        <v>0</v>
      </c>
      <c r="AJ37">
        <f t="shared" si="10"/>
        <v>0</v>
      </c>
      <c r="AL37" t="str">
        <f t="shared" si="11"/>
        <v/>
      </c>
      <c r="AN37" s="10"/>
      <c r="AO37" s="17"/>
      <c r="AP37" s="10"/>
      <c r="AS37">
        <f>SUMIFS('Bank Transfers'!$H$15:$H$514,'Bank Transfers'!$L$15:$L$514,D37,'Bank Transfers'!$E$15:$E$514,"deposit")</f>
        <v>0</v>
      </c>
      <c r="AT37">
        <f>SUMIFS('Bank Transfers'!$H$15:$H$514,'Bank Transfers'!$L$15:$L$514,D37,'Bank Transfers'!$E$15:$E$514,"withdraw")</f>
        <v>0</v>
      </c>
    </row>
    <row r="38" spans="1:46" ht="21.95" customHeight="1">
      <c r="A38" t="str">
        <f>IF(D38="","",IF(D38='Bank Transfers'!$L$15,
AS38-E38,
AS38))</f>
        <v/>
      </c>
      <c r="B38" t="str">
        <f t="shared" si="0"/>
        <v/>
      </c>
      <c r="C38" s="553">
        <f t="shared" si="25"/>
        <v>16</v>
      </c>
      <c r="D38" s="835" t="str">
        <f t="shared" si="1"/>
        <v/>
      </c>
      <c r="E38" s="829" t="str">
        <f>IF(D38="","",IF(D38='Bank Transfers'!$L$15,'Bank Transfers'!$H$15,J39))</f>
        <v/>
      </c>
      <c r="F38" s="829" t="str">
        <f t="shared" si="12"/>
        <v/>
      </c>
      <c r="G38" s="829">
        <f t="shared" si="13"/>
        <v>0</v>
      </c>
      <c r="H38" s="806">
        <f t="shared" si="14"/>
        <v>0</v>
      </c>
      <c r="I38" s="829">
        <f>SUMIFS(Dividends!$G$15:$G$174,Dividends!$L$15:$L$174,D38,Dividends!$E$15:$E$174,"cash")</f>
        <v>0</v>
      </c>
      <c r="J38" s="829" t="str">
        <f t="shared" si="15"/>
        <v/>
      </c>
      <c r="K38" s="829">
        <f>SUMIFS('Trade Log'!$T$15:$T$20100,dateCode,"="&amp;D38)</f>
        <v>0</v>
      </c>
      <c r="L38" s="568"/>
      <c r="M38" s="562">
        <f t="shared" si="2"/>
        <v>0</v>
      </c>
      <c r="N38" s="563" t="str">
        <f t="shared" si="16"/>
        <v/>
      </c>
      <c r="O38" s="564">
        <f>IFERROR(SUMIFS('Trade Log'!$AC$15:$AC$20100,dateCode,"="&amp;D38),"")</f>
        <v>0</v>
      </c>
      <c r="P38" s="571"/>
      <c r="Q38" s="817">
        <f t="shared" si="29"/>
        <v>0</v>
      </c>
      <c r="R38" s="818" t="str">
        <f t="shared" si="4"/>
        <v/>
      </c>
      <c r="S38" s="818">
        <f t="shared" si="17"/>
        <v>0</v>
      </c>
      <c r="T38" s="811" t="str">
        <f t="shared" si="18"/>
        <v/>
      </c>
      <c r="U38" s="824" t="str">
        <f t="shared" si="26"/>
        <v/>
      </c>
      <c r="V38" s="80"/>
      <c r="W38">
        <f t="shared" si="27"/>
        <v>42552</v>
      </c>
      <c r="Y38" t="str">
        <f t="shared" si="6"/>
        <v/>
      </c>
      <c r="Z38">
        <f>SUMIFS('Trade Log'!$K$15:$K$20100,dateCode,"="&amp;D38)</f>
        <v>0</v>
      </c>
      <c r="AA38" s="17">
        <f>SUM(M38:$M$48)+$E$21</f>
        <v>100000</v>
      </c>
      <c r="AB38">
        <f t="shared" si="19"/>
        <v>0</v>
      </c>
      <c r="AC38">
        <f t="shared" si="20"/>
        <v>0</v>
      </c>
      <c r="AE38">
        <f t="shared" si="21"/>
        <v>0</v>
      </c>
      <c r="AG38" t="str">
        <f t="shared" si="7"/>
        <v/>
      </c>
      <c r="AH38" t="str">
        <f t="shared" si="8"/>
        <v/>
      </c>
      <c r="AI38">
        <f t="shared" si="9"/>
        <v>0</v>
      </c>
      <c r="AJ38">
        <f t="shared" si="10"/>
        <v>0</v>
      </c>
      <c r="AL38" t="str">
        <f t="shared" si="11"/>
        <v/>
      </c>
      <c r="AN38" s="10"/>
      <c r="AO38" s="17"/>
      <c r="AP38" s="10"/>
      <c r="AS38">
        <f>SUMIFS('Bank Transfers'!$H$15:$H$514,'Bank Transfers'!$L$15:$L$514,D38,'Bank Transfers'!$E$15:$E$514,"deposit")</f>
        <v>0</v>
      </c>
      <c r="AT38">
        <f>SUMIFS('Bank Transfers'!$H$15:$H$514,'Bank Transfers'!$L$15:$L$514,D38,'Bank Transfers'!$E$15:$E$514,"withdraw")</f>
        <v>0</v>
      </c>
    </row>
    <row r="39" spans="1:46" ht="21.95" customHeight="1">
      <c r="A39" t="str">
        <f>IF(D39="","",IF(D39='Bank Transfers'!$L$15,
AS39-E39,
AS39))</f>
        <v/>
      </c>
      <c r="B39" t="str">
        <f t="shared" si="0"/>
        <v/>
      </c>
      <c r="C39" s="553">
        <f t="shared" si="25"/>
        <v>17</v>
      </c>
      <c r="D39" s="835" t="str">
        <f t="shared" si="1"/>
        <v/>
      </c>
      <c r="E39" s="829" t="str">
        <f>IF(D39="","",IF(D39='Bank Transfers'!$L$15,'Bank Transfers'!$H$15,J40))</f>
        <v/>
      </c>
      <c r="F39" s="829" t="str">
        <f t="shared" si="12"/>
        <v/>
      </c>
      <c r="G39" s="829">
        <f t="shared" si="13"/>
        <v>0</v>
      </c>
      <c r="H39" s="806">
        <f t="shared" si="14"/>
        <v>0</v>
      </c>
      <c r="I39" s="829">
        <f>SUMIFS(Dividends!$G$15:$G$174,Dividends!$L$15:$L$174,D39,Dividends!$E$15:$E$174,"cash")</f>
        <v>0</v>
      </c>
      <c r="J39" s="829" t="str">
        <f t="shared" si="15"/>
        <v/>
      </c>
      <c r="K39" s="829">
        <f>SUMIFS('Trade Log'!$T$15:$T$20100,dateCode,"="&amp;D39)</f>
        <v>0</v>
      </c>
      <c r="L39" s="568"/>
      <c r="M39" s="562">
        <f t="shared" si="2"/>
        <v>0</v>
      </c>
      <c r="N39" s="563" t="str">
        <f t="shared" si="16"/>
        <v/>
      </c>
      <c r="O39" s="564">
        <f>IFERROR(SUMIFS('Trade Log'!$AC$15:$AC$20100,dateCode,"="&amp;D39),"")</f>
        <v>0</v>
      </c>
      <c r="P39" s="571"/>
      <c r="Q39" s="817">
        <f t="shared" si="29"/>
        <v>0</v>
      </c>
      <c r="R39" s="818" t="str">
        <f t="shared" si="4"/>
        <v/>
      </c>
      <c r="S39" s="818">
        <f t="shared" si="17"/>
        <v>0</v>
      </c>
      <c r="T39" s="811" t="str">
        <f t="shared" si="18"/>
        <v/>
      </c>
      <c r="U39" s="824" t="str">
        <f t="shared" si="26"/>
        <v/>
      </c>
      <c r="V39" s="80"/>
      <c r="W39">
        <f t="shared" si="27"/>
        <v>42522</v>
      </c>
      <c r="Y39" t="str">
        <f t="shared" si="6"/>
        <v/>
      </c>
      <c r="Z39">
        <f>SUMIFS('Trade Log'!$K$15:$K$20100,dateCode,"="&amp;D39)</f>
        <v>0</v>
      </c>
      <c r="AA39" s="17">
        <f>SUM(M39:$M$48)+$E$21</f>
        <v>100000</v>
      </c>
      <c r="AB39">
        <f t="shared" si="19"/>
        <v>0</v>
      </c>
      <c r="AC39">
        <f t="shared" si="20"/>
        <v>0</v>
      </c>
      <c r="AE39">
        <f t="shared" si="21"/>
        <v>0</v>
      </c>
      <c r="AG39" t="str">
        <f t="shared" si="7"/>
        <v/>
      </c>
      <c r="AH39" t="str">
        <f t="shared" si="8"/>
        <v/>
      </c>
      <c r="AI39">
        <f t="shared" si="9"/>
        <v>0</v>
      </c>
      <c r="AJ39">
        <f t="shared" si="10"/>
        <v>0</v>
      </c>
      <c r="AL39" t="str">
        <f t="shared" si="11"/>
        <v/>
      </c>
      <c r="AN39" s="10"/>
      <c r="AO39" s="17"/>
      <c r="AP39" s="10"/>
      <c r="AS39">
        <f>SUMIFS('Bank Transfers'!$H$15:$H$514,'Bank Transfers'!$L$15:$L$514,D39,'Bank Transfers'!$E$15:$E$514,"deposit")</f>
        <v>0</v>
      </c>
      <c r="AT39">
        <f>SUMIFS('Bank Transfers'!$H$15:$H$514,'Bank Transfers'!$L$15:$L$514,D39,'Bank Transfers'!$E$15:$E$514,"withdraw")</f>
        <v>0</v>
      </c>
    </row>
    <row r="40" spans="1:46" ht="21.95" customHeight="1">
      <c r="A40" t="str">
        <f>IF(D40="","",IF(D40='Bank Transfers'!$L$15,
AS40-E40,
AS40))</f>
        <v/>
      </c>
      <c r="B40" t="str">
        <f t="shared" si="0"/>
        <v/>
      </c>
      <c r="C40" s="553">
        <f t="shared" si="25"/>
        <v>18</v>
      </c>
      <c r="D40" s="835" t="str">
        <f t="shared" si="1"/>
        <v/>
      </c>
      <c r="E40" s="829" t="str">
        <f>IF(D40="","",IF(D40='Bank Transfers'!$L$15,'Bank Transfers'!$H$15,J41))</f>
        <v/>
      </c>
      <c r="F40" s="829" t="str">
        <f t="shared" si="12"/>
        <v/>
      </c>
      <c r="G40" s="829">
        <f t="shared" si="13"/>
        <v>0</v>
      </c>
      <c r="H40" s="806">
        <f t="shared" si="14"/>
        <v>0</v>
      </c>
      <c r="I40" s="829">
        <f>SUMIFS(Dividends!$G$15:$G$174,Dividends!$L$15:$L$174,D40,Dividends!$E$15:$E$174,"cash")</f>
        <v>0</v>
      </c>
      <c r="J40" s="829" t="str">
        <f t="shared" si="15"/>
        <v/>
      </c>
      <c r="K40" s="829">
        <f>SUMIFS('Trade Log'!$T$15:$T$20100,dateCode,"="&amp;D40)</f>
        <v>0</v>
      </c>
      <c r="L40" s="568"/>
      <c r="M40" s="562">
        <f t="shared" si="2"/>
        <v>0</v>
      </c>
      <c r="N40" s="563" t="str">
        <f t="shared" si="16"/>
        <v/>
      </c>
      <c r="O40" s="564">
        <f>IFERROR(SUMIFS('Trade Log'!$AC$15:$AC$20100,dateCode,"="&amp;D40),"")</f>
        <v>0</v>
      </c>
      <c r="P40" s="571"/>
      <c r="Q40" s="817">
        <f t="shared" si="29"/>
        <v>0</v>
      </c>
      <c r="R40" s="818" t="str">
        <f t="shared" si="4"/>
        <v/>
      </c>
      <c r="S40" s="818">
        <f t="shared" si="17"/>
        <v>0</v>
      </c>
      <c r="T40" s="811" t="str">
        <f t="shared" si="18"/>
        <v/>
      </c>
      <c r="U40" s="824" t="str">
        <f t="shared" si="26"/>
        <v/>
      </c>
      <c r="V40" s="80"/>
      <c r="W40">
        <f t="shared" si="27"/>
        <v>42491</v>
      </c>
      <c r="Y40" t="str">
        <f t="shared" si="6"/>
        <v/>
      </c>
      <c r="Z40">
        <f>SUMIFS('Trade Log'!$K$15:$K$20100,dateCode,"="&amp;D40)</f>
        <v>0</v>
      </c>
      <c r="AA40" s="17">
        <f>SUM(M40:$M$48)+$E$21</f>
        <v>100000</v>
      </c>
      <c r="AB40">
        <f t="shared" si="19"/>
        <v>0</v>
      </c>
      <c r="AC40">
        <f t="shared" si="20"/>
        <v>0</v>
      </c>
      <c r="AE40">
        <f t="shared" si="21"/>
        <v>0</v>
      </c>
      <c r="AG40" t="str">
        <f t="shared" si="7"/>
        <v/>
      </c>
      <c r="AH40" t="str">
        <f t="shared" si="8"/>
        <v/>
      </c>
      <c r="AI40">
        <f t="shared" si="9"/>
        <v>0</v>
      </c>
      <c r="AJ40">
        <f t="shared" si="10"/>
        <v>0</v>
      </c>
      <c r="AL40" t="str">
        <f t="shared" si="11"/>
        <v/>
      </c>
      <c r="AN40" s="10"/>
      <c r="AO40" s="17"/>
      <c r="AP40" s="10"/>
      <c r="AS40">
        <f>SUMIFS('Bank Transfers'!$H$15:$H$514,'Bank Transfers'!$L$15:$L$514,D40,'Bank Transfers'!$E$15:$E$514,"deposit")</f>
        <v>0</v>
      </c>
      <c r="AT40">
        <f>SUMIFS('Bank Transfers'!$H$15:$H$514,'Bank Transfers'!$L$15:$L$514,D40,'Bank Transfers'!$E$15:$E$514,"withdraw")</f>
        <v>0</v>
      </c>
    </row>
    <row r="41" spans="1:46" ht="21.95" customHeight="1">
      <c r="A41" t="str">
        <f>IF(D41="","",IF(D41='Bank Transfers'!$L$15,
AS41-E41,
AS41))</f>
        <v/>
      </c>
      <c r="B41" t="str">
        <f t="shared" si="0"/>
        <v/>
      </c>
      <c r="C41" s="553">
        <f t="shared" si="25"/>
        <v>19</v>
      </c>
      <c r="D41" s="835" t="str">
        <f t="shared" si="1"/>
        <v/>
      </c>
      <c r="E41" s="829" t="str">
        <f>IF(D41="","",IF(D41='Bank Transfers'!$L$15,'Bank Transfers'!$H$15,J42))</f>
        <v/>
      </c>
      <c r="F41" s="829" t="str">
        <f t="shared" si="12"/>
        <v/>
      </c>
      <c r="G41" s="829">
        <f t="shared" si="13"/>
        <v>0</v>
      </c>
      <c r="H41" s="806">
        <f t="shared" si="14"/>
        <v>0</v>
      </c>
      <c r="I41" s="829">
        <f>SUMIFS(Dividends!$G$15:$G$174,Dividends!$L$15:$L$174,D41,Dividends!$E$15:$E$174,"cash")</f>
        <v>0</v>
      </c>
      <c r="J41" s="829" t="str">
        <f t="shared" si="15"/>
        <v/>
      </c>
      <c r="K41" s="829">
        <f>SUMIFS('Trade Log'!$T$15:$T$20100,dateCode,"="&amp;D41)</f>
        <v>0</v>
      </c>
      <c r="L41" s="568"/>
      <c r="M41" s="562">
        <f t="shared" si="2"/>
        <v>0</v>
      </c>
      <c r="N41" s="563" t="str">
        <f t="shared" si="16"/>
        <v/>
      </c>
      <c r="O41" s="564">
        <f>IFERROR(SUMIFS('Trade Log'!$AC$15:$AC$20100,dateCode,"="&amp;D41),"")</f>
        <v>0</v>
      </c>
      <c r="P41" s="571"/>
      <c r="Q41" s="817">
        <f t="shared" si="29"/>
        <v>0</v>
      </c>
      <c r="R41" s="818" t="str">
        <f t="shared" si="4"/>
        <v/>
      </c>
      <c r="S41" s="818">
        <f t="shared" si="17"/>
        <v>0</v>
      </c>
      <c r="T41" s="811" t="str">
        <f t="shared" si="18"/>
        <v/>
      </c>
      <c r="U41" s="824" t="str">
        <f t="shared" si="26"/>
        <v/>
      </c>
      <c r="V41" s="80"/>
      <c r="W41">
        <f t="shared" si="27"/>
        <v>42461</v>
      </c>
      <c r="Y41" t="str">
        <f t="shared" si="6"/>
        <v/>
      </c>
      <c r="Z41">
        <f>SUMIFS('Trade Log'!$K$15:$K$20100,dateCode,"="&amp;D41)</f>
        <v>0</v>
      </c>
      <c r="AA41" s="17">
        <f>SUM(M41:$M$48)+$E$21</f>
        <v>100000</v>
      </c>
      <c r="AB41">
        <f t="shared" si="19"/>
        <v>0</v>
      </c>
      <c r="AC41">
        <f t="shared" si="20"/>
        <v>0</v>
      </c>
      <c r="AE41">
        <f t="shared" si="21"/>
        <v>0</v>
      </c>
      <c r="AG41" t="str">
        <f t="shared" si="7"/>
        <v/>
      </c>
      <c r="AH41" t="str">
        <f t="shared" si="8"/>
        <v/>
      </c>
      <c r="AI41">
        <f t="shared" si="9"/>
        <v>0</v>
      </c>
      <c r="AJ41">
        <f t="shared" si="10"/>
        <v>0</v>
      </c>
      <c r="AL41" t="str">
        <f t="shared" si="11"/>
        <v/>
      </c>
      <c r="AN41" s="10"/>
      <c r="AO41" s="17"/>
      <c r="AP41" s="10"/>
      <c r="AS41">
        <f>SUMIFS('Bank Transfers'!$H$15:$H$514,'Bank Transfers'!$L$15:$L$514,D41,'Bank Transfers'!$E$15:$E$514,"deposit")</f>
        <v>0</v>
      </c>
      <c r="AT41">
        <f>SUMIFS('Bank Transfers'!$H$15:$H$514,'Bank Transfers'!$L$15:$L$514,D41,'Bank Transfers'!$E$15:$E$514,"withdraw")</f>
        <v>0</v>
      </c>
    </row>
    <row r="42" spans="1:46" ht="21.95" customHeight="1">
      <c r="A42" t="str">
        <f>IF(D42="","",IF(D42='Bank Transfers'!$L$15,
AS42-E42,
AS42))</f>
        <v/>
      </c>
      <c r="B42" t="str">
        <f t="shared" si="0"/>
        <v/>
      </c>
      <c r="C42" s="553">
        <f t="shared" si="25"/>
        <v>20</v>
      </c>
      <c r="D42" s="835" t="str">
        <f t="shared" si="1"/>
        <v/>
      </c>
      <c r="E42" s="829" t="str">
        <f>IF(D42="","",IF(D42='Bank Transfers'!$L$15,'Bank Transfers'!$H$15,J43))</f>
        <v/>
      </c>
      <c r="F42" s="829" t="str">
        <f t="shared" si="12"/>
        <v/>
      </c>
      <c r="G42" s="829">
        <f t="shared" si="13"/>
        <v>0</v>
      </c>
      <c r="H42" s="806">
        <f t="shared" si="14"/>
        <v>0</v>
      </c>
      <c r="I42" s="829">
        <f>SUMIFS(Dividends!$G$15:$G$174,Dividends!$L$15:$L$174,D42,Dividends!$E$15:$E$174,"cash")</f>
        <v>0</v>
      </c>
      <c r="J42" s="829" t="str">
        <f t="shared" si="15"/>
        <v/>
      </c>
      <c r="K42" s="829">
        <f>SUMIFS('Trade Log'!$T$15:$T$20100,dateCode,"="&amp;D42)</f>
        <v>0</v>
      </c>
      <c r="L42" s="568"/>
      <c r="M42" s="562">
        <f t="shared" si="2"/>
        <v>0</v>
      </c>
      <c r="N42" s="563" t="str">
        <f t="shared" si="16"/>
        <v/>
      </c>
      <c r="O42" s="564">
        <f>IFERROR(SUMIFS('Trade Log'!$AC$15:$AC$20100,dateCode,"="&amp;D42),"")</f>
        <v>0</v>
      </c>
      <c r="P42" s="571"/>
      <c r="Q42" s="817">
        <f t="shared" si="29"/>
        <v>0</v>
      </c>
      <c r="R42" s="818" t="str">
        <f t="shared" si="4"/>
        <v/>
      </c>
      <c r="S42" s="818">
        <f t="shared" si="17"/>
        <v>0</v>
      </c>
      <c r="T42" s="811" t="str">
        <f t="shared" si="18"/>
        <v/>
      </c>
      <c r="U42" s="824" t="str">
        <f t="shared" si="26"/>
        <v/>
      </c>
      <c r="V42" s="80"/>
      <c r="W42">
        <f t="shared" si="27"/>
        <v>42430</v>
      </c>
      <c r="Y42" t="str">
        <f t="shared" si="6"/>
        <v/>
      </c>
      <c r="Z42">
        <f>SUMIFS('Trade Log'!$K$15:$K$20100,dateCode,"="&amp;D42)</f>
        <v>0</v>
      </c>
      <c r="AA42" s="17">
        <f>SUM(M42:$M$48)+$E$21</f>
        <v>100000</v>
      </c>
      <c r="AB42">
        <f t="shared" si="19"/>
        <v>0</v>
      </c>
      <c r="AC42">
        <f t="shared" si="20"/>
        <v>0</v>
      </c>
      <c r="AE42">
        <f t="shared" si="21"/>
        <v>0</v>
      </c>
      <c r="AG42" t="str">
        <f t="shared" si="7"/>
        <v/>
      </c>
      <c r="AH42" t="str">
        <f t="shared" si="8"/>
        <v/>
      </c>
      <c r="AI42">
        <f t="shared" si="9"/>
        <v>0</v>
      </c>
      <c r="AJ42">
        <f t="shared" si="10"/>
        <v>0</v>
      </c>
      <c r="AL42" t="str">
        <f t="shared" si="11"/>
        <v/>
      </c>
      <c r="AN42" s="10"/>
      <c r="AO42" s="17"/>
      <c r="AP42" s="10"/>
      <c r="AS42">
        <f>SUMIFS('Bank Transfers'!$H$15:$H$514,'Bank Transfers'!$L$15:$L$514,D42,'Bank Transfers'!$E$15:$E$514,"deposit")</f>
        <v>0</v>
      </c>
      <c r="AT42">
        <f>SUMIFS('Bank Transfers'!$H$15:$H$514,'Bank Transfers'!$L$15:$L$514,D42,'Bank Transfers'!$E$15:$E$514,"withdraw")</f>
        <v>0</v>
      </c>
    </row>
    <row r="43" spans="1:46" ht="21.95" customHeight="1">
      <c r="A43" t="str">
        <f>IF(D43="","",IF(D43='Bank Transfers'!$L$15,
AS43-E43,
AS43))</f>
        <v/>
      </c>
      <c r="B43" t="str">
        <f t="shared" si="0"/>
        <v/>
      </c>
      <c r="C43" s="553">
        <f t="shared" si="25"/>
        <v>21</v>
      </c>
      <c r="D43" s="835" t="str">
        <f t="shared" si="1"/>
        <v/>
      </c>
      <c r="E43" s="829" t="str">
        <f>IF(D43="","",IF(D43='Bank Transfers'!$L$15,'Bank Transfers'!$H$15,J44))</f>
        <v/>
      </c>
      <c r="F43" s="829" t="str">
        <f t="shared" si="12"/>
        <v/>
      </c>
      <c r="G43" s="829">
        <f t="shared" si="13"/>
        <v>0</v>
      </c>
      <c r="H43" s="806">
        <f t="shared" si="14"/>
        <v>0</v>
      </c>
      <c r="I43" s="829">
        <f>SUMIFS(Dividends!$G$15:$G$174,Dividends!$L$15:$L$174,D43,Dividends!$E$15:$E$174,"cash")</f>
        <v>0</v>
      </c>
      <c r="J43" s="829" t="str">
        <f t="shared" si="15"/>
        <v/>
      </c>
      <c r="K43" s="829">
        <f>SUMIFS('Trade Log'!$T$15:$T$20100,dateCode,"="&amp;D43)</f>
        <v>0</v>
      </c>
      <c r="L43" s="568"/>
      <c r="M43" s="562">
        <f t="shared" si="2"/>
        <v>0</v>
      </c>
      <c r="N43" s="563" t="str">
        <f t="shared" si="16"/>
        <v/>
      </c>
      <c r="O43" s="564">
        <f>IFERROR(SUMIFS('Trade Log'!$AC$15:$AC$20100,dateCode,"="&amp;D43),"")</f>
        <v>0</v>
      </c>
      <c r="P43" s="571"/>
      <c r="Q43" s="817">
        <f t="shared" si="29"/>
        <v>0</v>
      </c>
      <c r="R43" s="818" t="str">
        <f t="shared" si="4"/>
        <v/>
      </c>
      <c r="S43" s="818">
        <f t="shared" si="17"/>
        <v>0</v>
      </c>
      <c r="T43" s="811" t="str">
        <f t="shared" si="18"/>
        <v/>
      </c>
      <c r="U43" s="824" t="str">
        <f t="shared" si="26"/>
        <v/>
      </c>
      <c r="V43" s="80"/>
      <c r="W43">
        <f t="shared" si="27"/>
        <v>42401</v>
      </c>
      <c r="Y43" t="str">
        <f t="shared" si="6"/>
        <v/>
      </c>
      <c r="Z43">
        <f>SUMIFS('Trade Log'!$K$15:$K$20100,dateCode,"="&amp;D43)</f>
        <v>0</v>
      </c>
      <c r="AA43" s="17">
        <f>SUM(M43:$M$48)+$E$21</f>
        <v>100000</v>
      </c>
      <c r="AB43">
        <f t="shared" si="19"/>
        <v>0</v>
      </c>
      <c r="AC43">
        <f t="shared" si="20"/>
        <v>0</v>
      </c>
      <c r="AE43">
        <f t="shared" si="21"/>
        <v>0</v>
      </c>
      <c r="AG43" t="str">
        <f t="shared" si="7"/>
        <v/>
      </c>
      <c r="AH43" t="str">
        <f t="shared" si="8"/>
        <v/>
      </c>
      <c r="AI43">
        <f t="shared" si="9"/>
        <v>0</v>
      </c>
      <c r="AJ43">
        <f t="shared" si="10"/>
        <v>0</v>
      </c>
      <c r="AL43" t="str">
        <f t="shared" si="11"/>
        <v/>
      </c>
      <c r="AN43" s="10"/>
      <c r="AO43" s="17"/>
      <c r="AP43" s="10"/>
      <c r="AS43">
        <f>SUMIFS('Bank Transfers'!$H$15:$H$514,'Bank Transfers'!$L$15:$L$514,D43,'Bank Transfers'!$E$15:$E$514,"deposit")</f>
        <v>0</v>
      </c>
      <c r="AT43">
        <f>SUMIFS('Bank Transfers'!$H$15:$H$514,'Bank Transfers'!$L$15:$L$514,D43,'Bank Transfers'!$E$15:$E$514,"withdraw")</f>
        <v>0</v>
      </c>
    </row>
    <row r="44" spans="1:46" ht="21.95" customHeight="1">
      <c r="A44" t="str">
        <f>IF(D44="","",IF(D44='Bank Transfers'!$L$15,
AS44-E44,
AS44))</f>
        <v/>
      </c>
      <c r="B44" t="str">
        <f t="shared" si="0"/>
        <v/>
      </c>
      <c r="C44" s="553">
        <f t="shared" si="25"/>
        <v>22</v>
      </c>
      <c r="D44" s="835" t="str">
        <f t="shared" si="1"/>
        <v/>
      </c>
      <c r="E44" s="829" t="str">
        <f>IF(D44="","",IF(D44='Bank Transfers'!$L$15,'Bank Transfers'!$H$15,J45))</f>
        <v/>
      </c>
      <c r="F44" s="829" t="str">
        <f t="shared" si="12"/>
        <v/>
      </c>
      <c r="G44" s="829">
        <f t="shared" si="13"/>
        <v>0</v>
      </c>
      <c r="H44" s="806">
        <f t="shared" si="14"/>
        <v>0</v>
      </c>
      <c r="I44" s="829">
        <f>SUMIFS(Dividends!$G$15:$G$174,Dividends!$L$15:$L$174,D44,Dividends!$E$15:$E$174,"cash")</f>
        <v>0</v>
      </c>
      <c r="J44" s="829" t="str">
        <f t="shared" si="15"/>
        <v/>
      </c>
      <c r="K44" s="829">
        <f>SUMIFS('Trade Log'!$T$15:$T$20100,dateCode,"="&amp;D44)</f>
        <v>0</v>
      </c>
      <c r="L44" s="568"/>
      <c r="M44" s="562">
        <f t="shared" si="2"/>
        <v>0</v>
      </c>
      <c r="N44" s="563" t="str">
        <f t="shared" si="16"/>
        <v/>
      </c>
      <c r="O44" s="564">
        <f>IFERROR(SUMIFS('Trade Log'!$AC$15:$AC$20100,dateCode,"="&amp;D44),"")</f>
        <v>0</v>
      </c>
      <c r="P44" s="571"/>
      <c r="Q44" s="817">
        <f t="shared" si="29"/>
        <v>0</v>
      </c>
      <c r="R44" s="818" t="str">
        <f t="shared" si="4"/>
        <v/>
      </c>
      <c r="S44" s="818">
        <f t="shared" si="17"/>
        <v>0</v>
      </c>
      <c r="T44" s="811" t="str">
        <f t="shared" si="18"/>
        <v/>
      </c>
      <c r="U44" s="824" t="str">
        <f t="shared" si="26"/>
        <v/>
      </c>
      <c r="V44" s="80"/>
      <c r="W44">
        <f t="shared" si="27"/>
        <v>42370</v>
      </c>
      <c r="Y44" t="str">
        <f t="shared" si="6"/>
        <v/>
      </c>
      <c r="Z44">
        <f>SUMIFS('Trade Log'!$K$15:$K$20100,dateCode,"="&amp;D44)</f>
        <v>0</v>
      </c>
      <c r="AA44" s="17">
        <f>SUM(M44:$M$48)+$E$21</f>
        <v>100000</v>
      </c>
      <c r="AB44">
        <f t="shared" si="19"/>
        <v>0</v>
      </c>
      <c r="AC44">
        <f t="shared" si="20"/>
        <v>0</v>
      </c>
      <c r="AE44">
        <f t="shared" si="21"/>
        <v>0</v>
      </c>
      <c r="AG44" t="str">
        <f t="shared" si="7"/>
        <v/>
      </c>
      <c r="AH44" t="str">
        <f t="shared" si="8"/>
        <v/>
      </c>
      <c r="AI44">
        <f t="shared" si="9"/>
        <v>0</v>
      </c>
      <c r="AJ44">
        <f t="shared" si="10"/>
        <v>0</v>
      </c>
      <c r="AL44" t="str">
        <f t="shared" si="11"/>
        <v/>
      </c>
      <c r="AN44" s="10"/>
      <c r="AO44" s="17"/>
      <c r="AP44" s="10"/>
      <c r="AS44">
        <f>SUMIFS('Bank Transfers'!$H$15:$H$514,'Bank Transfers'!$L$15:$L$514,D44,'Bank Transfers'!$E$15:$E$514,"deposit")</f>
        <v>0</v>
      </c>
      <c r="AT44">
        <f>SUMIFS('Bank Transfers'!$H$15:$H$514,'Bank Transfers'!$L$15:$L$514,D44,'Bank Transfers'!$E$15:$E$514,"withdraw")</f>
        <v>0</v>
      </c>
    </row>
    <row r="45" spans="1:46" ht="21.95" customHeight="1">
      <c r="A45" t="str">
        <f>IF(D45="","",IF(D45='Bank Transfers'!$L$15,
AS45-E45,
AS45))</f>
        <v/>
      </c>
      <c r="B45" t="str">
        <f t="shared" si="0"/>
        <v/>
      </c>
      <c r="C45" s="553">
        <f t="shared" si="25"/>
        <v>23</v>
      </c>
      <c r="D45" s="835" t="str">
        <f t="shared" si="1"/>
        <v/>
      </c>
      <c r="E45" s="829" t="str">
        <f>IF(D45="","",IF(D45='Bank Transfers'!$L$15,'Bank Transfers'!$H$15,J46))</f>
        <v/>
      </c>
      <c r="F45" s="829" t="str">
        <f t="shared" si="12"/>
        <v/>
      </c>
      <c r="G45" s="829">
        <f t="shared" si="13"/>
        <v>0</v>
      </c>
      <c r="H45" s="806">
        <f t="shared" si="14"/>
        <v>0</v>
      </c>
      <c r="I45" s="829">
        <f>SUMIFS(Dividends!$G$15:$G$174,Dividends!$L$15:$L$174,D45,Dividends!$E$15:$E$174,"cash")</f>
        <v>0</v>
      </c>
      <c r="J45" s="829" t="str">
        <f t="shared" si="15"/>
        <v/>
      </c>
      <c r="K45" s="829">
        <f>SUMIFS('Trade Log'!$T$15:$T$20100,dateCode,"="&amp;D45)</f>
        <v>0</v>
      </c>
      <c r="L45" s="568"/>
      <c r="M45" s="562">
        <f t="shared" si="2"/>
        <v>0</v>
      </c>
      <c r="N45" s="563" t="str">
        <f t="shared" si="16"/>
        <v/>
      </c>
      <c r="O45" s="564">
        <f>IFERROR(SUMIFS('Trade Log'!$AC$15:$AC$20100,dateCode,"="&amp;D45),"")</f>
        <v>0</v>
      </c>
      <c r="P45" s="571"/>
      <c r="Q45" s="817">
        <f t="shared" si="29"/>
        <v>0</v>
      </c>
      <c r="R45" s="818" t="str">
        <f t="shared" si="4"/>
        <v/>
      </c>
      <c r="S45" s="818">
        <f t="shared" si="17"/>
        <v>0</v>
      </c>
      <c r="T45" s="811" t="str">
        <f t="shared" si="18"/>
        <v/>
      </c>
      <c r="U45" s="824" t="str">
        <f t="shared" si="26"/>
        <v/>
      </c>
      <c r="V45" s="80"/>
      <c r="W45">
        <f t="shared" si="27"/>
        <v>42339</v>
      </c>
      <c r="Y45" t="str">
        <f t="shared" si="6"/>
        <v/>
      </c>
      <c r="Z45">
        <f>SUMIFS('Trade Log'!$K$15:$K$20100,dateCode,"="&amp;D45)</f>
        <v>0</v>
      </c>
      <c r="AA45" s="17">
        <f>SUM(M45:$M$48)+$E$21</f>
        <v>100000</v>
      </c>
      <c r="AB45">
        <f t="shared" si="19"/>
        <v>0</v>
      </c>
      <c r="AC45">
        <f t="shared" si="20"/>
        <v>0</v>
      </c>
      <c r="AE45">
        <f t="shared" si="21"/>
        <v>0</v>
      </c>
      <c r="AG45" t="str">
        <f t="shared" si="7"/>
        <v/>
      </c>
      <c r="AH45" t="str">
        <f t="shared" si="8"/>
        <v/>
      </c>
      <c r="AI45">
        <f t="shared" si="9"/>
        <v>0</v>
      </c>
      <c r="AJ45">
        <f t="shared" si="10"/>
        <v>0</v>
      </c>
      <c r="AL45" t="str">
        <f t="shared" si="11"/>
        <v/>
      </c>
      <c r="AN45" s="10"/>
      <c r="AO45" s="17"/>
      <c r="AP45" s="10"/>
      <c r="AS45">
        <f>SUMIFS('Bank Transfers'!$H$15:$H$514,'Bank Transfers'!$L$15:$L$514,D45,'Bank Transfers'!$E$15:$E$514,"deposit")</f>
        <v>0</v>
      </c>
      <c r="AT45">
        <f>SUMIFS('Bank Transfers'!$H$15:$H$514,'Bank Transfers'!$L$15:$L$514,D45,'Bank Transfers'!$E$15:$E$514,"withdraw")</f>
        <v>0</v>
      </c>
    </row>
    <row r="46" spans="1:46" ht="21.95" customHeight="1">
      <c r="A46" t="str">
        <f>IF(D46="","",IF(D46='Bank Transfers'!$L$15,
AS46-E46,
AS46))</f>
        <v/>
      </c>
      <c r="B46" t="str">
        <f t="shared" ref="B46:B47" si="30">IF(D46="","",AT46)</f>
        <v/>
      </c>
      <c r="C46" s="553">
        <f t="shared" si="25"/>
        <v>24</v>
      </c>
      <c r="D46" s="835" t="str">
        <f t="shared" ref="D46:D47" si="31">IF(W46&lt;$X$7,"",W46)</f>
        <v/>
      </c>
      <c r="E46" s="829" t="str">
        <f>IF(D46="","",IF(D46='Bank Transfers'!$L$15,'Bank Transfers'!$H$15,J47))</f>
        <v/>
      </c>
      <c r="F46" s="829" t="str">
        <f t="shared" ref="F46" si="32">IFERROR(A46+B46,"")</f>
        <v/>
      </c>
      <c r="G46" s="829">
        <f t="shared" si="13"/>
        <v>0</v>
      </c>
      <c r="H46" s="806">
        <f t="shared" si="14"/>
        <v>0</v>
      </c>
      <c r="I46" s="829">
        <f>SUMIFS(Dividends!$G$15:$G$174,Dividends!$L$15:$L$174,D46,Dividends!$E$15:$E$174,"cash")</f>
        <v>0</v>
      </c>
      <c r="J46" s="829" t="str">
        <f t="shared" si="15"/>
        <v/>
      </c>
      <c r="K46" s="829">
        <f>SUMIFS('Trade Log'!$T$15:$T$20100,dateCode,"="&amp;D46)</f>
        <v>0</v>
      </c>
      <c r="L46" s="568"/>
      <c r="M46" s="562">
        <f t="shared" ref="M46" si="33">IFERROR(G46+H46+I46,"")</f>
        <v>0</v>
      </c>
      <c r="N46" s="563" t="str">
        <f t="shared" ref="N46" si="34">IFERROR(M46/E46,"")</f>
        <v/>
      </c>
      <c r="O46" s="564">
        <f>IFERROR(SUMIFS('Trade Log'!$AC$15:$AC$20100,dateCode,"="&amp;D46),"")</f>
        <v>0</v>
      </c>
      <c r="P46" s="571"/>
      <c r="Q46" s="817">
        <f t="shared" ref="Q46" si="35">IFERROR(AB46+AC46,"")</f>
        <v>0</v>
      </c>
      <c r="R46" s="818" t="str">
        <f t="shared" ref="R46" si="36">IFERROR(AB46/(AB46+AC46),"")</f>
        <v/>
      </c>
      <c r="S46" s="818">
        <f t="shared" si="17"/>
        <v>0</v>
      </c>
      <c r="T46" s="811" t="str">
        <f t="shared" si="18"/>
        <v/>
      </c>
      <c r="U46" s="824" t="str">
        <f t="shared" si="26"/>
        <v/>
      </c>
      <c r="V46" s="80"/>
      <c r="W46">
        <f t="shared" si="27"/>
        <v>42309</v>
      </c>
      <c r="Y46" t="str">
        <f t="shared" ref="Y46:Y47" si="37">D46</f>
        <v/>
      </c>
      <c r="Z46">
        <f>SUMIFS('Trade Log'!$K$15:$K$20100,dateCode,"="&amp;D46)</f>
        <v>0</v>
      </c>
      <c r="AA46" s="17">
        <f>SUM(M46:$M$48)+$E$21</f>
        <v>100000</v>
      </c>
      <c r="AB46">
        <f t="shared" si="19"/>
        <v>0</v>
      </c>
      <c r="AC46">
        <f t="shared" si="20"/>
        <v>0</v>
      </c>
      <c r="AE46">
        <f t="shared" ref="AE46" si="38">IFERROR(INDEX($J$22:$J$47,MATCH(W46,$Y$22:$Y$47,0)),0)</f>
        <v>0</v>
      </c>
      <c r="AG46" t="str">
        <f t="shared" ref="AG46" si="39">A46</f>
        <v/>
      </c>
      <c r="AH46" t="str">
        <f t="shared" ref="AH46" si="40">B46</f>
        <v/>
      </c>
      <c r="AI46">
        <f t="shared" ref="AI46" si="41">I46</f>
        <v>0</v>
      </c>
      <c r="AJ46">
        <f t="shared" ref="AJ46" si="42">IFERROR(INDEX($Z$22:$Z$47,MATCH(W46,$Y$22:$Y$47,0)),0)</f>
        <v>0</v>
      </c>
      <c r="AL46" t="str">
        <f t="shared" ref="AL46" si="43">IFERROR((J46-E46)/E46,"")</f>
        <v/>
      </c>
      <c r="AN46" s="10"/>
      <c r="AO46" s="17"/>
      <c r="AP46" s="10"/>
      <c r="AS46">
        <f>SUMIFS('Bank Transfers'!$H$15:$H$514,'Bank Transfers'!$L$15:$L$514,D46,'Bank Transfers'!$E$15:$E$514,"deposit")</f>
        <v>0</v>
      </c>
      <c r="AT46">
        <f>SUMIFS('Bank Transfers'!$H$15:$H$514,'Bank Transfers'!$L$15:$L$514,D46,'Bank Transfers'!$E$15:$E$514,"withdraw")</f>
        <v>0</v>
      </c>
    </row>
    <row r="47" spans="1:46" ht="21.95" customHeight="1">
      <c r="A47" t="str">
        <f>IF(D47="","",IF(D47='Bank Transfers'!$L$15,
AS47-E47,
AS47))</f>
        <v/>
      </c>
      <c r="B47" t="str">
        <f t="shared" si="30"/>
        <v/>
      </c>
      <c r="C47" s="553">
        <f t="shared" si="25"/>
        <v>25</v>
      </c>
      <c r="D47" s="836" t="str">
        <f t="shared" si="31"/>
        <v/>
      </c>
      <c r="E47" s="830">
        <f>IF(D47="",0,J48)</f>
        <v>0</v>
      </c>
      <c r="F47" s="830" t="str">
        <f t="shared" si="12"/>
        <v/>
      </c>
      <c r="G47" s="830">
        <f t="shared" si="13"/>
        <v>0</v>
      </c>
      <c r="H47" s="807">
        <f t="shared" si="14"/>
        <v>0</v>
      </c>
      <c r="I47" s="830">
        <f>SUMIFS(Dividends!$G$15:$G$174,Dividends!$L$15:$L$174,D47,Dividends!$E$15:$E$174,"cash")</f>
        <v>0</v>
      </c>
      <c r="J47" s="830" t="str">
        <f t="shared" si="15"/>
        <v/>
      </c>
      <c r="K47" s="830">
        <f>SUMIFS('Trade Log'!$T$15:$T$20100,dateCode,"="&amp;D47)</f>
        <v>0</v>
      </c>
      <c r="L47" s="568"/>
      <c r="M47" s="565">
        <f t="shared" si="2"/>
        <v>0</v>
      </c>
      <c r="N47" s="566" t="str">
        <f t="shared" si="16"/>
        <v/>
      </c>
      <c r="O47" s="567">
        <f>IFERROR(SUMIFS('Trade Log'!$AC$15:$AC$20100,dateCode,"="&amp;D47),"")</f>
        <v>0</v>
      </c>
      <c r="P47" s="571"/>
      <c r="Q47" s="819">
        <f t="shared" si="29"/>
        <v>0</v>
      </c>
      <c r="R47" s="820" t="str">
        <f t="shared" si="4"/>
        <v/>
      </c>
      <c r="S47" s="820">
        <f t="shared" si="17"/>
        <v>0</v>
      </c>
      <c r="T47" s="812" t="str">
        <f t="shared" si="18"/>
        <v/>
      </c>
      <c r="U47" s="825" t="str">
        <f t="shared" si="26"/>
        <v/>
      </c>
      <c r="V47" s="80"/>
      <c r="W47">
        <f t="shared" si="27"/>
        <v>42278</v>
      </c>
      <c r="Y47" t="str">
        <f t="shared" si="37"/>
        <v/>
      </c>
      <c r="Z47">
        <f>SUMIFS('Trade Log'!$K$15:$K$20100,dateCode,"="&amp;D47)</f>
        <v>0</v>
      </c>
      <c r="AA47" s="17">
        <f>SUM(M47:$M$48)+$E$21</f>
        <v>100000</v>
      </c>
      <c r="AB47">
        <f t="shared" si="19"/>
        <v>0</v>
      </c>
      <c r="AC47">
        <f t="shared" si="20"/>
        <v>0</v>
      </c>
      <c r="AE47" s="50">
        <f t="shared" si="21"/>
        <v>0</v>
      </c>
      <c r="AG47" t="str">
        <f t="shared" si="7"/>
        <v/>
      </c>
      <c r="AH47" t="str">
        <f t="shared" si="8"/>
        <v/>
      </c>
      <c r="AI47">
        <f t="shared" si="9"/>
        <v>0</v>
      </c>
      <c r="AJ47">
        <f t="shared" si="10"/>
        <v>0</v>
      </c>
      <c r="AL47" t="str">
        <f t="shared" si="11"/>
        <v/>
      </c>
      <c r="AN47" s="10"/>
      <c r="AO47" s="17"/>
      <c r="AP47" s="10"/>
      <c r="AS47">
        <f>SUMIFS('Bank Transfers'!$H$15:$H$514,'Bank Transfers'!$L$15:$L$514,D47,'Bank Transfers'!$E$15:$E$514,"deposit")</f>
        <v>0</v>
      </c>
      <c r="AT47">
        <f>SUMIFS('Bank Transfers'!$H$15:$H$514,'Bank Transfers'!$L$15:$L$514,D47,'Bank Transfers'!$E$15:$E$514,"withdraw")</f>
        <v>0</v>
      </c>
    </row>
    <row r="48" spans="1:46" ht="21.95" hidden="1" customHeight="1">
      <c r="D48">
        <f>X7</f>
        <v>42979</v>
      </c>
      <c r="E48" s="137">
        <f>J48-F48-M48</f>
        <v>100000</v>
      </c>
      <c r="F48" s="137">
        <f>F21-SUM(F23:F47)-IF(D22=D23,0,F22)</f>
        <v>0</v>
      </c>
      <c r="G48" s="137">
        <f>G21-SUM(G23:G47)-IF(D22=D23,0,G22)</f>
        <v>0</v>
      </c>
      <c r="H48" s="143">
        <f>H21-SUM(H23:H47)-IF(D22=D23,0,H22)</f>
        <v>0</v>
      </c>
      <c r="I48" s="137">
        <f>I21-SUM(I23:I47)-IF(D22=D23,0,I22)</f>
        <v>0</v>
      </c>
      <c r="J48" s="137">
        <f>M48+F48+E21</f>
        <v>100000</v>
      </c>
      <c r="K48" s="137">
        <f>K21-SUM(K23:K47)-IF(D22=D23,0,K22)</f>
        <v>0</v>
      </c>
      <c r="L48" s="137"/>
      <c r="M48" s="143">
        <f>IFERROR(G48+H48+I48,"")</f>
        <v>0</v>
      </c>
      <c r="N48">
        <f>IFERROR(M48/(E48+A48),"")</f>
        <v>0</v>
      </c>
      <c r="O48">
        <f>O21-SUM(O23:O47)</f>
        <v>0</v>
      </c>
      <c r="Q48">
        <f>Q21-SUM(Q23:Q47)</f>
        <v>0</v>
      </c>
      <c r="R48" t="str">
        <f t="shared" ref="R48" si="44">IFERROR(AB48/(AB48+AC48),"")</f>
        <v/>
      </c>
      <c r="S48">
        <f>IFERROR(((AVERAGEIFS('Trade Log'!$AT$15:$AT$26022,'Trade Log'!$AN$15:$AN$26022,2,'Trade Log'!$AM$15:$AM$26022,"="&amp;D48))),0)</f>
        <v>0.15476162265178506</v>
      </c>
      <c r="T48">
        <f>IFERROR(((AVERAGEIFS('Trade Log'!$AT$15:$AT$26022,'Trade Log'!$AN$15:$AN$26022,1,'Trade Log'!$AM$15:$AM$26022,"="&amp;D48))),"")</f>
        <v>-2.581530934502347E-2</v>
      </c>
      <c r="U48" t="str">
        <f t="shared" ref="U48" si="45">IF(D48="","",IF((AC48+AB48)=0,"",IFERROR((G48/AB48)/-(H48/AC48),0)))</f>
        <v/>
      </c>
      <c r="Z48">
        <f>Z21-SUM(Z23:Z47)-IF(D22=D23,0,Z22)</f>
        <v>0</v>
      </c>
    </row>
    <row r="49" spans="3:42" ht="21.95" hidden="1" customHeight="1">
      <c r="C49" s="89"/>
      <c r="D49" s="81"/>
      <c r="E49" s="136"/>
      <c r="F49" s="136"/>
      <c r="G49" s="136"/>
      <c r="H49" s="142"/>
      <c r="I49" s="136"/>
      <c r="J49" s="136"/>
      <c r="K49" s="136"/>
      <c r="L49" s="569"/>
      <c r="M49" s="145"/>
      <c r="N49" s="87"/>
      <c r="O49" s="86"/>
      <c r="P49" s="572"/>
      <c r="Q49" s="82"/>
      <c r="R49" s="83"/>
      <c r="S49" s="83"/>
      <c r="T49" s="84"/>
      <c r="U49" s="85"/>
      <c r="V49" s="80"/>
      <c r="AN49" s="10"/>
      <c r="AO49" s="17"/>
      <c r="AP49" s="10"/>
    </row>
    <row r="50" spans="3:42" ht="21.95" hidden="1" customHeight="1">
      <c r="C50" s="122"/>
      <c r="D50" s="98"/>
      <c r="E50" s="138"/>
      <c r="F50" s="138"/>
      <c r="G50" s="138"/>
      <c r="H50" s="144"/>
      <c r="I50" s="138"/>
      <c r="J50" s="138"/>
      <c r="K50" s="138"/>
      <c r="L50" s="570"/>
      <c r="M50" s="146"/>
      <c r="N50" s="103"/>
      <c r="O50" s="102"/>
      <c r="P50" s="573"/>
      <c r="Q50" s="99"/>
      <c r="R50" s="100"/>
      <c r="S50" s="100"/>
      <c r="T50" s="104"/>
      <c r="U50" s="101"/>
      <c r="V50" s="88"/>
      <c r="AN50" s="10"/>
      <c r="AO50" s="17"/>
      <c r="AP50" s="10"/>
    </row>
    <row r="51" spans="3:42" ht="21.95" customHeight="1">
      <c r="C51" s="57"/>
      <c r="D51" s="57"/>
      <c r="E51" s="139"/>
      <c r="F51" s="139"/>
      <c r="G51" s="139"/>
      <c r="H51" s="139"/>
      <c r="I51" s="139"/>
      <c r="J51" s="139"/>
      <c r="K51" s="139"/>
      <c r="L51" s="139"/>
      <c r="M51" s="139"/>
      <c r="N51" s="57"/>
      <c r="O51" s="57"/>
      <c r="P51" s="57"/>
      <c r="Q51" s="57"/>
      <c r="R51" s="57"/>
      <c r="S51" s="57"/>
      <c r="T51" s="57"/>
      <c r="U51" s="57"/>
      <c r="V51" s="57"/>
    </row>
    <row r="52" spans="3:42" ht="21.95" customHeight="1">
      <c r="C52" s="57"/>
      <c r="D52" s="57"/>
      <c r="E52" s="57"/>
      <c r="F52" s="57"/>
      <c r="G52" s="57"/>
      <c r="H52" s="57"/>
      <c r="I52" s="57"/>
      <c r="J52" s="57"/>
      <c r="K52" s="57"/>
      <c r="L52" s="57"/>
      <c r="M52" s="57"/>
      <c r="N52" s="57"/>
      <c r="O52" s="57"/>
      <c r="P52" s="57"/>
      <c r="Q52" s="57"/>
      <c r="R52" s="57"/>
      <c r="S52" s="57"/>
      <c r="T52" s="57"/>
      <c r="U52" s="57"/>
      <c r="V52" s="57"/>
    </row>
    <row r="53" spans="3:42">
      <c r="C53" s="57"/>
      <c r="D53" s="57"/>
      <c r="E53" s="57"/>
      <c r="F53" s="57"/>
      <c r="G53" s="57"/>
      <c r="H53" s="57"/>
      <c r="I53" s="57"/>
      <c r="J53" s="57"/>
      <c r="K53" s="57"/>
      <c r="L53" s="57"/>
      <c r="M53" s="57"/>
      <c r="N53" s="57"/>
      <c r="O53" s="57"/>
      <c r="P53" s="57"/>
      <c r="Q53" s="57"/>
      <c r="R53" s="57"/>
      <c r="S53" s="57"/>
      <c r="T53" s="57"/>
      <c r="U53" s="57"/>
      <c r="V53" s="57"/>
    </row>
    <row r="54" spans="3:42">
      <c r="C54" s="57"/>
      <c r="D54" s="57"/>
      <c r="E54" s="57"/>
      <c r="F54" s="57"/>
      <c r="G54" s="57"/>
      <c r="H54" s="57"/>
      <c r="I54" s="57"/>
      <c r="J54" s="57"/>
      <c r="K54" s="57"/>
      <c r="L54" s="57"/>
      <c r="M54" s="57"/>
      <c r="N54" s="57"/>
      <c r="O54" s="57"/>
      <c r="P54" s="57"/>
      <c r="Q54" s="57"/>
      <c r="R54" s="57"/>
      <c r="S54" s="57"/>
      <c r="T54" s="57"/>
      <c r="U54" s="57"/>
      <c r="V54" s="57"/>
    </row>
    <row r="55" spans="3:42">
      <c r="C55" s="57"/>
      <c r="D55" s="57"/>
      <c r="E55" s="57"/>
      <c r="F55" s="57"/>
      <c r="G55" s="57"/>
      <c r="H55" s="57"/>
      <c r="I55" s="57"/>
      <c r="J55" s="57"/>
      <c r="K55" s="57"/>
      <c r="L55" s="57"/>
      <c r="M55" s="57"/>
      <c r="N55" s="57"/>
      <c r="O55" s="57"/>
      <c r="P55" s="57"/>
      <c r="Q55" s="57"/>
      <c r="R55" s="57"/>
      <c r="S55" s="57"/>
      <c r="T55" s="57"/>
      <c r="U55" s="57"/>
      <c r="V55" s="57"/>
    </row>
    <row r="56" spans="3:42">
      <c r="C56" s="57"/>
      <c r="D56" s="57"/>
      <c r="E56" s="57"/>
      <c r="F56" s="57"/>
      <c r="G56" s="57"/>
      <c r="H56" s="57"/>
      <c r="I56" s="57"/>
      <c r="J56" s="57"/>
      <c r="K56" s="57"/>
      <c r="L56" s="57"/>
      <c r="M56" s="57"/>
      <c r="N56" s="57"/>
      <c r="O56" s="57"/>
      <c r="P56" s="57"/>
      <c r="Q56" s="57"/>
      <c r="R56" s="57"/>
      <c r="S56" s="57"/>
      <c r="T56" s="57"/>
      <c r="U56" s="57"/>
      <c r="V56" s="57"/>
    </row>
    <row r="57" spans="3:42">
      <c r="C57" s="57"/>
      <c r="D57" s="57"/>
      <c r="E57" s="57"/>
      <c r="F57" s="57"/>
      <c r="G57" s="57"/>
      <c r="H57" s="57"/>
      <c r="I57" s="57"/>
      <c r="J57" s="57"/>
      <c r="K57" s="57"/>
      <c r="L57" s="57"/>
      <c r="M57" s="57"/>
      <c r="N57" s="57"/>
      <c r="O57" s="57"/>
      <c r="P57" s="57"/>
      <c r="Q57" s="57"/>
      <c r="R57" s="57"/>
      <c r="S57" s="57"/>
      <c r="T57" s="57"/>
      <c r="U57" s="57"/>
      <c r="V57" s="57"/>
    </row>
    <row r="58" spans="3:42">
      <c r="C58" s="57"/>
      <c r="D58" s="57"/>
      <c r="E58" s="57"/>
      <c r="F58" s="57"/>
      <c r="G58" s="57"/>
      <c r="H58" s="57"/>
      <c r="I58" s="57"/>
      <c r="J58" s="57"/>
      <c r="K58" s="57"/>
      <c r="L58" s="57"/>
      <c r="M58" s="57"/>
      <c r="N58" s="57"/>
      <c r="O58" s="57"/>
      <c r="P58" s="57"/>
      <c r="Q58" s="57"/>
      <c r="R58" s="57"/>
      <c r="S58" s="57"/>
      <c r="T58" s="57"/>
      <c r="U58" s="57"/>
      <c r="V58" s="57"/>
    </row>
    <row r="59" spans="3:42">
      <c r="C59" s="57"/>
      <c r="D59" s="57"/>
      <c r="E59" s="57"/>
      <c r="F59" s="57"/>
      <c r="G59" s="57"/>
      <c r="H59" s="57"/>
      <c r="I59" s="57"/>
      <c r="J59" s="57"/>
      <c r="K59" s="57"/>
      <c r="L59" s="57"/>
      <c r="M59" s="57"/>
      <c r="N59" s="57"/>
      <c r="O59" s="57"/>
      <c r="P59" s="57"/>
      <c r="Q59" s="57"/>
      <c r="R59" s="57"/>
      <c r="S59" s="57"/>
      <c r="T59" s="57"/>
      <c r="U59" s="57"/>
      <c r="V59" s="57"/>
    </row>
    <row r="60" spans="3:42">
      <c r="C60" s="57"/>
      <c r="D60" s="57"/>
      <c r="E60" s="57"/>
      <c r="F60" s="57"/>
      <c r="G60" s="57"/>
      <c r="H60" s="57"/>
      <c r="I60" s="57"/>
      <c r="J60" s="57"/>
      <c r="K60" s="57"/>
      <c r="L60" s="57"/>
      <c r="M60" s="57"/>
      <c r="N60" s="57"/>
      <c r="O60" s="57"/>
      <c r="P60" s="57"/>
      <c r="Q60" s="57"/>
      <c r="R60" s="57"/>
      <c r="S60" s="57"/>
      <c r="T60" s="57"/>
      <c r="U60" s="57"/>
      <c r="V60" s="57"/>
    </row>
    <row r="61" spans="3:42">
      <c r="C61" s="57"/>
      <c r="D61" s="57"/>
      <c r="E61" s="57"/>
      <c r="F61" s="57"/>
      <c r="G61" s="57"/>
      <c r="H61" s="57"/>
      <c r="I61" s="57"/>
      <c r="J61" s="57"/>
      <c r="K61" s="57"/>
      <c r="L61" s="57"/>
      <c r="M61" s="57"/>
      <c r="N61" s="57"/>
      <c r="O61" s="57"/>
      <c r="P61" s="57"/>
      <c r="Q61" s="57"/>
      <c r="R61" s="57"/>
      <c r="S61" s="57"/>
      <c r="T61" s="57"/>
      <c r="U61" s="57"/>
      <c r="V61" s="57"/>
    </row>
    <row r="62" spans="3:42">
      <c r="C62" s="57"/>
      <c r="D62" s="57"/>
      <c r="E62" s="57"/>
      <c r="F62" s="57"/>
      <c r="G62" s="57"/>
      <c r="H62" s="57"/>
      <c r="I62" s="57"/>
      <c r="J62" s="57"/>
      <c r="K62" s="57"/>
      <c r="L62" s="57"/>
      <c r="M62" s="57"/>
      <c r="N62" s="57"/>
      <c r="O62" s="57"/>
      <c r="P62" s="57"/>
      <c r="Q62" s="57"/>
      <c r="R62" s="57"/>
      <c r="S62" s="57"/>
      <c r="T62" s="57"/>
      <c r="U62" s="57"/>
      <c r="V62" s="57"/>
    </row>
    <row r="63" spans="3:42">
      <c r="C63" s="57"/>
      <c r="D63" s="57"/>
      <c r="E63" s="57"/>
      <c r="F63" s="57"/>
      <c r="G63" s="57"/>
      <c r="H63" s="57"/>
      <c r="I63" s="57"/>
      <c r="J63" s="57"/>
      <c r="K63" s="57"/>
      <c r="L63" s="57"/>
      <c r="M63" s="57"/>
      <c r="N63" s="57"/>
      <c r="O63" s="57"/>
      <c r="P63" s="57"/>
      <c r="Q63" s="57"/>
      <c r="R63" s="57"/>
      <c r="S63" s="57"/>
      <c r="T63" s="57"/>
      <c r="U63" s="57"/>
      <c r="V63" s="57"/>
    </row>
    <row r="64" spans="3:42">
      <c r="C64" s="57"/>
      <c r="D64" s="57"/>
      <c r="E64" s="57"/>
      <c r="F64" s="57"/>
      <c r="G64" s="57"/>
      <c r="H64" s="57"/>
      <c r="I64" s="57"/>
      <c r="J64" s="57"/>
      <c r="K64" s="57"/>
      <c r="L64" s="57"/>
      <c r="M64" s="57"/>
      <c r="N64" s="57"/>
      <c r="O64" s="57"/>
      <c r="P64" s="57"/>
      <c r="Q64" s="57"/>
      <c r="R64" s="57"/>
      <c r="S64" s="57"/>
      <c r="T64" s="57"/>
      <c r="U64" s="57"/>
      <c r="V64" s="57"/>
    </row>
    <row r="65" spans="3:22">
      <c r="C65" s="57"/>
      <c r="D65" s="57"/>
      <c r="E65" s="57"/>
      <c r="F65" s="57"/>
      <c r="G65" s="57"/>
      <c r="H65" s="57"/>
      <c r="I65" s="57"/>
      <c r="J65" s="57"/>
      <c r="K65" s="57"/>
      <c r="L65" s="57"/>
      <c r="M65" s="57"/>
      <c r="N65" s="57"/>
      <c r="O65" s="57"/>
      <c r="P65" s="57"/>
      <c r="Q65" s="57"/>
      <c r="R65" s="57"/>
      <c r="S65" s="57"/>
      <c r="T65" s="57"/>
      <c r="U65" s="57"/>
      <c r="V65" s="57"/>
    </row>
    <row r="66" spans="3:22">
      <c r="C66" s="57"/>
      <c r="D66" s="57"/>
      <c r="E66" s="57"/>
      <c r="F66" s="57"/>
      <c r="G66" s="57"/>
      <c r="H66" s="57"/>
      <c r="I66" s="57"/>
      <c r="J66" s="57"/>
      <c r="K66" s="57"/>
      <c r="L66" s="57"/>
      <c r="M66" s="57"/>
      <c r="N66" s="57"/>
      <c r="O66" s="57"/>
      <c r="P66" s="57"/>
      <c r="Q66" s="57"/>
      <c r="R66" s="57"/>
      <c r="S66" s="57"/>
      <c r="T66" s="57"/>
      <c r="U66" s="57"/>
      <c r="V66" s="57"/>
    </row>
    <row r="67" spans="3:22">
      <c r="C67" s="57"/>
      <c r="D67" s="57"/>
      <c r="E67" s="57"/>
      <c r="F67" s="57"/>
      <c r="G67" s="57"/>
      <c r="H67" s="57"/>
      <c r="I67" s="57"/>
      <c r="J67" s="57"/>
      <c r="K67" s="57"/>
      <c r="L67" s="57"/>
      <c r="M67" s="57"/>
      <c r="N67" s="57"/>
      <c r="O67" s="57"/>
      <c r="P67" s="57"/>
      <c r="Q67" s="57"/>
      <c r="R67" s="57"/>
      <c r="S67" s="57"/>
      <c r="T67" s="57"/>
      <c r="U67" s="57"/>
      <c r="V67" s="57"/>
    </row>
    <row r="68" spans="3:22">
      <c r="C68" s="57"/>
      <c r="D68" s="57"/>
      <c r="E68" s="57"/>
      <c r="F68" s="57"/>
      <c r="G68" s="57"/>
      <c r="H68" s="57"/>
      <c r="I68" s="57"/>
      <c r="J68" s="57"/>
      <c r="K68" s="57"/>
      <c r="L68" s="57"/>
      <c r="M68" s="57"/>
      <c r="N68" s="57"/>
      <c r="O68" s="57"/>
      <c r="P68" s="57"/>
      <c r="Q68" s="57"/>
      <c r="R68" s="57"/>
      <c r="S68" s="57"/>
      <c r="T68" s="57"/>
      <c r="U68" s="57"/>
      <c r="V68" s="57"/>
    </row>
    <row r="69" spans="3:22">
      <c r="C69" s="57"/>
      <c r="D69" s="57"/>
      <c r="E69" s="57"/>
      <c r="F69" s="57"/>
      <c r="G69" s="57"/>
      <c r="H69" s="57"/>
      <c r="I69" s="57"/>
      <c r="J69" s="57"/>
      <c r="K69" s="57"/>
      <c r="L69" s="57"/>
      <c r="M69" s="57"/>
      <c r="N69" s="57"/>
      <c r="O69" s="57"/>
      <c r="P69" s="57"/>
      <c r="Q69" s="57"/>
      <c r="R69" s="57"/>
      <c r="S69" s="57"/>
      <c r="T69" s="57"/>
      <c r="U69" s="57"/>
      <c r="V69" s="57"/>
    </row>
    <row r="70" spans="3:22">
      <c r="C70" s="57"/>
      <c r="D70" s="57"/>
      <c r="E70" s="57"/>
      <c r="F70" s="57"/>
      <c r="G70" s="57"/>
      <c r="H70" s="57"/>
      <c r="I70" s="57"/>
      <c r="J70" s="57"/>
      <c r="K70" s="57"/>
      <c r="L70" s="57"/>
      <c r="M70" s="57"/>
      <c r="N70" s="57"/>
      <c r="O70" s="57"/>
      <c r="P70" s="57"/>
      <c r="Q70" s="57"/>
      <c r="R70" s="57"/>
      <c r="S70" s="57"/>
      <c r="T70" s="57"/>
      <c r="U70" s="57"/>
      <c r="V70" s="57"/>
    </row>
    <row r="71" spans="3:22">
      <c r="C71" s="57"/>
      <c r="D71" s="57"/>
      <c r="E71" s="57"/>
      <c r="F71" s="57"/>
      <c r="G71" s="57"/>
      <c r="H71" s="57"/>
      <c r="I71" s="57"/>
      <c r="J71" s="57"/>
      <c r="K71" s="57"/>
      <c r="L71" s="57"/>
      <c r="M71" s="57"/>
      <c r="N71" s="57"/>
      <c r="O71" s="57"/>
      <c r="P71" s="57"/>
      <c r="Q71" s="57"/>
      <c r="R71" s="57"/>
      <c r="S71" s="57"/>
      <c r="T71" s="57"/>
      <c r="U71" s="57"/>
      <c r="V71" s="57"/>
    </row>
    <row r="72" spans="3:22">
      <c r="C72" s="57"/>
      <c r="D72" s="57"/>
      <c r="E72" s="57"/>
      <c r="F72" s="57"/>
      <c r="G72" s="57"/>
      <c r="H72" s="57"/>
      <c r="I72" s="57"/>
      <c r="J72" s="57"/>
      <c r="K72" s="57"/>
      <c r="L72" s="57"/>
      <c r="M72" s="57"/>
      <c r="N72" s="57"/>
      <c r="O72" s="57"/>
      <c r="P72" s="57"/>
      <c r="Q72" s="57"/>
      <c r="R72" s="57"/>
      <c r="S72" s="57"/>
      <c r="T72" s="57"/>
      <c r="U72" s="57"/>
      <c r="V72" s="57"/>
    </row>
    <row r="73" spans="3:22">
      <c r="C73" s="57"/>
      <c r="D73" s="57"/>
      <c r="E73" s="57"/>
      <c r="F73" s="57"/>
      <c r="G73" s="57"/>
      <c r="H73" s="57"/>
      <c r="I73" s="57"/>
      <c r="J73" s="57"/>
      <c r="K73" s="57"/>
      <c r="L73" s="57"/>
      <c r="M73" s="57"/>
      <c r="N73" s="57"/>
      <c r="O73" s="57"/>
      <c r="P73" s="57"/>
      <c r="Q73" s="57"/>
      <c r="R73" s="57"/>
      <c r="S73" s="57"/>
      <c r="T73" s="57"/>
      <c r="U73" s="57"/>
      <c r="V73" s="57"/>
    </row>
    <row r="74" spans="3:22">
      <c r="C74" s="57"/>
      <c r="D74" s="57"/>
      <c r="E74" s="57"/>
      <c r="F74" s="57"/>
      <c r="G74" s="57"/>
      <c r="H74" s="57"/>
      <c r="I74" s="57"/>
      <c r="J74" s="57"/>
      <c r="K74" s="57"/>
      <c r="L74" s="57"/>
      <c r="M74" s="57"/>
      <c r="N74" s="57"/>
      <c r="O74" s="57"/>
      <c r="P74" s="57"/>
      <c r="Q74" s="57"/>
      <c r="R74" s="57"/>
      <c r="S74" s="57"/>
      <c r="T74" s="57"/>
      <c r="U74" s="57"/>
      <c r="V74" s="57"/>
    </row>
  </sheetData>
  <sheetProtection algorithmName="SHA-512" hashValue="UyuBnKYFy8laWNtqQo52hp+xEDVzDf/05pg1/j+sWGMyuCEJ8FmHme+a1da/iFwS2nbYJqeXCgGRDj3igY5QBg==" saltValue="KYhleqYlgFlI6ajJZHG+dw==" spinCount="100000" sheet="1" objects="1" scenarios="1" formatCells="0"/>
  <protectedRanges>
    <protectedRange sqref="D20:U20" name="text"/>
    <protectedRange sqref="AA4 W23" name="Range1"/>
  </protectedRanges>
  <mergeCells count="11">
    <mergeCell ref="S8:T8"/>
    <mergeCell ref="S6:T6"/>
    <mergeCell ref="S3:T3"/>
    <mergeCell ref="S4:T4"/>
    <mergeCell ref="F10:G10"/>
    <mergeCell ref="F4:G4"/>
    <mergeCell ref="F5:G5"/>
    <mergeCell ref="F6:G6"/>
    <mergeCell ref="F7:G7"/>
    <mergeCell ref="F8:G8"/>
    <mergeCell ref="F9:G9"/>
  </mergeCells>
  <conditionalFormatting sqref="S8">
    <cfRule type="cellIs" dxfId="191" priority="96" operator="lessThan">
      <formula>0</formula>
    </cfRule>
  </conditionalFormatting>
  <conditionalFormatting sqref="S8">
    <cfRule type="cellIs" dxfId="190" priority="95" operator="equal">
      <formula>0</formula>
    </cfRule>
  </conditionalFormatting>
  <conditionalFormatting sqref="M49">
    <cfRule type="dataBar" priority="63">
      <dataBar>
        <cfvo type="min"/>
        <cfvo type="max"/>
        <color rgb="FF173630"/>
      </dataBar>
      <extLst>
        <ext xmlns:x14="http://schemas.microsoft.com/office/spreadsheetml/2009/9/main" uri="{B025F937-C7B1-47D3-B67F-A62EFF666E3E}">
          <x14:id>{566E0169-177C-4DDF-8EB7-6AFCF49F3FE5}</x14:id>
        </ext>
      </extLst>
    </cfRule>
  </conditionalFormatting>
  <conditionalFormatting sqref="M49:O49">
    <cfRule type="cellIs" dxfId="189" priority="62" operator="lessThan">
      <formula>0</formula>
    </cfRule>
  </conditionalFormatting>
  <conditionalFormatting sqref="N50:O50">
    <cfRule type="cellIs" dxfId="188" priority="31" operator="lessThan">
      <formula>0</formula>
    </cfRule>
  </conditionalFormatting>
  <conditionalFormatting sqref="M50">
    <cfRule type="dataBar" priority="32">
      <dataBar>
        <cfvo type="min"/>
        <cfvo type="max"/>
        <color rgb="FF02C076"/>
      </dataBar>
      <extLst>
        <ext xmlns:x14="http://schemas.microsoft.com/office/spreadsheetml/2009/9/main" uri="{B025F937-C7B1-47D3-B67F-A62EFF666E3E}">
          <x14:id>{E9DF1700-4111-400E-B48C-EFD2DA2FE598}</x14:id>
        </ext>
      </extLst>
    </cfRule>
  </conditionalFormatting>
  <conditionalFormatting sqref="G48:I49 K48:K49 M48:M49 O48:O49 Q48:Q49 S48:S49">
    <cfRule type="expression" dxfId="187" priority="14">
      <formula>$D48=""</formula>
    </cfRule>
  </conditionalFormatting>
  <conditionalFormatting sqref="F50:S50">
    <cfRule type="expression" dxfId="186" priority="13">
      <formula>$D50=""</formula>
    </cfRule>
  </conditionalFormatting>
  <conditionalFormatting sqref="M23:M47">
    <cfRule type="dataBar" priority="3">
      <dataBar>
        <cfvo type="min"/>
        <cfvo type="max"/>
        <color rgb="FF173630"/>
      </dataBar>
      <extLst>
        <ext xmlns:x14="http://schemas.microsoft.com/office/spreadsheetml/2009/9/main" uri="{B025F937-C7B1-47D3-B67F-A62EFF666E3E}">
          <x14:id>{303E8596-AB03-4015-8302-3A33E97F21C4}</x14:id>
        </ext>
      </extLst>
    </cfRule>
  </conditionalFormatting>
  <conditionalFormatting sqref="M23:O47">
    <cfRule type="cellIs" dxfId="185" priority="2" operator="lessThan">
      <formula>0</formula>
    </cfRule>
  </conditionalFormatting>
  <conditionalFormatting sqref="M23:M47 Q23:Q47 G23:I47 K23:K47 O23:O47 S23:S47">
    <cfRule type="expression" dxfId="184" priority="1">
      <formula>$D23=""</formula>
    </cfRule>
  </conditionalFormatting>
  <dataValidations count="2">
    <dataValidation allowBlank="1" showInputMessage="1" showErrorMessage="1" prompt="Inactive month is excluded" sqref="D20" xr:uid="{00000000-0002-0000-0400-000000000000}"/>
    <dataValidation type="list" allowBlank="1" showInputMessage="1" showErrorMessage="1" sqref="AA4" xr:uid="{00000000-0002-0000-0400-000001000000}">
      <formula1>$AA$5:$AA$6</formula1>
    </dataValidation>
  </dataValidations>
  <pageMargins left="0.25" right="0.25" top="0.75" bottom="0.75" header="0.3" footer="0.3"/>
  <pageSetup paperSize="9" scale="74" fitToHeight="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566E0169-177C-4DDF-8EB7-6AFCF49F3FE5}">
            <x14:dataBar minLength="0" maxLength="100" gradient="0">
              <x14:cfvo type="autoMin"/>
              <x14:cfvo type="autoMax"/>
              <x14:negativeFillColor rgb="FF3C242C"/>
              <x14:axisColor theme="1" tint="0.14999847407452621"/>
            </x14:dataBar>
          </x14:cfRule>
          <xm:sqref>M49</xm:sqref>
        </x14:conditionalFormatting>
        <x14:conditionalFormatting xmlns:xm="http://schemas.microsoft.com/office/excel/2006/main">
          <x14:cfRule type="dataBar" id="{E9DF1700-4111-400E-B48C-EFD2DA2FE598}">
            <x14:dataBar minLength="0" maxLength="100" gradient="0">
              <x14:cfvo type="autoMin"/>
              <x14:cfvo type="autoMax"/>
              <x14:negativeFillColor rgb="FFF84960"/>
              <x14:axisColor theme="1" tint="0.14999847407452621"/>
            </x14:dataBar>
          </x14:cfRule>
          <xm:sqref>M50</xm:sqref>
        </x14:conditionalFormatting>
        <x14:conditionalFormatting xmlns:xm="http://schemas.microsoft.com/office/excel/2006/main">
          <x14:cfRule type="dataBar" id="{303E8596-AB03-4015-8302-3A33E97F21C4}">
            <x14:dataBar minLength="0" maxLength="100" gradient="0">
              <x14:cfvo type="autoMin"/>
              <x14:cfvo type="autoMax"/>
              <x14:negativeFillColor rgb="FF3C242C"/>
              <x14:axisColor theme="1" tint="0.14999847407452621"/>
            </x14:dataBar>
          </x14:cfRule>
          <xm:sqref>M23:M47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CD62-0EF9-467A-BE9A-6644A56B2FB2}">
  <sheetPr codeName="Sheet4">
    <tabColor theme="6"/>
  </sheetPr>
  <dimension ref="A1:AH266"/>
  <sheetViews>
    <sheetView showGridLines="0" showRowColHeaders="0" topLeftCell="B1" zoomScaleNormal="100" workbookViewId="0">
      <pane ySplit="5" topLeftCell="A6" activePane="bottomLeft" state="frozen"/>
      <selection activeCell="B1" sqref="B1"/>
      <selection pane="bottomLeft" activeCell="E7" sqref="E7"/>
    </sheetView>
  </sheetViews>
  <sheetFormatPr defaultColWidth="0" defaultRowHeight="15"/>
  <cols>
    <col min="1" max="1" width="3" hidden="1" customWidth="1"/>
    <col min="2" max="2" width="15" customWidth="1"/>
    <col min="3" max="9" width="23.28515625" customWidth="1"/>
    <col min="10" max="10" width="26.85546875" customWidth="1"/>
    <col min="11" max="12" width="37.28515625" customWidth="1"/>
    <col min="13" max="27" width="3.140625" hidden="1" customWidth="1"/>
    <col min="28" max="28" width="4.140625" hidden="1" customWidth="1"/>
    <col min="29" max="34" width="6.85546875" hidden="1" customWidth="1"/>
    <col min="35" max="16384" width="9.140625" hidden="1"/>
  </cols>
  <sheetData>
    <row r="1" spans="1:27">
      <c r="B1" s="157"/>
      <c r="C1" s="157"/>
      <c r="D1" s="157"/>
      <c r="E1" s="157"/>
      <c r="F1" s="157"/>
      <c r="G1" s="157"/>
      <c r="H1" s="157"/>
      <c r="I1" s="157"/>
      <c r="J1" s="157"/>
      <c r="K1" s="157"/>
      <c r="L1" s="157"/>
    </row>
    <row r="2" spans="1:27" ht="28.5" customHeight="1" thickBot="1">
      <c r="B2" s="157"/>
      <c r="C2" s="168" t="s">
        <v>613</v>
      </c>
      <c r="D2" s="168" t="s">
        <v>614</v>
      </c>
      <c r="E2" s="157"/>
      <c r="F2" s="157"/>
      <c r="G2" s="157"/>
      <c r="H2" s="157"/>
      <c r="I2" s="157"/>
      <c r="J2" s="157"/>
      <c r="K2" s="157"/>
      <c r="L2" s="157"/>
    </row>
    <row r="3" spans="1:27" s="170" customFormat="1" ht="21.95" customHeight="1" thickBot="1">
      <c r="A3"/>
      <c r="B3" s="169"/>
      <c r="C3" s="336" t="s">
        <v>622</v>
      </c>
      <c r="D3" s="337">
        <v>2017</v>
      </c>
      <c r="E3" s="169"/>
      <c r="F3" s="169"/>
      <c r="G3" s="169"/>
      <c r="H3" s="169"/>
      <c r="I3" s="169"/>
      <c r="J3" s="169"/>
      <c r="K3" s="169"/>
      <c r="L3" s="169"/>
    </row>
    <row r="4" spans="1:27" s="170" customFormat="1" ht="5.0999999999999996" hidden="1" customHeight="1">
      <c r="A4"/>
      <c r="B4" s="169"/>
      <c r="C4" s="171"/>
      <c r="D4" s="171"/>
      <c r="E4" s="172"/>
      <c r="F4" s="169"/>
      <c r="G4" s="169"/>
      <c r="H4" s="169"/>
      <c r="I4" s="169"/>
      <c r="J4" s="169"/>
      <c r="K4" s="169"/>
      <c r="L4" s="169"/>
    </row>
    <row r="5" spans="1:27" ht="5.25" customHeight="1" thickBot="1">
      <c r="B5" s="157"/>
      <c r="C5" s="157"/>
      <c r="D5" s="173"/>
      <c r="E5" s="157"/>
      <c r="F5" s="157"/>
      <c r="G5" s="157"/>
      <c r="H5" s="157"/>
      <c r="I5" s="157"/>
      <c r="J5" s="157"/>
      <c r="K5" s="157"/>
      <c r="L5" s="157"/>
    </row>
    <row r="6" spans="1:27" ht="21.95" customHeight="1">
      <c r="B6" s="157"/>
      <c r="C6" s="174">
        <f>DATEVALUE("1"&amp;C3&amp;D3)</f>
        <v>42979</v>
      </c>
      <c r="D6" s="175"/>
      <c r="E6" s="176"/>
      <c r="F6" s="177"/>
      <c r="G6" s="178"/>
      <c r="H6" s="178"/>
      <c r="I6" s="178"/>
      <c r="J6" s="157"/>
      <c r="K6" s="157"/>
      <c r="L6" s="157"/>
    </row>
    <row r="7" spans="1:27" ht="24.95" customHeight="1" thickBot="1">
      <c r="B7" s="157"/>
      <c r="C7" s="333" t="s">
        <v>615</v>
      </c>
      <c r="D7" s="333" t="s">
        <v>616</v>
      </c>
      <c r="E7" s="333" t="s">
        <v>617</v>
      </c>
      <c r="F7" s="333" t="s">
        <v>618</v>
      </c>
      <c r="G7" s="333" t="s">
        <v>619</v>
      </c>
      <c r="H7" s="333" t="s">
        <v>620</v>
      </c>
      <c r="I7" s="333" t="s">
        <v>621</v>
      </c>
      <c r="J7" s="157"/>
      <c r="K7" s="157"/>
      <c r="L7" s="157"/>
    </row>
    <row r="8" spans="1:27" ht="15" customHeight="1" thickTop="1">
      <c r="B8" s="157"/>
      <c r="C8" s="332" t="str">
        <f>IF(MONTH(C6)&lt;&gt;MONTH((C6-WEEKDAY(C6,1)+1)),"",(C6-WEEKDAY(C6,1)+1))</f>
        <v/>
      </c>
      <c r="D8" s="332" t="str">
        <f>IF(MONTH(C6)&lt;&gt;MONTH((C6-WEEKDAY(C6,1)+2)),"",(C6-WEEKDAY(C6,1)+2))</f>
        <v/>
      </c>
      <c r="E8" s="332" t="str">
        <f>IF(MONTH(C6)&lt;&gt;MONTH((C6-WEEKDAY(C6,1)+3)),"",(C6-WEEKDAY(C6,1)+3))</f>
        <v/>
      </c>
      <c r="F8" s="332" t="str">
        <f>IF(MONTH(C6)&lt;&gt;MONTH((C6-WEEKDAY(C6,1)+4)),"",(C6-WEEKDAY(C6,1)+4))</f>
        <v/>
      </c>
      <c r="G8" s="332" t="str">
        <f>IF(MONTH(C6)&lt;&gt;MONTH((C6-WEEKDAY(C6,1)+5)),"",(C6-WEEKDAY(C6,1)+5))</f>
        <v/>
      </c>
      <c r="H8" s="332">
        <f>IF(MONTH(C6)&lt;&gt;MONTH((C6-WEEKDAY(C6,1)+6)),"",(C6-WEEKDAY(C6,1)+6))</f>
        <v>42979</v>
      </c>
      <c r="I8" s="332">
        <f>IF(MONTH(C6)&lt;&gt;MONTH((C6-WEEKDAY(C6,1)+7)),"",(C6-WEEKDAY(C6,1)+7))</f>
        <v>42980</v>
      </c>
      <c r="J8" s="157"/>
      <c r="K8" s="157"/>
      <c r="L8" s="157"/>
      <c r="U8" s="50"/>
      <c r="V8" s="50"/>
      <c r="W8" s="50"/>
      <c r="X8" s="50"/>
      <c r="Y8" s="50"/>
      <c r="Z8" s="50"/>
      <c r="AA8" s="50"/>
    </row>
    <row r="9" spans="1:27" ht="15" customHeight="1">
      <c r="B9" s="157"/>
      <c r="C9" s="179">
        <f t="shared" ref="C9:I9" si="0">SUMIFS(profitLoss,dateLog,"&gt;="&amp;C8,dateLog,"&lt;"&amp;C8+1)</f>
        <v>0</v>
      </c>
      <c r="D9" s="179">
        <f t="shared" si="0"/>
        <v>0</v>
      </c>
      <c r="E9" s="179">
        <f t="shared" si="0"/>
        <v>0</v>
      </c>
      <c r="F9" s="179">
        <f t="shared" si="0"/>
        <v>0</v>
      </c>
      <c r="G9" s="179">
        <f t="shared" si="0"/>
        <v>0</v>
      </c>
      <c r="H9" s="179">
        <f t="shared" si="0"/>
        <v>0</v>
      </c>
      <c r="I9" s="179">
        <f t="shared" si="0"/>
        <v>0</v>
      </c>
      <c r="J9" s="157"/>
      <c r="K9" s="157"/>
      <c r="L9" s="157"/>
      <c r="U9" s="50"/>
      <c r="V9" s="50"/>
      <c r="W9" s="50"/>
      <c r="X9" s="50"/>
      <c r="Y9" s="50"/>
      <c r="Z9" s="50"/>
      <c r="AA9" s="50"/>
    </row>
    <row r="10" spans="1:27" s="181" customFormat="1" ht="15" customHeight="1" thickBot="1">
      <c r="A10"/>
      <c r="B10" s="180"/>
      <c r="C10" s="486">
        <f t="shared" ref="C10:H10" si="1">COUNTIFS(dateLog,"&gt;="&amp;C8,dateLog,"&lt;"&amp;C8+1)</f>
        <v>0</v>
      </c>
      <c r="D10" s="486">
        <f t="shared" si="1"/>
        <v>0</v>
      </c>
      <c r="E10" s="486">
        <f t="shared" si="1"/>
        <v>0</v>
      </c>
      <c r="F10" s="486">
        <f t="shared" si="1"/>
        <v>0</v>
      </c>
      <c r="G10" s="486">
        <f t="shared" si="1"/>
        <v>0</v>
      </c>
      <c r="H10" s="486">
        <f t="shared" si="1"/>
        <v>0</v>
      </c>
      <c r="I10" s="486">
        <f>COUNTIFS(dateLog,"&gt;="&amp;I8,dateLog,"&lt;"&amp;(I8+1))</f>
        <v>0</v>
      </c>
      <c r="J10" s="180"/>
      <c r="K10" s="180"/>
      <c r="L10" s="180"/>
      <c r="U10" s="182"/>
      <c r="V10" s="182"/>
      <c r="W10" s="182"/>
      <c r="X10" s="182"/>
      <c r="Y10" s="182"/>
      <c r="Z10" s="182"/>
      <c r="AA10" s="182"/>
    </row>
    <row r="11" spans="1:27" ht="15" customHeight="1" thickTop="1">
      <c r="B11" s="157"/>
      <c r="C11" s="332">
        <f>I8+1</f>
        <v>42981</v>
      </c>
      <c r="D11" s="332">
        <f>C11+1</f>
        <v>42982</v>
      </c>
      <c r="E11" s="332">
        <f t="shared" ref="E11:I17" si="2">D11+1</f>
        <v>42983</v>
      </c>
      <c r="F11" s="332">
        <f t="shared" si="2"/>
        <v>42984</v>
      </c>
      <c r="G11" s="332">
        <f t="shared" si="2"/>
        <v>42985</v>
      </c>
      <c r="H11" s="332">
        <f t="shared" si="2"/>
        <v>42986</v>
      </c>
      <c r="I11" s="332">
        <f t="shared" si="2"/>
        <v>42987</v>
      </c>
      <c r="J11" s="157"/>
      <c r="K11" s="157"/>
      <c r="L11" s="157"/>
      <c r="U11" s="50"/>
      <c r="V11" s="50"/>
      <c r="W11" s="50"/>
      <c r="X11" s="50"/>
      <c r="Y11" s="50"/>
      <c r="Z11" s="50"/>
      <c r="AA11" s="50"/>
    </row>
    <row r="12" spans="1:27" ht="15" customHeight="1">
      <c r="B12" s="157"/>
      <c r="C12" s="942">
        <f t="shared" ref="C12:I12" si="3">SUMIFS(profitLoss,dateLog,"&gt;="&amp;C11,dateLog,"&lt;"&amp;C11+1)</f>
        <v>0</v>
      </c>
      <c r="D12" s="942">
        <f t="shared" si="3"/>
        <v>0</v>
      </c>
      <c r="E12" s="942">
        <f t="shared" si="3"/>
        <v>-753.03724999999758</v>
      </c>
      <c r="F12" s="942">
        <f t="shared" si="3"/>
        <v>1629.3629999999939</v>
      </c>
      <c r="G12" s="942">
        <f t="shared" si="3"/>
        <v>-131.47110000000248</v>
      </c>
      <c r="H12" s="942">
        <f t="shared" si="3"/>
        <v>-735.91200000000026</v>
      </c>
      <c r="I12" s="942">
        <f t="shared" si="3"/>
        <v>0</v>
      </c>
      <c r="J12" s="157"/>
      <c r="K12" s="157"/>
      <c r="L12" s="157"/>
      <c r="U12" s="50"/>
      <c r="V12" s="50"/>
      <c r="W12" s="50"/>
      <c r="X12" s="50"/>
      <c r="Y12" s="50"/>
      <c r="Z12" s="50"/>
      <c r="AA12" s="50"/>
    </row>
    <row r="13" spans="1:27" s="181" customFormat="1" ht="15" customHeight="1" thickBot="1">
      <c r="A13"/>
      <c r="B13" s="180"/>
      <c r="C13" s="486">
        <f t="shared" ref="C13:I13" si="4">COUNTIFS(dateLog,"&gt;="&amp;C11,dateLog,"&lt;"&amp;C11+1,stats,"&gt;0")</f>
        <v>0</v>
      </c>
      <c r="D13" s="486">
        <f t="shared" si="4"/>
        <v>0</v>
      </c>
      <c r="E13" s="486">
        <f t="shared" si="4"/>
        <v>1</v>
      </c>
      <c r="F13" s="486">
        <f t="shared" si="4"/>
        <v>2</v>
      </c>
      <c r="G13" s="486">
        <f t="shared" si="4"/>
        <v>1</v>
      </c>
      <c r="H13" s="486">
        <f t="shared" si="4"/>
        <v>1</v>
      </c>
      <c r="I13" s="486">
        <f t="shared" si="4"/>
        <v>0</v>
      </c>
      <c r="J13" s="180"/>
      <c r="K13" s="180"/>
      <c r="L13" s="180"/>
      <c r="U13" s="182"/>
      <c r="V13" s="182"/>
      <c r="W13" s="182"/>
      <c r="X13" s="182"/>
      <c r="Y13" s="182"/>
      <c r="Z13" s="182"/>
      <c r="AA13" s="182"/>
    </row>
    <row r="14" spans="1:27" ht="15" customHeight="1" thickTop="1">
      <c r="B14" s="157"/>
      <c r="C14" s="332">
        <f>I11+1</f>
        <v>42988</v>
      </c>
      <c r="D14" s="332">
        <f>C14+1</f>
        <v>42989</v>
      </c>
      <c r="E14" s="332">
        <f t="shared" si="2"/>
        <v>42990</v>
      </c>
      <c r="F14" s="332">
        <f t="shared" si="2"/>
        <v>42991</v>
      </c>
      <c r="G14" s="332">
        <f t="shared" si="2"/>
        <v>42992</v>
      </c>
      <c r="H14" s="332">
        <f t="shared" si="2"/>
        <v>42993</v>
      </c>
      <c r="I14" s="332">
        <f t="shared" si="2"/>
        <v>42994</v>
      </c>
      <c r="J14" s="157"/>
      <c r="K14" s="157"/>
      <c r="L14" s="157"/>
      <c r="U14" s="50"/>
      <c r="V14" s="50"/>
      <c r="W14" s="50"/>
      <c r="X14" s="50"/>
      <c r="Y14" s="50"/>
      <c r="Z14" s="50"/>
      <c r="AA14" s="50"/>
    </row>
    <row r="15" spans="1:27" ht="15" customHeight="1">
      <c r="B15" s="157"/>
      <c r="C15" s="942">
        <f t="shared" ref="C15:I15" si="5">SUMIFS(profitLoss,dateLog,"&gt;="&amp;C14,dateLog,"&lt;"&amp;C14+1)</f>
        <v>0</v>
      </c>
      <c r="D15" s="942">
        <f t="shared" si="5"/>
        <v>962.16575000000012</v>
      </c>
      <c r="E15" s="942">
        <f t="shared" si="5"/>
        <v>0</v>
      </c>
      <c r="F15" s="942">
        <f t="shared" si="5"/>
        <v>359.38979999999719</v>
      </c>
      <c r="G15" s="942">
        <f t="shared" si="5"/>
        <v>0</v>
      </c>
      <c r="H15" s="942">
        <f t="shared" si="5"/>
        <v>-213.78105000000505</v>
      </c>
      <c r="I15" s="942">
        <f t="shared" si="5"/>
        <v>0</v>
      </c>
      <c r="J15" s="157"/>
      <c r="K15" s="157"/>
      <c r="L15" s="157"/>
      <c r="U15" s="50"/>
      <c r="V15" s="50"/>
      <c r="W15" s="50"/>
      <c r="X15" s="50"/>
      <c r="Y15" s="50"/>
      <c r="Z15" s="50"/>
      <c r="AA15" s="50"/>
    </row>
    <row r="16" spans="1:27" s="181" customFormat="1" ht="15" customHeight="1" thickBot="1">
      <c r="A16"/>
      <c r="B16" s="180"/>
      <c r="C16" s="486">
        <f t="shared" ref="C16:I16" si="6">COUNTIFS(dateLog,"&gt;="&amp;C14,dateLog,"&lt;"&amp;C14+1,stats,"&gt;0")</f>
        <v>0</v>
      </c>
      <c r="D16" s="486">
        <f t="shared" si="6"/>
        <v>1</v>
      </c>
      <c r="E16" s="486">
        <f t="shared" si="6"/>
        <v>0</v>
      </c>
      <c r="F16" s="486">
        <f t="shared" si="6"/>
        <v>1</v>
      </c>
      <c r="G16" s="486">
        <f t="shared" si="6"/>
        <v>0</v>
      </c>
      <c r="H16" s="486">
        <f t="shared" si="6"/>
        <v>1</v>
      </c>
      <c r="I16" s="486">
        <f t="shared" si="6"/>
        <v>0</v>
      </c>
      <c r="J16" s="180"/>
      <c r="K16" s="180"/>
      <c r="L16" s="180"/>
      <c r="U16" s="182"/>
      <c r="V16" s="182"/>
      <c r="W16" s="182"/>
      <c r="X16" s="182"/>
      <c r="Y16" s="182"/>
      <c r="Z16" s="182"/>
      <c r="AA16" s="182"/>
    </row>
    <row r="17" spans="1:27" ht="15" customHeight="1" thickTop="1">
      <c r="B17" s="157"/>
      <c r="C17" s="332">
        <f>I14+1</f>
        <v>42995</v>
      </c>
      <c r="D17" s="332">
        <f>C17+1</f>
        <v>42996</v>
      </c>
      <c r="E17" s="332">
        <f t="shared" si="2"/>
        <v>42997</v>
      </c>
      <c r="F17" s="332">
        <f t="shared" si="2"/>
        <v>42998</v>
      </c>
      <c r="G17" s="332">
        <f t="shared" si="2"/>
        <v>42999</v>
      </c>
      <c r="H17" s="332">
        <f t="shared" si="2"/>
        <v>43000</v>
      </c>
      <c r="I17" s="332">
        <f t="shared" si="2"/>
        <v>43001</v>
      </c>
      <c r="J17" s="157"/>
      <c r="K17" s="157"/>
      <c r="L17" s="157"/>
      <c r="U17" s="50"/>
      <c r="V17" s="50"/>
      <c r="W17" s="50"/>
      <c r="X17" s="50"/>
      <c r="Y17" s="50"/>
      <c r="Z17" s="50"/>
      <c r="AA17" s="50"/>
    </row>
    <row r="18" spans="1:27" ht="15" customHeight="1">
      <c r="B18" s="157"/>
      <c r="C18" s="942">
        <f t="shared" ref="C18:I18" si="7">SUMIFS(profitLoss,dateLog,"&gt;="&amp;C17,dateLog,"&lt;"&amp;C17+1)</f>
        <v>0</v>
      </c>
      <c r="D18" s="942">
        <f t="shared" si="7"/>
        <v>0</v>
      </c>
      <c r="E18" s="942">
        <f t="shared" si="7"/>
        <v>-1012.9002000000037</v>
      </c>
      <c r="F18" s="942">
        <f t="shared" si="7"/>
        <v>0</v>
      </c>
      <c r="G18" s="942">
        <f t="shared" si="7"/>
        <v>0</v>
      </c>
      <c r="H18" s="942">
        <f t="shared" si="7"/>
        <v>0</v>
      </c>
      <c r="I18" s="942">
        <f t="shared" si="7"/>
        <v>0</v>
      </c>
      <c r="J18" s="157"/>
      <c r="K18" s="157"/>
      <c r="L18" s="157"/>
      <c r="U18" s="50"/>
      <c r="V18" s="50"/>
      <c r="W18" s="50"/>
      <c r="X18" s="50"/>
      <c r="Y18" s="50"/>
      <c r="Z18" s="50"/>
      <c r="AA18" s="50"/>
    </row>
    <row r="19" spans="1:27" s="181" customFormat="1" ht="15" customHeight="1" thickBot="1">
      <c r="A19"/>
      <c r="B19" s="180"/>
      <c r="C19" s="486">
        <f t="shared" ref="C19:I19" si="8">COUNTIFS(dateLog,"&gt;="&amp;C17,dateLog,"&lt;"&amp;C17+1,stats,"&gt;0")</f>
        <v>0</v>
      </c>
      <c r="D19" s="486">
        <f t="shared" si="8"/>
        <v>0</v>
      </c>
      <c r="E19" s="486">
        <f t="shared" si="8"/>
        <v>1</v>
      </c>
      <c r="F19" s="486">
        <f t="shared" si="8"/>
        <v>0</v>
      </c>
      <c r="G19" s="486">
        <f t="shared" si="8"/>
        <v>0</v>
      </c>
      <c r="H19" s="486">
        <f t="shared" si="8"/>
        <v>0</v>
      </c>
      <c r="I19" s="486">
        <f t="shared" si="8"/>
        <v>0</v>
      </c>
      <c r="J19" s="180"/>
      <c r="K19" s="180"/>
      <c r="L19" s="180"/>
      <c r="U19" s="182"/>
      <c r="V19" s="182"/>
      <c r="W19" s="182"/>
      <c r="X19" s="182"/>
      <c r="Y19" s="182"/>
      <c r="Z19" s="182"/>
      <c r="AA19" s="182"/>
    </row>
    <row r="20" spans="1:27" ht="15" customHeight="1" thickTop="1">
      <c r="B20" s="157"/>
      <c r="C20" s="332">
        <f>IFERROR(IF(MONTH(C6)&lt;&gt;MONTH(I17+1),"",(I17+1)),"")</f>
        <v>43002</v>
      </c>
      <c r="D20" s="332">
        <f>IFERROR(IF(MONTH(C6)&lt;&gt;MONTH(C20+1),"",(C20+1)),"")</f>
        <v>43003</v>
      </c>
      <c r="E20" s="332">
        <f>IFERROR(IF(MONTH(C6)&lt;&gt;MONTH(D20+1),"",(D20+1)),"")</f>
        <v>43004</v>
      </c>
      <c r="F20" s="332">
        <f>IFERROR(IF(MONTH(C6)&lt;&gt;MONTH(E20+1),"",(E20+1)),"")</f>
        <v>43005</v>
      </c>
      <c r="G20" s="332">
        <f>IFERROR(IF(MONTH(C6)&lt;&gt;MONTH(F20+1),"",(F20+1)),"")</f>
        <v>43006</v>
      </c>
      <c r="H20" s="332">
        <f>IFERROR(IF(MONTH(C6)&lt;&gt;MONTH(G20+1),"",(G20+1)),"")</f>
        <v>43007</v>
      </c>
      <c r="I20" s="332">
        <f>IFERROR(IF(MONTH(C6)&lt;&gt;MONTH(H20+1),"",(H20+1)),"")</f>
        <v>43008</v>
      </c>
      <c r="J20" s="157"/>
      <c r="K20" s="157"/>
      <c r="L20" s="157"/>
    </row>
    <row r="21" spans="1:27" ht="15" customHeight="1">
      <c r="B21" s="157"/>
      <c r="C21" s="942">
        <f t="shared" ref="C21:I21" si="9">SUMIFS(profitLoss,dateLog,"&gt;="&amp;C20,dateLog,"&lt;"&amp;C20+1)</f>
        <v>0</v>
      </c>
      <c r="D21" s="942">
        <f t="shared" si="9"/>
        <v>19693.444899999995</v>
      </c>
      <c r="E21" s="942">
        <f t="shared" si="9"/>
        <v>18581.935600000004</v>
      </c>
      <c r="F21" s="942">
        <f t="shared" si="9"/>
        <v>0</v>
      </c>
      <c r="G21" s="942">
        <f t="shared" si="9"/>
        <v>5217.16139999999</v>
      </c>
      <c r="H21" s="942">
        <f t="shared" si="9"/>
        <v>-1121.8496999999988</v>
      </c>
      <c r="I21" s="942">
        <f t="shared" si="9"/>
        <v>0</v>
      </c>
      <c r="J21" s="157"/>
      <c r="K21" s="157"/>
      <c r="L21" s="157"/>
    </row>
    <row r="22" spans="1:27" s="181" customFormat="1" ht="15" customHeight="1" thickBot="1">
      <c r="A22"/>
      <c r="B22" s="180"/>
      <c r="C22" s="486">
        <f t="shared" ref="C22:I22" si="10">COUNTIFS(dateLog,"&gt;="&amp;C20,dateLog,"&lt;"&amp;C20+1,stats,"&gt;0")</f>
        <v>0</v>
      </c>
      <c r="D22" s="486">
        <f t="shared" si="10"/>
        <v>2</v>
      </c>
      <c r="E22" s="486">
        <f t="shared" si="10"/>
        <v>3</v>
      </c>
      <c r="F22" s="486">
        <f t="shared" si="10"/>
        <v>0</v>
      </c>
      <c r="G22" s="486">
        <f t="shared" si="10"/>
        <v>3</v>
      </c>
      <c r="H22" s="486">
        <f t="shared" si="10"/>
        <v>1</v>
      </c>
      <c r="I22" s="486">
        <f t="shared" si="10"/>
        <v>0</v>
      </c>
      <c r="J22" s="180"/>
      <c r="K22" s="180"/>
      <c r="L22" s="180"/>
      <c r="U22" s="182"/>
      <c r="V22" s="182"/>
      <c r="W22" s="182"/>
      <c r="X22" s="182"/>
      <c r="Y22" s="182"/>
      <c r="Z22" s="182"/>
      <c r="AA22" s="182"/>
    </row>
    <row r="23" spans="1:27" ht="15" customHeight="1" thickTop="1">
      <c r="B23" s="157"/>
      <c r="C23" s="332" t="str">
        <f>IFERROR(IF(MONTH(C6)&lt;&gt;MONTH(I20+1),"",(I20+1)),"")</f>
        <v/>
      </c>
      <c r="D23" s="332" t="str">
        <f>IFERROR(IF(MONTH(C6)&lt;&gt;MONTH(C23+1),"",(C23+1)),"")</f>
        <v/>
      </c>
      <c r="E23" s="332" t="str">
        <f>IFERROR(IF(MONTH(C6)&lt;&gt;MONTH(D23+1),"",(D23+1)),"")</f>
        <v/>
      </c>
      <c r="F23" s="332" t="str">
        <f>IFERROR(IF(MONTH(C6)&lt;&gt;MONTH(E23+1),"",(E23+1)),"")</f>
        <v/>
      </c>
      <c r="G23" s="332" t="str">
        <f>IFERROR(IF(MONTH(C6)&lt;&gt;MONTH(F23+1),"",(F23+1)),"")</f>
        <v/>
      </c>
      <c r="H23" s="332" t="str">
        <f>IFERROR(IF(MONTH(C6)&lt;&gt;MONTH(G23+1),"",(G23+1)),"")</f>
        <v/>
      </c>
      <c r="I23" s="332" t="str">
        <f>IFERROR(IF(MONTH(C6)&lt;&gt;MONTH(H23+1),"",(H23+1)),"")</f>
        <v/>
      </c>
      <c r="J23" s="157"/>
      <c r="K23" s="157"/>
      <c r="L23" s="157"/>
      <c r="U23" s="50"/>
      <c r="V23" s="50"/>
      <c r="W23" s="50"/>
      <c r="X23" s="50"/>
      <c r="Y23" s="50"/>
      <c r="Z23" s="50"/>
      <c r="AA23" s="50"/>
    </row>
    <row r="24" spans="1:27" ht="15" customHeight="1">
      <c r="B24" s="157"/>
      <c r="C24" s="942">
        <f t="shared" ref="C24:I24" si="11">SUMIFS(profitLoss,dateLog,"&gt;="&amp;C23,dateLog,"&lt;"&amp;C23+1)</f>
        <v>0</v>
      </c>
      <c r="D24" s="942">
        <f t="shared" si="11"/>
        <v>0</v>
      </c>
      <c r="E24" s="942">
        <f t="shared" si="11"/>
        <v>0</v>
      </c>
      <c r="F24" s="942">
        <f t="shared" si="11"/>
        <v>0</v>
      </c>
      <c r="G24" s="942">
        <f t="shared" si="11"/>
        <v>0</v>
      </c>
      <c r="H24" s="942">
        <f t="shared" si="11"/>
        <v>0</v>
      </c>
      <c r="I24" s="942">
        <f t="shared" si="11"/>
        <v>0</v>
      </c>
      <c r="J24" s="157"/>
      <c r="K24" s="157"/>
      <c r="L24" s="157"/>
      <c r="U24" s="50"/>
      <c r="V24" s="50"/>
      <c r="W24" s="50"/>
      <c r="X24" s="50"/>
      <c r="Y24" s="50"/>
      <c r="Z24" s="50"/>
      <c r="AA24" s="50"/>
    </row>
    <row r="25" spans="1:27" ht="15" customHeight="1">
      <c r="B25" s="157"/>
      <c r="C25" s="487">
        <f t="shared" ref="C25:I25" si="12">COUNTIFS(dateLog,"&gt;="&amp;C23,dateLog,"&lt;"&amp;C23+1,stats,"&gt;0")</f>
        <v>0</v>
      </c>
      <c r="D25" s="487">
        <f t="shared" si="12"/>
        <v>0</v>
      </c>
      <c r="E25" s="487">
        <f t="shared" si="12"/>
        <v>0</v>
      </c>
      <c r="F25" s="487">
        <f t="shared" si="12"/>
        <v>0</v>
      </c>
      <c r="G25" s="487">
        <f t="shared" si="12"/>
        <v>0</v>
      </c>
      <c r="H25" s="487">
        <f t="shared" si="12"/>
        <v>0</v>
      </c>
      <c r="I25" s="487">
        <f t="shared" si="12"/>
        <v>0</v>
      </c>
      <c r="J25" s="157"/>
      <c r="K25" s="157"/>
      <c r="L25" s="157"/>
      <c r="U25" s="50"/>
      <c r="V25" s="50"/>
      <c r="W25" s="50"/>
      <c r="X25" s="50"/>
      <c r="Y25" s="50"/>
      <c r="Z25" s="50"/>
      <c r="AA25" s="50"/>
    </row>
    <row r="26" spans="1:27" ht="18" customHeight="1" thickBot="1">
      <c r="B26" s="157"/>
      <c r="C26" s="183"/>
      <c r="D26" s="183"/>
      <c r="E26" s="183"/>
      <c r="F26" s="183"/>
      <c r="G26" s="183"/>
      <c r="H26" s="183"/>
      <c r="I26" s="183"/>
      <c r="J26" s="157"/>
      <c r="K26" s="157"/>
      <c r="L26" s="157"/>
      <c r="U26" s="50"/>
      <c r="V26" s="50"/>
      <c r="W26" s="50"/>
      <c r="X26" s="50"/>
      <c r="Y26" s="50"/>
      <c r="Z26" s="50"/>
      <c r="AA26" s="50"/>
    </row>
    <row r="27" spans="1:27" ht="21.95" customHeight="1">
      <c r="B27" s="157"/>
      <c r="C27" s="184">
        <f>EOMONTH(C6,0)+1</f>
        <v>43009</v>
      </c>
      <c r="D27" s="185"/>
      <c r="E27" s="186"/>
      <c r="F27" s="187"/>
      <c r="G27" s="188"/>
      <c r="H27" s="188"/>
      <c r="I27" s="188"/>
      <c r="J27" s="157"/>
      <c r="K27" s="157"/>
      <c r="L27" s="157"/>
      <c r="U27" s="50"/>
      <c r="V27" s="50"/>
      <c r="W27" s="50"/>
      <c r="X27" s="50"/>
      <c r="Y27" s="50"/>
      <c r="Z27" s="50"/>
      <c r="AA27" s="50"/>
    </row>
    <row r="28" spans="1:27" ht="24.95" customHeight="1" thickBot="1">
      <c r="B28" s="157"/>
      <c r="C28" s="334" t="s">
        <v>615</v>
      </c>
      <c r="D28" s="334" t="s">
        <v>616</v>
      </c>
      <c r="E28" s="334" t="s">
        <v>617</v>
      </c>
      <c r="F28" s="334" t="s">
        <v>618</v>
      </c>
      <c r="G28" s="334" t="s">
        <v>619</v>
      </c>
      <c r="H28" s="334" t="s">
        <v>620</v>
      </c>
      <c r="I28" s="334" t="s">
        <v>621</v>
      </c>
      <c r="J28" s="157"/>
      <c r="K28" s="157"/>
      <c r="L28" s="157"/>
      <c r="U28" s="50"/>
      <c r="V28" s="50"/>
      <c r="W28" s="50"/>
      <c r="X28" s="50"/>
      <c r="Y28" s="50"/>
      <c r="Z28" s="50"/>
      <c r="AA28" s="50"/>
    </row>
    <row r="29" spans="1:27" ht="15" customHeight="1" thickTop="1">
      <c r="B29" s="157"/>
      <c r="C29" s="332">
        <f>IF(MONTH(C27)&lt;&gt;MONTH((C27-WEEKDAY(C27,1)+1)),"",(C27-WEEKDAY(C27,1)+1))</f>
        <v>43009</v>
      </c>
      <c r="D29" s="332">
        <f>IF(MONTH(C27)&lt;&gt;MONTH((C27-WEEKDAY(C27,1)+2)),"",(C27-WEEKDAY(C27,1)+2))</f>
        <v>43010</v>
      </c>
      <c r="E29" s="332">
        <f>IF(MONTH(C27)&lt;&gt;MONTH((C27-WEEKDAY(C27,1)+3)),"",(C27-WEEKDAY(C27,1)+3))</f>
        <v>43011</v>
      </c>
      <c r="F29" s="332">
        <f>IF(MONTH(C27)&lt;&gt;MONTH((C27-WEEKDAY(C27,1)+4)),"",(C27-WEEKDAY(C27,1)+4))</f>
        <v>43012</v>
      </c>
      <c r="G29" s="332">
        <f>IF(MONTH(C27)&lt;&gt;MONTH((C27-WEEKDAY(C27,1)+5)),"",(C27-WEEKDAY(C27,1)+5))</f>
        <v>43013</v>
      </c>
      <c r="H29" s="332">
        <f>IF(MONTH(C27)&lt;&gt;MONTH((C27-WEEKDAY(C27,1)+6)),"",(C27-WEEKDAY(C27,1)+6))</f>
        <v>43014</v>
      </c>
      <c r="I29" s="332">
        <f>IF(MONTH(C27)&lt;&gt;MONTH((C27-WEEKDAY(C27,1)+7)),"",(C27-WEEKDAY(C27,1)+7))</f>
        <v>43015</v>
      </c>
      <c r="J29" s="157"/>
      <c r="K29" s="157"/>
      <c r="L29" s="157"/>
      <c r="U29" s="50"/>
      <c r="V29" s="50"/>
      <c r="W29" s="50"/>
      <c r="X29" s="50"/>
      <c r="Y29" s="50"/>
      <c r="Z29" s="50"/>
      <c r="AA29" s="50"/>
    </row>
    <row r="30" spans="1:27" ht="15" customHeight="1">
      <c r="B30" s="157"/>
      <c r="C30" s="179">
        <f t="shared" ref="C30:H30" si="13">SUMIFS(profitLoss,dateLog,"&gt;="&amp;C29,dateLog,"&lt;"&amp;D29)</f>
        <v>0</v>
      </c>
      <c r="D30" s="179">
        <f t="shared" si="13"/>
        <v>-2639.6627999999982</v>
      </c>
      <c r="E30" s="179">
        <f t="shared" si="13"/>
        <v>-903.31150000000343</v>
      </c>
      <c r="F30" s="179">
        <f t="shared" si="13"/>
        <v>0</v>
      </c>
      <c r="G30" s="179">
        <f t="shared" si="13"/>
        <v>0</v>
      </c>
      <c r="H30" s="179">
        <f t="shared" si="13"/>
        <v>0</v>
      </c>
      <c r="I30" s="179">
        <f>SUMIFS(profitLoss,dateLog,"&gt;="&amp;I29,dateLog,"&lt;"&amp;C32)</f>
        <v>0</v>
      </c>
      <c r="J30" s="157"/>
      <c r="K30" s="157"/>
      <c r="L30" s="157"/>
      <c r="U30" s="50"/>
      <c r="V30" s="50"/>
      <c r="W30" s="50"/>
      <c r="X30" s="50"/>
      <c r="Y30" s="50"/>
      <c r="Z30" s="50"/>
      <c r="AA30" s="50"/>
    </row>
    <row r="31" spans="1:27" ht="15" customHeight="1" thickBot="1">
      <c r="B31" s="157"/>
      <c r="C31" s="486">
        <f t="shared" ref="C31:H31" si="14">COUNTIFS(dateLog,"&gt;="&amp;C29,dateLog,"&lt;"&amp;D29)</f>
        <v>0</v>
      </c>
      <c r="D31" s="486">
        <f t="shared" si="14"/>
        <v>4</v>
      </c>
      <c r="E31" s="486">
        <f t="shared" si="14"/>
        <v>2</v>
      </c>
      <c r="F31" s="486">
        <f t="shared" si="14"/>
        <v>0</v>
      </c>
      <c r="G31" s="486">
        <f t="shared" si="14"/>
        <v>0</v>
      </c>
      <c r="H31" s="486">
        <f t="shared" si="14"/>
        <v>0</v>
      </c>
      <c r="I31" s="486">
        <f>COUNTIFS(dateLog,"&gt;="&amp;I29,dateLog,"&lt;"&amp;(I29+1))</f>
        <v>0</v>
      </c>
      <c r="J31" s="157"/>
      <c r="K31" s="157"/>
      <c r="L31" s="157"/>
      <c r="U31" s="50"/>
      <c r="V31" s="50"/>
      <c r="W31" s="50"/>
      <c r="X31" s="50"/>
      <c r="Y31" s="50"/>
      <c r="Z31" s="50"/>
      <c r="AA31" s="50"/>
    </row>
    <row r="32" spans="1:27" ht="15" customHeight="1" thickTop="1">
      <c r="B32" s="157"/>
      <c r="C32" s="332">
        <f>I29+1</f>
        <v>43016</v>
      </c>
      <c r="D32" s="332">
        <f>C32+1</f>
        <v>43017</v>
      </c>
      <c r="E32" s="332">
        <f t="shared" ref="E32" si="15">D32+1</f>
        <v>43018</v>
      </c>
      <c r="F32" s="332">
        <f t="shared" ref="F32" si="16">E32+1</f>
        <v>43019</v>
      </c>
      <c r="G32" s="332">
        <f t="shared" ref="G32" si="17">F32+1</f>
        <v>43020</v>
      </c>
      <c r="H32" s="332">
        <f t="shared" ref="H32" si="18">G32+1</f>
        <v>43021</v>
      </c>
      <c r="I32" s="332">
        <f t="shared" ref="I32" si="19">H32+1</f>
        <v>43022</v>
      </c>
      <c r="J32" s="157"/>
      <c r="K32" s="157"/>
      <c r="L32" s="157"/>
      <c r="U32" s="50"/>
      <c r="V32" s="50"/>
      <c r="W32" s="50"/>
      <c r="X32" s="50"/>
      <c r="Y32" s="50"/>
      <c r="Z32" s="50"/>
      <c r="AA32" s="50"/>
    </row>
    <row r="33" spans="2:27" ht="15" customHeight="1">
      <c r="B33" s="157"/>
      <c r="C33" s="942">
        <f t="shared" ref="C33:H33" si="20">SUMIFS(profitLoss,dateLog,"&gt;="&amp;C32,dateLog,"&lt;"&amp;D32)</f>
        <v>0</v>
      </c>
      <c r="D33" s="942">
        <f t="shared" si="20"/>
        <v>0</v>
      </c>
      <c r="E33" s="942">
        <f t="shared" si="20"/>
        <v>0</v>
      </c>
      <c r="F33" s="942">
        <f t="shared" si="20"/>
        <v>0</v>
      </c>
      <c r="G33" s="942">
        <f t="shared" si="20"/>
        <v>0</v>
      </c>
      <c r="H33" s="942">
        <f t="shared" si="20"/>
        <v>0</v>
      </c>
      <c r="I33" s="942">
        <f>SUMIFS(profitLoss,dateLog,"&gt;="&amp;I32,dateLog,"&lt;"&amp;C35)</f>
        <v>0</v>
      </c>
      <c r="J33" s="157"/>
      <c r="K33" s="157"/>
      <c r="L33" s="157"/>
      <c r="U33" s="50"/>
      <c r="V33" s="50"/>
      <c r="W33" s="50"/>
      <c r="X33" s="50"/>
      <c r="Y33" s="50"/>
      <c r="Z33" s="50"/>
      <c r="AA33" s="50"/>
    </row>
    <row r="34" spans="2:27" ht="15" customHeight="1" thickBot="1">
      <c r="B34" s="157"/>
      <c r="C34" s="486">
        <f t="shared" ref="C34:I34" si="21">COUNTIFS(dateLog,"&gt;="&amp;C32,dateLog,"&lt;"&amp;D32,actionLog,"sell")+COUNTIFS(dateLog,"&gt;="&amp;C32,dateLog,"&lt;"&amp;D32,actionLog,"cover")</f>
        <v>0</v>
      </c>
      <c r="D34" s="486">
        <f t="shared" si="21"/>
        <v>0</v>
      </c>
      <c r="E34" s="486">
        <f t="shared" si="21"/>
        <v>0</v>
      </c>
      <c r="F34" s="486">
        <f t="shared" si="21"/>
        <v>0</v>
      </c>
      <c r="G34" s="486">
        <f t="shared" si="21"/>
        <v>0</v>
      </c>
      <c r="H34" s="486">
        <f t="shared" si="21"/>
        <v>0</v>
      </c>
      <c r="I34" s="486">
        <f t="shared" si="21"/>
        <v>0</v>
      </c>
      <c r="J34" s="157"/>
      <c r="K34" s="157"/>
      <c r="L34" s="157"/>
      <c r="U34" s="50"/>
      <c r="V34" s="50"/>
      <c r="W34" s="50"/>
      <c r="X34" s="50"/>
      <c r="Y34" s="50"/>
      <c r="Z34" s="50"/>
      <c r="AA34" s="50"/>
    </row>
    <row r="35" spans="2:27" ht="15" customHeight="1" thickTop="1">
      <c r="B35" s="157"/>
      <c r="C35" s="332">
        <f>I32+1</f>
        <v>43023</v>
      </c>
      <c r="D35" s="332">
        <f>C35+1</f>
        <v>43024</v>
      </c>
      <c r="E35" s="332">
        <f t="shared" ref="E35" si="22">D35+1</f>
        <v>43025</v>
      </c>
      <c r="F35" s="332">
        <f t="shared" ref="F35" si="23">E35+1</f>
        <v>43026</v>
      </c>
      <c r="G35" s="332">
        <f t="shared" ref="G35" si="24">F35+1</f>
        <v>43027</v>
      </c>
      <c r="H35" s="332">
        <f t="shared" ref="H35" si="25">G35+1</f>
        <v>43028</v>
      </c>
      <c r="I35" s="332">
        <f t="shared" ref="I35" si="26">H35+1</f>
        <v>43029</v>
      </c>
      <c r="J35" s="157"/>
      <c r="K35" s="157"/>
      <c r="L35" s="157"/>
      <c r="U35" s="50"/>
      <c r="V35" s="50"/>
      <c r="W35" s="50"/>
      <c r="X35" s="50"/>
      <c r="Y35" s="50"/>
      <c r="Z35" s="50"/>
      <c r="AA35" s="50"/>
    </row>
    <row r="36" spans="2:27" ht="15" customHeight="1">
      <c r="B36" s="157"/>
      <c r="C36" s="942">
        <f t="shared" ref="C36:H36" si="27">SUMIFS(profitLoss,dateLog,"&gt;="&amp;C35,dateLog,"&lt;"&amp;D35)</f>
        <v>0</v>
      </c>
      <c r="D36" s="942">
        <f t="shared" si="27"/>
        <v>0</v>
      </c>
      <c r="E36" s="942">
        <f t="shared" si="27"/>
        <v>0</v>
      </c>
      <c r="F36" s="942">
        <f t="shared" si="27"/>
        <v>0</v>
      </c>
      <c r="G36" s="942">
        <f t="shared" si="27"/>
        <v>0</v>
      </c>
      <c r="H36" s="942">
        <f t="shared" si="27"/>
        <v>0</v>
      </c>
      <c r="I36" s="942">
        <f>SUMIFS(profitLoss,dateLog,"&gt;="&amp;I35,dateLog,"&lt;"&amp;C38)</f>
        <v>0</v>
      </c>
      <c r="J36" s="157"/>
      <c r="K36" s="157"/>
      <c r="L36" s="157"/>
      <c r="U36" s="50"/>
      <c r="V36" s="50"/>
      <c r="W36" s="50"/>
      <c r="X36" s="50"/>
      <c r="Y36" s="50"/>
      <c r="Z36" s="50"/>
      <c r="AA36" s="50"/>
    </row>
    <row r="37" spans="2:27" ht="15" customHeight="1" thickBot="1">
      <c r="B37" s="157"/>
      <c r="C37" s="486">
        <f t="shared" ref="C37:I37" si="28">COUNTIFS(dateLog,"&gt;="&amp;C35,dateLog,"&lt;"&amp;D35,actionLog,"sell")+COUNTIFS(dateLog,"&gt;="&amp;C35,dateLog,"&lt;"&amp;D35,actionLog,"cover")</f>
        <v>0</v>
      </c>
      <c r="D37" s="486">
        <f t="shared" si="28"/>
        <v>0</v>
      </c>
      <c r="E37" s="486">
        <f t="shared" si="28"/>
        <v>0</v>
      </c>
      <c r="F37" s="486">
        <f t="shared" si="28"/>
        <v>0</v>
      </c>
      <c r="G37" s="486">
        <f t="shared" si="28"/>
        <v>0</v>
      </c>
      <c r="H37" s="486">
        <f t="shared" si="28"/>
        <v>0</v>
      </c>
      <c r="I37" s="486">
        <f t="shared" si="28"/>
        <v>0</v>
      </c>
      <c r="J37" s="157"/>
      <c r="K37" s="157"/>
      <c r="L37" s="157"/>
      <c r="U37" s="50"/>
      <c r="V37" s="50"/>
      <c r="W37" s="50"/>
      <c r="X37" s="50"/>
      <c r="Y37" s="50"/>
      <c r="Z37" s="50"/>
      <c r="AA37" s="50"/>
    </row>
    <row r="38" spans="2:27" ht="15" customHeight="1" thickTop="1">
      <c r="B38" s="157"/>
      <c r="C38" s="332">
        <f>I35+1</f>
        <v>43030</v>
      </c>
      <c r="D38" s="332">
        <f>C38+1</f>
        <v>43031</v>
      </c>
      <c r="E38" s="332">
        <f t="shared" ref="E38" si="29">D38+1</f>
        <v>43032</v>
      </c>
      <c r="F38" s="332">
        <f t="shared" ref="F38" si="30">E38+1</f>
        <v>43033</v>
      </c>
      <c r="G38" s="332">
        <f t="shared" ref="G38" si="31">F38+1</f>
        <v>43034</v>
      </c>
      <c r="H38" s="332">
        <f t="shared" ref="H38" si="32">G38+1</f>
        <v>43035</v>
      </c>
      <c r="I38" s="332">
        <f t="shared" ref="I38" si="33">H38+1</f>
        <v>43036</v>
      </c>
      <c r="J38" s="157"/>
      <c r="K38" s="157"/>
      <c r="L38" s="157"/>
      <c r="U38" s="50"/>
      <c r="V38" s="50"/>
      <c r="W38" s="50"/>
      <c r="X38" s="50"/>
      <c r="Y38" s="50"/>
      <c r="Z38" s="50"/>
      <c r="AA38" s="50"/>
    </row>
    <row r="39" spans="2:27" ht="15" customHeight="1">
      <c r="B39" s="157"/>
      <c r="C39" s="942">
        <f t="shared" ref="C39:H39" si="34">SUMIFS(profitLoss,dateLog,"&gt;="&amp;C38,dateLog,"&lt;"&amp;D38)</f>
        <v>0</v>
      </c>
      <c r="D39" s="942">
        <f t="shared" si="34"/>
        <v>0</v>
      </c>
      <c r="E39" s="942">
        <f t="shared" si="34"/>
        <v>0</v>
      </c>
      <c r="F39" s="942">
        <f t="shared" si="34"/>
        <v>0</v>
      </c>
      <c r="G39" s="942">
        <f t="shared" si="34"/>
        <v>0</v>
      </c>
      <c r="H39" s="942">
        <f t="shared" si="34"/>
        <v>0</v>
      </c>
      <c r="I39" s="942">
        <f>SUMIFS(profitLoss,dateLog,"&gt;="&amp;I38,dateLog,"&lt;"&amp;C41)</f>
        <v>0</v>
      </c>
      <c r="J39" s="157"/>
      <c r="K39" s="157"/>
      <c r="L39" s="157"/>
      <c r="U39" s="50"/>
      <c r="V39" s="50"/>
      <c r="W39" s="50"/>
      <c r="X39" s="50"/>
      <c r="Y39" s="50"/>
      <c r="Z39" s="50"/>
      <c r="AA39" s="50"/>
    </row>
    <row r="40" spans="2:27" ht="15" customHeight="1" thickBot="1">
      <c r="B40" s="157"/>
      <c r="C40" s="486">
        <f t="shared" ref="C40:I40" si="35">COUNTIFS(dateLog,"&gt;="&amp;C38,dateLog,"&lt;"&amp;D38,actionLog,"sell")+COUNTIFS(dateLog,"&gt;="&amp;C38,dateLog,"&lt;"&amp;D38,actionLog,"cover")</f>
        <v>0</v>
      </c>
      <c r="D40" s="486">
        <f t="shared" si="35"/>
        <v>0</v>
      </c>
      <c r="E40" s="486">
        <f t="shared" si="35"/>
        <v>0</v>
      </c>
      <c r="F40" s="486">
        <f t="shared" si="35"/>
        <v>0</v>
      </c>
      <c r="G40" s="486">
        <f t="shared" si="35"/>
        <v>0</v>
      </c>
      <c r="H40" s="486">
        <f t="shared" si="35"/>
        <v>0</v>
      </c>
      <c r="I40" s="486">
        <f t="shared" si="35"/>
        <v>0</v>
      </c>
      <c r="J40" s="157"/>
      <c r="K40" s="157"/>
      <c r="L40" s="157"/>
      <c r="U40" s="50"/>
      <c r="V40" s="50"/>
      <c r="W40" s="50"/>
      <c r="X40" s="50"/>
      <c r="Y40" s="50"/>
      <c r="Z40" s="50"/>
      <c r="AA40" s="50"/>
    </row>
    <row r="41" spans="2:27" ht="15" customHeight="1" thickTop="1">
      <c r="B41" s="157"/>
      <c r="C41" s="332">
        <f>IFERROR(IF(MONTH(C27)&lt;&gt;MONTH(I38+1),"",(I38+1)),"")</f>
        <v>43037</v>
      </c>
      <c r="D41" s="332">
        <f>IFERROR(IF(MONTH(C27)&lt;&gt;MONTH(C41+1),"",(C41+1)),"")</f>
        <v>43038</v>
      </c>
      <c r="E41" s="332">
        <f>IFERROR(IF(MONTH(C27)&lt;&gt;MONTH(D41+1),"",(D41+1)),"")</f>
        <v>43039</v>
      </c>
      <c r="F41" s="332" t="str">
        <f>IFERROR(IF(MONTH(C27)&lt;&gt;MONTH(E41+1),"",(E41+1)),"")</f>
        <v/>
      </c>
      <c r="G41" s="332" t="str">
        <f>IFERROR(IF(MONTH(C27)&lt;&gt;MONTH(F41+1),"",(F41+1)),"")</f>
        <v/>
      </c>
      <c r="H41" s="332" t="str">
        <f>IFERROR(IF(MONTH(C27)&lt;&gt;MONTH(G41+1),"",(G41+1)),"")</f>
        <v/>
      </c>
      <c r="I41" s="332" t="str">
        <f>IFERROR(IF(MONTH(C27)&lt;&gt;MONTH(H41+1),"",(H41+1)),"")</f>
        <v/>
      </c>
      <c r="J41" s="157"/>
      <c r="K41" s="157"/>
      <c r="L41" s="157"/>
      <c r="U41" s="50"/>
      <c r="V41" s="50"/>
      <c r="W41" s="50"/>
      <c r="X41" s="50"/>
      <c r="Y41" s="50"/>
      <c r="Z41" s="50"/>
      <c r="AA41" s="50"/>
    </row>
    <row r="42" spans="2:27" ht="15" customHeight="1">
      <c r="B42" s="157"/>
      <c r="C42" s="942">
        <f t="shared" ref="C42:H42" si="36">SUMIFS(profitLoss,dateLog,"&gt;="&amp;C41,dateLog,"&lt;"&amp;D41)</f>
        <v>0</v>
      </c>
      <c r="D42" s="942">
        <f t="shared" si="36"/>
        <v>0</v>
      </c>
      <c r="E42" s="942">
        <f t="shared" si="36"/>
        <v>0</v>
      </c>
      <c r="F42" s="942">
        <f t="shared" si="36"/>
        <v>0</v>
      </c>
      <c r="G42" s="942">
        <f t="shared" si="36"/>
        <v>0</v>
      </c>
      <c r="H42" s="942">
        <f t="shared" si="36"/>
        <v>0</v>
      </c>
      <c r="I42" s="942">
        <f>SUMIFS(profitLoss,dateLog,"&gt;="&amp;I41,dateLog,"&lt;"&amp;C44)</f>
        <v>0</v>
      </c>
      <c r="J42" s="157"/>
      <c r="K42" s="157"/>
      <c r="L42" s="157"/>
      <c r="U42" s="50"/>
      <c r="V42" s="50"/>
      <c r="W42" s="50"/>
      <c r="X42" s="50"/>
      <c r="Y42" s="50"/>
      <c r="Z42" s="50"/>
      <c r="AA42" s="50"/>
    </row>
    <row r="43" spans="2:27" ht="15" customHeight="1" thickBot="1">
      <c r="B43" s="157"/>
      <c r="C43" s="486">
        <f t="shared" ref="C43:I43" si="37">COUNTIFS(dateLog,"&gt;="&amp;C41,dateLog,"&lt;"&amp;D41,actionLog,"sell")+COUNTIFS(dateLog,"&gt;="&amp;C41,dateLog,"&lt;"&amp;D41,actionLog,"cover")</f>
        <v>0</v>
      </c>
      <c r="D43" s="486">
        <f t="shared" si="37"/>
        <v>0</v>
      </c>
      <c r="E43" s="486">
        <f t="shared" si="37"/>
        <v>0</v>
      </c>
      <c r="F43" s="486">
        <f t="shared" si="37"/>
        <v>0</v>
      </c>
      <c r="G43" s="486">
        <f t="shared" si="37"/>
        <v>0</v>
      </c>
      <c r="H43" s="486">
        <f t="shared" si="37"/>
        <v>0</v>
      </c>
      <c r="I43" s="486">
        <f t="shared" si="37"/>
        <v>0</v>
      </c>
      <c r="J43" s="157"/>
      <c r="K43" s="157"/>
      <c r="L43" s="157"/>
      <c r="U43" s="50"/>
      <c r="V43" s="50"/>
      <c r="W43" s="50"/>
      <c r="X43" s="50"/>
      <c r="Y43" s="50"/>
      <c r="Z43" s="50"/>
      <c r="AA43" s="50"/>
    </row>
    <row r="44" spans="2:27" ht="15" customHeight="1" thickTop="1">
      <c r="B44" s="157"/>
      <c r="C44" s="332" t="str">
        <f>IFERROR(IF(MONTH(C27)&lt;&gt;MONTH(I41+1),"",(I41+1)),"")</f>
        <v/>
      </c>
      <c r="D44" s="332" t="str">
        <f>IFERROR(IF(MONTH(C27)&lt;&gt;MONTH(C44+1),"",(C44+1)),"")</f>
        <v/>
      </c>
      <c r="E44" s="332" t="str">
        <f>IFERROR(IF(MONTH(C27)&lt;&gt;MONTH(D44+1),"",(D44+1)),"")</f>
        <v/>
      </c>
      <c r="F44" s="332" t="str">
        <f>IFERROR(IF(MONTH(C27)&lt;&gt;MONTH(E44+1),"",(E44+1)),"")</f>
        <v/>
      </c>
      <c r="G44" s="332" t="str">
        <f>IFERROR(IF(MONTH(C27)&lt;&gt;MONTH(F44+1),"",(F44+1)),"")</f>
        <v/>
      </c>
      <c r="H44" s="332" t="str">
        <f>IFERROR(IF(MONTH(C27)&lt;&gt;MONTH(G44+1),"",(G44+1)),"")</f>
        <v/>
      </c>
      <c r="I44" s="332" t="str">
        <f>IFERROR(IF(MONTH(C27)&lt;&gt;MONTH(H44+1),"",(H44+1)),"")</f>
        <v/>
      </c>
      <c r="J44" s="157"/>
      <c r="K44" s="157"/>
      <c r="L44" s="157"/>
      <c r="U44" s="50"/>
      <c r="V44" s="50"/>
      <c r="W44" s="50"/>
      <c r="X44" s="50"/>
      <c r="Y44" s="50"/>
      <c r="Z44" s="50"/>
      <c r="AA44" s="50"/>
    </row>
    <row r="45" spans="2:27" ht="15" customHeight="1">
      <c r="B45" s="157"/>
      <c r="C45" s="942">
        <f t="shared" ref="C45:H45" si="38">SUMIFS(profitLoss,dateLog,"&gt;="&amp;C44,dateLog,"&lt;"&amp;D44)</f>
        <v>0</v>
      </c>
      <c r="D45" s="942">
        <f t="shared" si="38"/>
        <v>0</v>
      </c>
      <c r="E45" s="942">
        <f t="shared" si="38"/>
        <v>0</v>
      </c>
      <c r="F45" s="942">
        <f t="shared" si="38"/>
        <v>0</v>
      </c>
      <c r="G45" s="942">
        <f t="shared" si="38"/>
        <v>0</v>
      </c>
      <c r="H45" s="942">
        <f t="shared" si="38"/>
        <v>0</v>
      </c>
      <c r="I45" s="942">
        <f>SUMIFS(profitLoss,dateLog,"&gt;="&amp;I44,dateLog,"&lt;"&amp;C47)</f>
        <v>0</v>
      </c>
      <c r="J45" s="157"/>
      <c r="K45" s="157"/>
      <c r="L45" s="157"/>
      <c r="U45" s="50"/>
      <c r="V45" s="50"/>
      <c r="W45" s="50"/>
      <c r="X45" s="50"/>
      <c r="Y45" s="50"/>
      <c r="Z45" s="50"/>
      <c r="AA45" s="50"/>
    </row>
    <row r="46" spans="2:27" ht="15" customHeight="1">
      <c r="B46" s="157"/>
      <c r="C46" s="487">
        <f t="shared" ref="C46:I46" si="39">COUNTIFS(dateLog,"&gt;="&amp;C44,dateLog,"&lt;"&amp;D44,actionLog,"sell")+COUNTIFS(dateLog,"&gt;="&amp;C44,dateLog,"&lt;"&amp;D44,actionLog,"cover")</f>
        <v>0</v>
      </c>
      <c r="D46" s="487">
        <f t="shared" si="39"/>
        <v>0</v>
      </c>
      <c r="E46" s="487">
        <f t="shared" si="39"/>
        <v>0</v>
      </c>
      <c r="F46" s="487">
        <f t="shared" si="39"/>
        <v>0</v>
      </c>
      <c r="G46" s="487">
        <f t="shared" si="39"/>
        <v>0</v>
      </c>
      <c r="H46" s="487">
        <f t="shared" si="39"/>
        <v>0</v>
      </c>
      <c r="I46" s="487">
        <f t="shared" si="39"/>
        <v>0</v>
      </c>
      <c r="J46" s="157"/>
      <c r="K46" s="157"/>
      <c r="L46" s="157"/>
      <c r="U46" s="50"/>
      <c r="V46" s="50"/>
      <c r="W46" s="50"/>
      <c r="X46" s="50"/>
      <c r="Y46" s="50"/>
      <c r="Z46" s="50"/>
      <c r="AA46" s="50"/>
    </row>
    <row r="47" spans="2:27" ht="18" customHeight="1" thickBot="1">
      <c r="B47" s="157"/>
      <c r="C47" s="183"/>
      <c r="D47" s="183"/>
      <c r="E47" s="183"/>
      <c r="F47" s="183"/>
      <c r="G47" s="183"/>
      <c r="H47" s="183"/>
      <c r="I47" s="183"/>
      <c r="J47" s="157"/>
      <c r="K47" s="157"/>
      <c r="L47" s="157"/>
      <c r="U47" s="50"/>
      <c r="V47" s="50"/>
      <c r="W47" s="50"/>
      <c r="X47" s="50"/>
      <c r="Y47" s="50"/>
      <c r="Z47" s="50"/>
      <c r="AA47" s="50"/>
    </row>
    <row r="48" spans="2:27" ht="21.95" customHeight="1">
      <c r="B48" s="157"/>
      <c r="C48" s="184">
        <f>EOMONTH(C27,0)+1</f>
        <v>43040</v>
      </c>
      <c r="D48" s="185"/>
      <c r="E48" s="186"/>
      <c r="F48" s="187"/>
      <c r="G48" s="188"/>
      <c r="H48" s="188"/>
      <c r="I48" s="188"/>
      <c r="J48" s="157"/>
      <c r="K48" s="157"/>
      <c r="L48" s="157"/>
      <c r="U48" s="50"/>
      <c r="V48" s="50"/>
      <c r="W48" s="50"/>
      <c r="X48" s="50"/>
      <c r="Y48" s="50"/>
      <c r="Z48" s="50"/>
      <c r="AA48" s="50"/>
    </row>
    <row r="49" spans="2:27" ht="24.95" customHeight="1" thickBot="1">
      <c r="B49" s="157"/>
      <c r="C49" s="334" t="s">
        <v>615</v>
      </c>
      <c r="D49" s="334" t="s">
        <v>616</v>
      </c>
      <c r="E49" s="334" t="s">
        <v>617</v>
      </c>
      <c r="F49" s="334" t="s">
        <v>618</v>
      </c>
      <c r="G49" s="334" t="s">
        <v>619</v>
      </c>
      <c r="H49" s="334" t="s">
        <v>620</v>
      </c>
      <c r="I49" s="334" t="s">
        <v>621</v>
      </c>
      <c r="J49" s="157"/>
      <c r="K49" s="157"/>
      <c r="L49" s="157"/>
      <c r="U49" s="50"/>
      <c r="V49" s="50"/>
      <c r="W49" s="50"/>
      <c r="X49" s="50"/>
      <c r="Y49" s="50"/>
      <c r="Z49" s="50"/>
      <c r="AA49" s="50"/>
    </row>
    <row r="50" spans="2:27" ht="15" customHeight="1" thickTop="1">
      <c r="B50" s="157"/>
      <c r="C50" s="332" t="str">
        <f>IF(MONTH(C48)&lt;&gt;MONTH((C48-WEEKDAY(C48,1)+1)),"",(C48-WEEKDAY(C48,1)+1))</f>
        <v/>
      </c>
      <c r="D50" s="332" t="str">
        <f>IF(MONTH(C48)&lt;&gt;MONTH((C48-WEEKDAY(C48,1)+2)),"",(C48-WEEKDAY(C48,1)+2))</f>
        <v/>
      </c>
      <c r="E50" s="332" t="str">
        <f>IF(MONTH(C48)&lt;&gt;MONTH((C48-WEEKDAY(C48,1)+3)),"",(C48-WEEKDAY(C48,1)+3))</f>
        <v/>
      </c>
      <c r="F50" s="332">
        <f>IF(MONTH(C48)&lt;&gt;MONTH((C48-WEEKDAY(C48,1)+4)),"",(C48-WEEKDAY(C48,1)+4))</f>
        <v>43040</v>
      </c>
      <c r="G50" s="332">
        <f>IF(MONTH(C48)&lt;&gt;MONTH((C48-WEEKDAY(C48,1)+5)),"",(C48-WEEKDAY(C48,1)+5))</f>
        <v>43041</v>
      </c>
      <c r="H50" s="332">
        <f>IF(MONTH(C48)&lt;&gt;MONTH((C48-WEEKDAY(C48,1)+6)),"",(C48-WEEKDAY(C48,1)+6))</f>
        <v>43042</v>
      </c>
      <c r="I50" s="332">
        <f>IF(MONTH(C48)&lt;&gt;MONTH((C48-WEEKDAY(C48,1)+7)),"",(C48-WEEKDAY(C48,1)+7))</f>
        <v>43043</v>
      </c>
      <c r="J50" s="157"/>
      <c r="K50" s="157"/>
      <c r="L50" s="157"/>
      <c r="U50" s="50"/>
      <c r="V50" s="50"/>
      <c r="W50" s="50"/>
      <c r="X50" s="50"/>
      <c r="Y50" s="50"/>
      <c r="Z50" s="50"/>
      <c r="AA50" s="50"/>
    </row>
    <row r="51" spans="2:27" ht="15" customHeight="1">
      <c r="B51" s="157"/>
      <c r="C51" s="179">
        <f t="shared" ref="C51:H51" si="40">SUMIFS(profitLoss,dateLog,"&gt;="&amp;C50,dateLog,"&lt;"&amp;D50)</f>
        <v>0</v>
      </c>
      <c r="D51" s="179">
        <f t="shared" si="40"/>
        <v>0</v>
      </c>
      <c r="E51" s="179">
        <f t="shared" si="40"/>
        <v>0</v>
      </c>
      <c r="F51" s="179">
        <f t="shared" si="40"/>
        <v>0</v>
      </c>
      <c r="G51" s="179">
        <f t="shared" si="40"/>
        <v>0</v>
      </c>
      <c r="H51" s="179">
        <f t="shared" si="40"/>
        <v>0</v>
      </c>
      <c r="I51" s="179">
        <f>SUMIFS(profitLoss,dateLog,"&gt;="&amp;I50,dateLog,"&lt;"&amp;C53)</f>
        <v>0</v>
      </c>
      <c r="J51" s="157"/>
      <c r="K51" s="157"/>
      <c r="L51" s="157"/>
      <c r="U51" s="50"/>
      <c r="V51" s="50"/>
      <c r="W51" s="50"/>
      <c r="X51" s="50"/>
      <c r="Y51" s="50"/>
      <c r="Z51" s="50"/>
      <c r="AA51" s="50"/>
    </row>
    <row r="52" spans="2:27" ht="15" customHeight="1" thickBot="1">
      <c r="B52" s="157"/>
      <c r="C52" s="486">
        <f t="shared" ref="C52:H52" si="41">COUNTIFS(dateLog,"&gt;="&amp;C50,dateLog,"&lt;"&amp;D50)</f>
        <v>0</v>
      </c>
      <c r="D52" s="486">
        <f t="shared" si="41"/>
        <v>0</v>
      </c>
      <c r="E52" s="486">
        <f t="shared" si="41"/>
        <v>0</v>
      </c>
      <c r="F52" s="486">
        <f t="shared" si="41"/>
        <v>0</v>
      </c>
      <c r="G52" s="486">
        <f t="shared" si="41"/>
        <v>0</v>
      </c>
      <c r="H52" s="486">
        <f t="shared" si="41"/>
        <v>0</v>
      </c>
      <c r="I52" s="486">
        <f>COUNTIFS(dateLog,"&gt;="&amp;I50,dateLog,"&lt;"&amp;(I50+1))</f>
        <v>0</v>
      </c>
      <c r="J52" s="157"/>
      <c r="K52" s="157"/>
      <c r="L52" s="157"/>
      <c r="U52" s="50"/>
      <c r="V52" s="50"/>
      <c r="W52" s="50"/>
      <c r="X52" s="50"/>
      <c r="Y52" s="50"/>
      <c r="Z52" s="50"/>
      <c r="AA52" s="50"/>
    </row>
    <row r="53" spans="2:27" ht="15" customHeight="1" thickTop="1">
      <c r="B53" s="157"/>
      <c r="C53" s="332">
        <f>I50+1</f>
        <v>43044</v>
      </c>
      <c r="D53" s="332">
        <f>C53+1</f>
        <v>43045</v>
      </c>
      <c r="E53" s="332">
        <f t="shared" ref="E53" si="42">D53+1</f>
        <v>43046</v>
      </c>
      <c r="F53" s="332">
        <f t="shared" ref="F53" si="43">E53+1</f>
        <v>43047</v>
      </c>
      <c r="G53" s="332">
        <f t="shared" ref="G53" si="44">F53+1</f>
        <v>43048</v>
      </c>
      <c r="H53" s="332">
        <f t="shared" ref="H53" si="45">G53+1</f>
        <v>43049</v>
      </c>
      <c r="I53" s="332">
        <f t="shared" ref="I53" si="46">H53+1</f>
        <v>43050</v>
      </c>
      <c r="J53" s="157"/>
      <c r="K53" s="157"/>
      <c r="L53" s="157"/>
      <c r="U53" s="50"/>
      <c r="V53" s="50"/>
      <c r="W53" s="50"/>
      <c r="X53" s="50"/>
      <c r="Y53" s="50"/>
      <c r="Z53" s="50"/>
      <c r="AA53" s="50"/>
    </row>
    <row r="54" spans="2:27" ht="15" customHeight="1">
      <c r="B54" s="157"/>
      <c r="C54" s="942">
        <f t="shared" ref="C54:H54" si="47">SUMIFS(profitLoss,dateLog,"&gt;="&amp;C53,dateLog,"&lt;"&amp;D53)</f>
        <v>0</v>
      </c>
      <c r="D54" s="942">
        <f t="shared" si="47"/>
        <v>0</v>
      </c>
      <c r="E54" s="942">
        <f t="shared" si="47"/>
        <v>0</v>
      </c>
      <c r="F54" s="942">
        <f t="shared" si="47"/>
        <v>0</v>
      </c>
      <c r="G54" s="942">
        <f t="shared" si="47"/>
        <v>0</v>
      </c>
      <c r="H54" s="942">
        <f t="shared" si="47"/>
        <v>0</v>
      </c>
      <c r="I54" s="942">
        <f>SUMIFS(profitLoss,dateLog,"&gt;="&amp;I53,dateLog,"&lt;"&amp;C56)</f>
        <v>0</v>
      </c>
      <c r="J54" s="157"/>
      <c r="K54" s="157"/>
      <c r="L54" s="157"/>
      <c r="U54" s="50"/>
      <c r="V54" s="50"/>
      <c r="W54" s="50"/>
      <c r="X54" s="50"/>
      <c r="Y54" s="50"/>
      <c r="Z54" s="50"/>
      <c r="AA54" s="50"/>
    </row>
    <row r="55" spans="2:27" ht="15" customHeight="1" thickBot="1">
      <c r="B55" s="157"/>
      <c r="C55" s="486">
        <f t="shared" ref="C55:I55" si="48">COUNTIFS(dateLog,"&gt;="&amp;C53,dateLog,"&lt;"&amp;D53,actionLog,"sell")+COUNTIFS(dateLog,"&gt;="&amp;C53,dateLog,"&lt;"&amp;D53,actionLog,"cover")</f>
        <v>0</v>
      </c>
      <c r="D55" s="486">
        <f t="shared" si="48"/>
        <v>0</v>
      </c>
      <c r="E55" s="486">
        <f t="shared" si="48"/>
        <v>0</v>
      </c>
      <c r="F55" s="486">
        <f t="shared" si="48"/>
        <v>0</v>
      </c>
      <c r="G55" s="486">
        <f t="shared" si="48"/>
        <v>0</v>
      </c>
      <c r="H55" s="486">
        <f t="shared" si="48"/>
        <v>0</v>
      </c>
      <c r="I55" s="486">
        <f t="shared" si="48"/>
        <v>0</v>
      </c>
      <c r="J55" s="157"/>
      <c r="K55" s="157"/>
      <c r="L55" s="157"/>
      <c r="U55" s="50"/>
      <c r="V55" s="50"/>
      <c r="W55" s="50"/>
      <c r="X55" s="50"/>
      <c r="Y55" s="50"/>
      <c r="Z55" s="50"/>
      <c r="AA55" s="50"/>
    </row>
    <row r="56" spans="2:27" ht="15" customHeight="1" thickTop="1">
      <c r="B56" s="157"/>
      <c r="C56" s="332">
        <f>I53+1</f>
        <v>43051</v>
      </c>
      <c r="D56" s="332">
        <f>C56+1</f>
        <v>43052</v>
      </c>
      <c r="E56" s="332">
        <f t="shared" ref="E56" si="49">D56+1</f>
        <v>43053</v>
      </c>
      <c r="F56" s="332">
        <f t="shared" ref="F56" si="50">E56+1</f>
        <v>43054</v>
      </c>
      <c r="G56" s="332">
        <f t="shared" ref="G56" si="51">F56+1</f>
        <v>43055</v>
      </c>
      <c r="H56" s="332">
        <f t="shared" ref="H56" si="52">G56+1</f>
        <v>43056</v>
      </c>
      <c r="I56" s="332">
        <f t="shared" ref="I56" si="53">H56+1</f>
        <v>43057</v>
      </c>
      <c r="J56" s="157"/>
      <c r="K56" s="157"/>
      <c r="L56" s="157"/>
      <c r="U56" s="50"/>
      <c r="V56" s="50"/>
      <c r="W56" s="50"/>
      <c r="X56" s="50"/>
      <c r="Y56" s="50"/>
      <c r="Z56" s="50"/>
      <c r="AA56" s="50"/>
    </row>
    <row r="57" spans="2:27" ht="15" customHeight="1">
      <c r="B57" s="157"/>
      <c r="C57" s="942">
        <f t="shared" ref="C57:H57" si="54">SUMIFS(profitLoss,dateLog,"&gt;="&amp;C56,dateLog,"&lt;"&amp;D56)</f>
        <v>0</v>
      </c>
      <c r="D57" s="942">
        <f t="shared" si="54"/>
        <v>0</v>
      </c>
      <c r="E57" s="942">
        <f t="shared" si="54"/>
        <v>0</v>
      </c>
      <c r="F57" s="942">
        <f t="shared" si="54"/>
        <v>0</v>
      </c>
      <c r="G57" s="942">
        <f t="shared" si="54"/>
        <v>0</v>
      </c>
      <c r="H57" s="942">
        <f t="shared" si="54"/>
        <v>0</v>
      </c>
      <c r="I57" s="942">
        <f>SUMIFS(profitLoss,dateLog,"&gt;="&amp;I56,dateLog,"&lt;"&amp;C59)</f>
        <v>0</v>
      </c>
      <c r="J57" s="157"/>
      <c r="K57" s="157"/>
      <c r="L57" s="157"/>
      <c r="U57" s="50"/>
      <c r="V57" s="50"/>
      <c r="W57" s="50"/>
      <c r="X57" s="50"/>
      <c r="Y57" s="50"/>
      <c r="Z57" s="50"/>
      <c r="AA57" s="50"/>
    </row>
    <row r="58" spans="2:27" ht="15" customHeight="1" thickBot="1">
      <c r="B58" s="157"/>
      <c r="C58" s="486">
        <f t="shared" ref="C58:I58" si="55">COUNTIFS(dateLog,"&gt;="&amp;C56,dateLog,"&lt;"&amp;D56,actionLog,"sell")+COUNTIFS(dateLog,"&gt;="&amp;C56,dateLog,"&lt;"&amp;D56,actionLog,"cover")</f>
        <v>0</v>
      </c>
      <c r="D58" s="486">
        <f t="shared" si="55"/>
        <v>0</v>
      </c>
      <c r="E58" s="486">
        <f t="shared" si="55"/>
        <v>0</v>
      </c>
      <c r="F58" s="486">
        <f t="shared" si="55"/>
        <v>0</v>
      </c>
      <c r="G58" s="486">
        <f t="shared" si="55"/>
        <v>0</v>
      </c>
      <c r="H58" s="486">
        <f t="shared" si="55"/>
        <v>0</v>
      </c>
      <c r="I58" s="486">
        <f t="shared" si="55"/>
        <v>0</v>
      </c>
      <c r="J58" s="157"/>
      <c r="K58" s="157"/>
      <c r="L58" s="157"/>
      <c r="U58" s="50"/>
      <c r="V58" s="50"/>
      <c r="W58" s="50"/>
      <c r="X58" s="50"/>
      <c r="Y58" s="50"/>
      <c r="Z58" s="50"/>
      <c r="AA58" s="50"/>
    </row>
    <row r="59" spans="2:27" ht="15" customHeight="1" thickTop="1">
      <c r="B59" s="157"/>
      <c r="C59" s="332">
        <f>I56+1</f>
        <v>43058</v>
      </c>
      <c r="D59" s="332">
        <f>C59+1</f>
        <v>43059</v>
      </c>
      <c r="E59" s="332">
        <f t="shared" ref="E59" si="56">D59+1</f>
        <v>43060</v>
      </c>
      <c r="F59" s="332">
        <f t="shared" ref="F59" si="57">E59+1</f>
        <v>43061</v>
      </c>
      <c r="G59" s="332">
        <f t="shared" ref="G59" si="58">F59+1</f>
        <v>43062</v>
      </c>
      <c r="H59" s="332">
        <f t="shared" ref="H59" si="59">G59+1</f>
        <v>43063</v>
      </c>
      <c r="I59" s="332">
        <f t="shared" ref="I59" si="60">H59+1</f>
        <v>43064</v>
      </c>
      <c r="J59" s="157"/>
      <c r="K59" s="157"/>
      <c r="L59" s="157"/>
      <c r="U59" s="50"/>
      <c r="V59" s="50"/>
      <c r="W59" s="50"/>
      <c r="X59" s="50"/>
      <c r="Y59" s="50"/>
      <c r="Z59" s="50"/>
      <c r="AA59" s="50"/>
    </row>
    <row r="60" spans="2:27" ht="15" customHeight="1">
      <c r="B60" s="157"/>
      <c r="C60" s="942">
        <f t="shared" ref="C60:H60" si="61">SUMIFS(profitLoss,dateLog,"&gt;="&amp;C59,dateLog,"&lt;"&amp;D59)</f>
        <v>0</v>
      </c>
      <c r="D60" s="942">
        <f t="shared" si="61"/>
        <v>0</v>
      </c>
      <c r="E60" s="942">
        <f t="shared" si="61"/>
        <v>0</v>
      </c>
      <c r="F60" s="942">
        <f t="shared" si="61"/>
        <v>0</v>
      </c>
      <c r="G60" s="942">
        <f t="shared" si="61"/>
        <v>0</v>
      </c>
      <c r="H60" s="942">
        <f t="shared" si="61"/>
        <v>0</v>
      </c>
      <c r="I60" s="942">
        <f>SUMIFS(profitLoss,dateLog,"&gt;="&amp;I59,dateLog,"&lt;"&amp;C62)</f>
        <v>0</v>
      </c>
      <c r="J60" s="157"/>
      <c r="K60" s="157"/>
      <c r="L60" s="157"/>
      <c r="U60" s="50"/>
      <c r="V60" s="50"/>
      <c r="W60" s="50"/>
      <c r="X60" s="50"/>
      <c r="Y60" s="50"/>
      <c r="Z60" s="50"/>
      <c r="AA60" s="50"/>
    </row>
    <row r="61" spans="2:27" ht="15" customHeight="1" thickBot="1">
      <c r="B61" s="157"/>
      <c r="C61" s="486">
        <f t="shared" ref="C61:I61" si="62">COUNTIFS(dateLog,"&gt;="&amp;C59,dateLog,"&lt;"&amp;D59,actionLog,"sell")+COUNTIFS(dateLog,"&gt;="&amp;C59,dateLog,"&lt;"&amp;D59,actionLog,"cover")</f>
        <v>0</v>
      </c>
      <c r="D61" s="486">
        <f t="shared" si="62"/>
        <v>0</v>
      </c>
      <c r="E61" s="486">
        <f t="shared" si="62"/>
        <v>0</v>
      </c>
      <c r="F61" s="486">
        <f t="shared" si="62"/>
        <v>0</v>
      </c>
      <c r="G61" s="486">
        <f t="shared" si="62"/>
        <v>0</v>
      </c>
      <c r="H61" s="486">
        <f t="shared" si="62"/>
        <v>0</v>
      </c>
      <c r="I61" s="486">
        <f t="shared" si="62"/>
        <v>0</v>
      </c>
      <c r="J61" s="157"/>
      <c r="K61" s="157"/>
      <c r="L61" s="157"/>
      <c r="U61" s="50"/>
      <c r="V61" s="50"/>
      <c r="W61" s="50"/>
      <c r="X61" s="50"/>
      <c r="Y61" s="50"/>
      <c r="Z61" s="50"/>
      <c r="AA61" s="50"/>
    </row>
    <row r="62" spans="2:27" ht="15" customHeight="1" thickTop="1">
      <c r="B62" s="157"/>
      <c r="C62" s="332">
        <f>IFERROR(IF(MONTH(C48)&lt;&gt;MONTH(I59+1),"",(I59+1)),"")</f>
        <v>43065</v>
      </c>
      <c r="D62" s="332">
        <f>IFERROR(IF(MONTH(C48)&lt;&gt;MONTH(C62+1),"",(C62+1)),"")</f>
        <v>43066</v>
      </c>
      <c r="E62" s="332">
        <f>IFERROR(IF(MONTH(C48)&lt;&gt;MONTH(D62+1),"",(D62+1)),"")</f>
        <v>43067</v>
      </c>
      <c r="F62" s="332">
        <f>IFERROR(IF(MONTH(C48)&lt;&gt;MONTH(E62+1),"",(E62+1)),"")</f>
        <v>43068</v>
      </c>
      <c r="G62" s="332">
        <f>IFERROR(IF(MONTH(C48)&lt;&gt;MONTH(F62+1),"",(F62+1)),"")</f>
        <v>43069</v>
      </c>
      <c r="H62" s="332" t="str">
        <f>IFERROR(IF(MONTH(C48)&lt;&gt;MONTH(G62+1),"",(G62+1)),"")</f>
        <v/>
      </c>
      <c r="I62" s="332" t="str">
        <f>IFERROR(IF(MONTH(C48)&lt;&gt;MONTH(H62+1),"",(H62+1)),"")</f>
        <v/>
      </c>
      <c r="J62" s="157"/>
      <c r="K62" s="157"/>
      <c r="L62" s="157"/>
      <c r="U62" s="50"/>
      <c r="V62" s="50"/>
      <c r="W62" s="50"/>
      <c r="X62" s="50"/>
      <c r="Y62" s="50"/>
      <c r="Z62" s="50"/>
      <c r="AA62" s="50"/>
    </row>
    <row r="63" spans="2:27" ht="15" customHeight="1">
      <c r="B63" s="157"/>
      <c r="C63" s="942">
        <f t="shared" ref="C63:H63" si="63">SUMIFS(profitLoss,dateLog,"&gt;="&amp;C62,dateLog,"&lt;"&amp;D62)</f>
        <v>0</v>
      </c>
      <c r="D63" s="942">
        <f t="shared" si="63"/>
        <v>0</v>
      </c>
      <c r="E63" s="942">
        <f t="shared" si="63"/>
        <v>0</v>
      </c>
      <c r="F63" s="942">
        <f t="shared" si="63"/>
        <v>0</v>
      </c>
      <c r="G63" s="942">
        <f t="shared" si="63"/>
        <v>0</v>
      </c>
      <c r="H63" s="942">
        <f t="shared" si="63"/>
        <v>0</v>
      </c>
      <c r="I63" s="942">
        <f>SUMIFS(profitLoss,dateLog,"&gt;="&amp;I62,dateLog,"&lt;"&amp;C65)</f>
        <v>0</v>
      </c>
      <c r="J63" s="157"/>
      <c r="K63" s="157"/>
      <c r="L63" s="157"/>
      <c r="U63" s="50"/>
      <c r="V63" s="50"/>
      <c r="W63" s="50"/>
      <c r="X63" s="50"/>
      <c r="Y63" s="50"/>
      <c r="Z63" s="50"/>
      <c r="AA63" s="50"/>
    </row>
    <row r="64" spans="2:27" ht="15" customHeight="1" thickBot="1">
      <c r="B64" s="157"/>
      <c r="C64" s="486">
        <f t="shared" ref="C64:I64" si="64">COUNTIFS(dateLog,"&gt;="&amp;C62,dateLog,"&lt;"&amp;D62,actionLog,"sell")+COUNTIFS(dateLog,"&gt;="&amp;C62,dateLog,"&lt;"&amp;D62,actionLog,"cover")</f>
        <v>0</v>
      </c>
      <c r="D64" s="486">
        <f t="shared" si="64"/>
        <v>0</v>
      </c>
      <c r="E64" s="486">
        <f t="shared" si="64"/>
        <v>0</v>
      </c>
      <c r="F64" s="486">
        <f t="shared" si="64"/>
        <v>0</v>
      </c>
      <c r="G64" s="486">
        <f t="shared" si="64"/>
        <v>0</v>
      </c>
      <c r="H64" s="486">
        <f t="shared" si="64"/>
        <v>0</v>
      </c>
      <c r="I64" s="486">
        <f t="shared" si="64"/>
        <v>0</v>
      </c>
      <c r="J64" s="157"/>
      <c r="K64" s="157"/>
      <c r="L64" s="157"/>
      <c r="U64" s="50"/>
      <c r="V64" s="50"/>
      <c r="W64" s="50"/>
      <c r="X64" s="50"/>
      <c r="Y64" s="50"/>
      <c r="Z64" s="50"/>
      <c r="AA64" s="50"/>
    </row>
    <row r="65" spans="1:27" ht="15" customHeight="1" thickTop="1">
      <c r="B65" s="157"/>
      <c r="C65" s="332" t="str">
        <f>IFERROR(IF(MONTH(C48)&lt;&gt;MONTH(I62+1),"",(I62+1)),"")</f>
        <v/>
      </c>
      <c r="D65" s="332" t="str">
        <f>IFERROR(IF(MONTH(C48)&lt;&gt;MONTH(C65+1),"",(C65+1)),"")</f>
        <v/>
      </c>
      <c r="E65" s="332" t="str">
        <f>IFERROR(IF(MONTH(C48)&lt;&gt;MONTH(D65+1),"",(D65+1)),"")</f>
        <v/>
      </c>
      <c r="F65" s="332" t="str">
        <f>IFERROR(IF(MONTH(C48)&lt;&gt;MONTH(E65+1),"",(E65+1)),"")</f>
        <v/>
      </c>
      <c r="G65" s="332" t="str">
        <f>IFERROR(IF(MONTH(C48)&lt;&gt;MONTH(F65+1),"",(F65+1)),"")</f>
        <v/>
      </c>
      <c r="H65" s="332" t="str">
        <f>IFERROR(IF(MONTH(C48)&lt;&gt;MONTH(G65+1),"",(G65+1)),"")</f>
        <v/>
      </c>
      <c r="I65" s="332" t="str">
        <f>IFERROR(IF(MONTH(C48)&lt;&gt;MONTH(H65+1),"",(H65+1)),"")</f>
        <v/>
      </c>
      <c r="J65" s="157"/>
      <c r="K65" s="157"/>
      <c r="L65" s="157"/>
      <c r="U65" s="50"/>
      <c r="V65" s="50"/>
      <c r="W65" s="50"/>
      <c r="X65" s="50"/>
      <c r="Y65" s="50"/>
      <c r="Z65" s="50"/>
      <c r="AA65" s="50"/>
    </row>
    <row r="66" spans="1:27" ht="15" customHeight="1">
      <c r="B66" s="157"/>
      <c r="C66" s="942">
        <f t="shared" ref="C66:H66" si="65">SUMIFS(profitLoss,dateLog,"&gt;="&amp;C65,dateLog,"&lt;"&amp;D65)</f>
        <v>0</v>
      </c>
      <c r="D66" s="942">
        <f t="shared" si="65"/>
        <v>0</v>
      </c>
      <c r="E66" s="942">
        <f t="shared" si="65"/>
        <v>0</v>
      </c>
      <c r="F66" s="942">
        <f t="shared" si="65"/>
        <v>0</v>
      </c>
      <c r="G66" s="942">
        <f t="shared" si="65"/>
        <v>0</v>
      </c>
      <c r="H66" s="942">
        <f t="shared" si="65"/>
        <v>0</v>
      </c>
      <c r="I66" s="942">
        <f>SUMIFS(profitLoss,dateLog,"&gt;="&amp;I65,dateLog,"&lt;"&amp;C68)</f>
        <v>0</v>
      </c>
      <c r="J66" s="157"/>
      <c r="K66" s="157"/>
      <c r="L66" s="157"/>
      <c r="U66" s="50"/>
      <c r="V66" s="50"/>
      <c r="W66" s="50"/>
      <c r="X66" s="50"/>
      <c r="Y66" s="50"/>
      <c r="Z66" s="50"/>
      <c r="AA66" s="50"/>
    </row>
    <row r="67" spans="1:27" ht="15" customHeight="1">
      <c r="B67" s="157"/>
      <c r="C67" s="487">
        <f t="shared" ref="C67:I67" si="66">COUNTIFS(dateLog,"&gt;="&amp;C65,dateLog,"&lt;"&amp;D65,actionLog,"sell")+COUNTIFS(dateLog,"&gt;="&amp;C65,dateLog,"&lt;"&amp;D65,actionLog,"cover")</f>
        <v>0</v>
      </c>
      <c r="D67" s="487">
        <f t="shared" si="66"/>
        <v>0</v>
      </c>
      <c r="E67" s="487">
        <f t="shared" si="66"/>
        <v>0</v>
      </c>
      <c r="F67" s="487">
        <f t="shared" si="66"/>
        <v>0</v>
      </c>
      <c r="G67" s="487">
        <f t="shared" si="66"/>
        <v>0</v>
      </c>
      <c r="H67" s="487">
        <f t="shared" si="66"/>
        <v>0</v>
      </c>
      <c r="I67" s="487">
        <f t="shared" si="66"/>
        <v>0</v>
      </c>
      <c r="J67" s="157"/>
      <c r="K67" s="157"/>
      <c r="L67" s="157"/>
      <c r="U67" s="50"/>
      <c r="V67" s="50"/>
      <c r="W67" s="50"/>
      <c r="X67" s="50"/>
      <c r="Y67" s="50"/>
      <c r="Z67" s="50"/>
      <c r="AA67" s="50"/>
    </row>
    <row r="68" spans="1:27" ht="18" customHeight="1" thickBot="1">
      <c r="B68" s="157"/>
      <c r="C68" s="183"/>
      <c r="D68" s="183"/>
      <c r="E68" s="183"/>
      <c r="F68" s="183"/>
      <c r="G68" s="183"/>
      <c r="H68" s="183"/>
      <c r="I68" s="183"/>
      <c r="J68" s="157"/>
      <c r="K68" s="157"/>
      <c r="L68" s="157"/>
      <c r="U68" s="50"/>
      <c r="V68" s="50"/>
      <c r="W68" s="50"/>
      <c r="X68" s="50"/>
      <c r="Y68" s="50"/>
      <c r="Z68" s="50"/>
      <c r="AA68" s="50"/>
    </row>
    <row r="69" spans="1:27" ht="21.95" customHeight="1">
      <c r="B69" s="157"/>
      <c r="C69" s="184">
        <f>EOMONTH(C48,0)+1</f>
        <v>43070</v>
      </c>
      <c r="D69" s="185"/>
      <c r="E69" s="186"/>
      <c r="F69" s="187"/>
      <c r="G69" s="188"/>
      <c r="H69" s="188"/>
      <c r="I69" s="188"/>
      <c r="J69" s="157"/>
      <c r="K69" s="157"/>
      <c r="L69" s="157"/>
      <c r="U69" s="50"/>
      <c r="V69" s="50"/>
      <c r="W69" s="50"/>
      <c r="X69" s="50"/>
      <c r="Y69" s="50"/>
      <c r="Z69" s="50"/>
      <c r="AA69" s="50"/>
    </row>
    <row r="70" spans="1:27" ht="24.95" customHeight="1" thickBot="1">
      <c r="B70" s="157"/>
      <c r="C70" s="334" t="s">
        <v>615</v>
      </c>
      <c r="D70" s="334" t="s">
        <v>616</v>
      </c>
      <c r="E70" s="334" t="s">
        <v>617</v>
      </c>
      <c r="F70" s="334" t="s">
        <v>618</v>
      </c>
      <c r="G70" s="334" t="s">
        <v>619</v>
      </c>
      <c r="H70" s="334" t="s">
        <v>620</v>
      </c>
      <c r="I70" s="334" t="s">
        <v>621</v>
      </c>
      <c r="J70" s="157"/>
      <c r="K70" s="157"/>
      <c r="L70" s="157"/>
      <c r="U70" s="50"/>
      <c r="V70" s="50"/>
      <c r="W70" s="50"/>
      <c r="X70" s="50"/>
      <c r="Y70" s="50"/>
      <c r="Z70" s="50"/>
      <c r="AA70" s="50"/>
    </row>
    <row r="71" spans="1:27" ht="15" customHeight="1" thickTop="1">
      <c r="B71" s="157"/>
      <c r="C71" s="332" t="str">
        <f>IF(MONTH(C69)&lt;&gt;MONTH((C69-WEEKDAY(C69,1)+1)),"",(C69-WEEKDAY(C69,1)+1))</f>
        <v/>
      </c>
      <c r="D71" s="332" t="str">
        <f>IF(MONTH(C69)&lt;&gt;MONTH((C69-WEEKDAY(C69,1)+2)),"",(C69-WEEKDAY(C69,1)+2))</f>
        <v/>
      </c>
      <c r="E71" s="332" t="str">
        <f>IF(MONTH(C69)&lt;&gt;MONTH((C69-WEEKDAY(C69,1)+3)),"",(C69-WEEKDAY(C69,1)+3))</f>
        <v/>
      </c>
      <c r="F71" s="332" t="str">
        <f>IF(MONTH(C69)&lt;&gt;MONTH((C69-WEEKDAY(C69,1)+4)),"",(C69-WEEKDAY(C69,1)+4))</f>
        <v/>
      </c>
      <c r="G71" s="332" t="str">
        <f>IF(MONTH(C69)&lt;&gt;MONTH((C69-WEEKDAY(C69,1)+5)),"",(C69-WEEKDAY(C69,1)+5))</f>
        <v/>
      </c>
      <c r="H71" s="332">
        <f>IF(MONTH(C69)&lt;&gt;MONTH((C69-WEEKDAY(C69,1)+6)),"",(C69-WEEKDAY(C69,1)+6))</f>
        <v>43070</v>
      </c>
      <c r="I71" s="332">
        <f>IF(MONTH(C69)&lt;&gt;MONTH((C69-WEEKDAY(C69,1)+7)),"",(C69-WEEKDAY(C69,1)+7))</f>
        <v>43071</v>
      </c>
      <c r="J71" s="157"/>
      <c r="K71" s="157"/>
      <c r="L71" s="157"/>
      <c r="U71" s="50"/>
      <c r="V71" s="50"/>
      <c r="W71" s="50"/>
      <c r="X71" s="50"/>
      <c r="Y71" s="50"/>
      <c r="Z71" s="50"/>
      <c r="AA71" s="50"/>
    </row>
    <row r="72" spans="1:27" ht="15" customHeight="1">
      <c r="B72" s="157"/>
      <c r="C72" s="179">
        <f t="shared" ref="C72:H72" si="67">SUMIFS(profitLoss,dateLog,"&gt;="&amp;C71,dateLog,"&lt;"&amp;D71)</f>
        <v>0</v>
      </c>
      <c r="D72" s="179">
        <f t="shared" si="67"/>
        <v>0</v>
      </c>
      <c r="E72" s="179">
        <f t="shared" si="67"/>
        <v>0</v>
      </c>
      <c r="F72" s="179">
        <f t="shared" si="67"/>
        <v>0</v>
      </c>
      <c r="G72" s="179">
        <f t="shared" si="67"/>
        <v>0</v>
      </c>
      <c r="H72" s="179">
        <f t="shared" si="67"/>
        <v>0</v>
      </c>
      <c r="I72" s="179">
        <f>SUMIFS(profitLoss,dateLog,"&gt;="&amp;I71,dateLog,"&lt;"&amp;C74)</f>
        <v>0</v>
      </c>
      <c r="J72" s="157"/>
      <c r="K72" s="157"/>
      <c r="L72" s="157"/>
      <c r="U72" s="50"/>
      <c r="V72" s="50"/>
      <c r="W72" s="50"/>
      <c r="X72" s="50"/>
      <c r="Y72" s="50"/>
      <c r="Z72" s="50"/>
      <c r="AA72" s="50"/>
    </row>
    <row r="73" spans="1:27" ht="15" customHeight="1" thickBot="1">
      <c r="B73" s="157"/>
      <c r="C73" s="486">
        <f t="shared" ref="C73:H73" si="68">COUNTIFS(dateLog,"&gt;="&amp;C71,dateLog,"&lt;"&amp;D71)</f>
        <v>0</v>
      </c>
      <c r="D73" s="486">
        <f t="shared" si="68"/>
        <v>0</v>
      </c>
      <c r="E73" s="486">
        <f t="shared" si="68"/>
        <v>0</v>
      </c>
      <c r="F73" s="486">
        <f t="shared" si="68"/>
        <v>0</v>
      </c>
      <c r="G73" s="486">
        <f t="shared" si="68"/>
        <v>0</v>
      </c>
      <c r="H73" s="486">
        <f t="shared" si="68"/>
        <v>0</v>
      </c>
      <c r="I73" s="486">
        <f>COUNTIFS(dateLog,"&gt;="&amp;I71,dateLog,"&lt;"&amp;(I71+1))</f>
        <v>0</v>
      </c>
      <c r="J73" s="157"/>
      <c r="K73" s="157"/>
      <c r="L73" s="157"/>
      <c r="U73" s="50"/>
      <c r="V73" s="50"/>
      <c r="W73" s="50"/>
      <c r="X73" s="50"/>
      <c r="Y73" s="50"/>
      <c r="Z73" s="50"/>
      <c r="AA73" s="50"/>
    </row>
    <row r="74" spans="1:27" ht="15" customHeight="1" thickTop="1">
      <c r="B74" s="157"/>
      <c r="C74" s="332">
        <f>I71+1</f>
        <v>43072</v>
      </c>
      <c r="D74" s="332">
        <f>C74+1</f>
        <v>43073</v>
      </c>
      <c r="E74" s="332">
        <f t="shared" ref="E74" si="69">D74+1</f>
        <v>43074</v>
      </c>
      <c r="F74" s="332">
        <f t="shared" ref="F74" si="70">E74+1</f>
        <v>43075</v>
      </c>
      <c r="G74" s="332">
        <f t="shared" ref="G74" si="71">F74+1</f>
        <v>43076</v>
      </c>
      <c r="H74" s="332">
        <f t="shared" ref="H74" si="72">G74+1</f>
        <v>43077</v>
      </c>
      <c r="I74" s="332">
        <f t="shared" ref="I74" si="73">H74+1</f>
        <v>43078</v>
      </c>
      <c r="J74" s="157"/>
      <c r="K74" s="157"/>
      <c r="L74" s="157"/>
      <c r="U74" s="50"/>
      <c r="V74" s="50"/>
      <c r="W74" s="50"/>
      <c r="X74" s="50"/>
      <c r="Y74" s="50"/>
      <c r="Z74" s="50"/>
      <c r="AA74" s="50"/>
    </row>
    <row r="75" spans="1:27" ht="15" customHeight="1">
      <c r="B75" s="157"/>
      <c r="C75" s="942">
        <f t="shared" ref="C75:H75" si="74">SUMIFS(profitLoss,dateLog,"&gt;="&amp;C74,dateLog,"&lt;"&amp;D74)</f>
        <v>0</v>
      </c>
      <c r="D75" s="942">
        <f t="shared" si="74"/>
        <v>0</v>
      </c>
      <c r="E75" s="942">
        <f t="shared" si="74"/>
        <v>0</v>
      </c>
      <c r="F75" s="942">
        <f t="shared" si="74"/>
        <v>0</v>
      </c>
      <c r="G75" s="942">
        <f t="shared" si="74"/>
        <v>0</v>
      </c>
      <c r="H75" s="942">
        <f t="shared" si="74"/>
        <v>0</v>
      </c>
      <c r="I75" s="942">
        <f>SUMIFS(profitLoss,dateLog,"&gt;="&amp;I74,dateLog,"&lt;"&amp;C77)</f>
        <v>0</v>
      </c>
      <c r="J75" s="157"/>
      <c r="K75" s="157"/>
      <c r="L75" s="157"/>
      <c r="U75" s="50"/>
      <c r="V75" s="50"/>
      <c r="W75" s="50"/>
      <c r="X75" s="50"/>
      <c r="Y75" s="50"/>
      <c r="Z75" s="50"/>
      <c r="AA75" s="50"/>
    </row>
    <row r="76" spans="1:27" ht="15" customHeight="1" thickBot="1">
      <c r="B76" s="157"/>
      <c r="C76" s="486">
        <f t="shared" ref="C76:I76" si="75">COUNTIFS(dateLog,"&gt;="&amp;C74,dateLog,"&lt;"&amp;D74,actionLog,"sell")+COUNTIFS(dateLog,"&gt;="&amp;C74,dateLog,"&lt;"&amp;D74,actionLog,"cover")</f>
        <v>0</v>
      </c>
      <c r="D76" s="486">
        <f t="shared" si="75"/>
        <v>0</v>
      </c>
      <c r="E76" s="486">
        <f t="shared" si="75"/>
        <v>0</v>
      </c>
      <c r="F76" s="486">
        <f t="shared" si="75"/>
        <v>0</v>
      </c>
      <c r="G76" s="486">
        <f t="shared" si="75"/>
        <v>0</v>
      </c>
      <c r="H76" s="486">
        <f t="shared" si="75"/>
        <v>0</v>
      </c>
      <c r="I76" s="486">
        <f t="shared" si="75"/>
        <v>0</v>
      </c>
      <c r="J76" s="157"/>
      <c r="K76" s="157"/>
      <c r="L76" s="157"/>
      <c r="U76" s="50"/>
      <c r="V76" s="50"/>
      <c r="W76" s="50"/>
      <c r="X76" s="50"/>
      <c r="Y76" s="50"/>
      <c r="Z76" s="50"/>
      <c r="AA76" s="50"/>
    </row>
    <row r="77" spans="1:27" ht="15" customHeight="1" thickTop="1">
      <c r="B77" s="157"/>
      <c r="C77" s="332">
        <f>I74+1</f>
        <v>43079</v>
      </c>
      <c r="D77" s="332">
        <f>C77+1</f>
        <v>43080</v>
      </c>
      <c r="E77" s="332">
        <f t="shared" ref="E77" si="76">D77+1</f>
        <v>43081</v>
      </c>
      <c r="F77" s="332">
        <f t="shared" ref="F77" si="77">E77+1</f>
        <v>43082</v>
      </c>
      <c r="G77" s="332">
        <f t="shared" ref="G77" si="78">F77+1</f>
        <v>43083</v>
      </c>
      <c r="H77" s="332">
        <f t="shared" ref="H77" si="79">G77+1</f>
        <v>43084</v>
      </c>
      <c r="I77" s="332">
        <f t="shared" ref="I77" si="80">H77+1</f>
        <v>43085</v>
      </c>
      <c r="J77" s="157"/>
      <c r="K77" s="157"/>
      <c r="L77" s="157"/>
      <c r="U77" s="50"/>
      <c r="V77" s="50"/>
      <c r="W77" s="50"/>
      <c r="X77" s="50"/>
      <c r="Y77" s="50"/>
      <c r="Z77" s="50"/>
      <c r="AA77" s="50"/>
    </row>
    <row r="78" spans="1:27" ht="15" customHeight="1">
      <c r="B78" s="157"/>
      <c r="C78" s="942">
        <f t="shared" ref="C78:H78" si="81">SUMIFS(profitLoss,dateLog,"&gt;="&amp;C77,dateLog,"&lt;"&amp;D77)</f>
        <v>0</v>
      </c>
      <c r="D78" s="942">
        <f t="shared" si="81"/>
        <v>0</v>
      </c>
      <c r="E78" s="942">
        <f t="shared" si="81"/>
        <v>0</v>
      </c>
      <c r="F78" s="942">
        <f t="shared" si="81"/>
        <v>0</v>
      </c>
      <c r="G78" s="942">
        <f t="shared" si="81"/>
        <v>0</v>
      </c>
      <c r="H78" s="942">
        <f t="shared" si="81"/>
        <v>0</v>
      </c>
      <c r="I78" s="942">
        <f>SUMIFS(profitLoss,dateLog,"&gt;="&amp;I77,dateLog,"&lt;"&amp;C80)</f>
        <v>0</v>
      </c>
      <c r="J78" s="157"/>
      <c r="K78" s="157"/>
      <c r="L78" s="157"/>
      <c r="U78" s="50"/>
      <c r="V78" s="50"/>
      <c r="W78" s="50"/>
      <c r="X78" s="50"/>
      <c r="Y78" s="50"/>
      <c r="Z78" s="50"/>
      <c r="AA78" s="50"/>
    </row>
    <row r="79" spans="1:27" s="181" customFormat="1" ht="15" customHeight="1" thickBot="1">
      <c r="A79"/>
      <c r="B79" s="180"/>
      <c r="C79" s="486">
        <f t="shared" ref="C79:I79" si="82">COUNTIFS(dateLog,"&gt;="&amp;C77,dateLog,"&lt;"&amp;D77,actionLog,"sell")+COUNTIFS(dateLog,"&gt;="&amp;C77,dateLog,"&lt;"&amp;D77,actionLog,"cover")</f>
        <v>0</v>
      </c>
      <c r="D79" s="486">
        <f t="shared" si="82"/>
        <v>0</v>
      </c>
      <c r="E79" s="486">
        <f t="shared" si="82"/>
        <v>0</v>
      </c>
      <c r="F79" s="486">
        <f t="shared" si="82"/>
        <v>0</v>
      </c>
      <c r="G79" s="486">
        <f t="shared" si="82"/>
        <v>0</v>
      </c>
      <c r="H79" s="486">
        <f t="shared" si="82"/>
        <v>0</v>
      </c>
      <c r="I79" s="486">
        <f t="shared" si="82"/>
        <v>0</v>
      </c>
      <c r="J79" s="180"/>
      <c r="K79" s="180"/>
      <c r="L79" s="180"/>
    </row>
    <row r="80" spans="1:27" ht="15" customHeight="1" thickTop="1">
      <c r="B80" s="157"/>
      <c r="C80" s="332">
        <f>I77+1</f>
        <v>43086</v>
      </c>
      <c r="D80" s="332">
        <f>C80+1</f>
        <v>43087</v>
      </c>
      <c r="E80" s="332">
        <f t="shared" ref="E80" si="83">D80+1</f>
        <v>43088</v>
      </c>
      <c r="F80" s="332">
        <f t="shared" ref="F80" si="84">E80+1</f>
        <v>43089</v>
      </c>
      <c r="G80" s="332">
        <f t="shared" ref="G80" si="85">F80+1</f>
        <v>43090</v>
      </c>
      <c r="H80" s="332">
        <f t="shared" ref="H80" si="86">G80+1</f>
        <v>43091</v>
      </c>
      <c r="I80" s="332">
        <f t="shared" ref="I80" si="87">H80+1</f>
        <v>43092</v>
      </c>
      <c r="J80" s="157"/>
      <c r="K80" s="157"/>
      <c r="L80" s="157"/>
    </row>
    <row r="81" spans="2:27" ht="15" customHeight="1">
      <c r="B81" s="157"/>
      <c r="C81" s="942">
        <f t="shared" ref="C81:H81" si="88">SUMIFS(profitLoss,dateLog,"&gt;="&amp;C80,dateLog,"&lt;"&amp;D80)</f>
        <v>0</v>
      </c>
      <c r="D81" s="942">
        <f t="shared" si="88"/>
        <v>0</v>
      </c>
      <c r="E81" s="942">
        <f t="shared" si="88"/>
        <v>0</v>
      </c>
      <c r="F81" s="942">
        <f t="shared" si="88"/>
        <v>0</v>
      </c>
      <c r="G81" s="942">
        <f t="shared" si="88"/>
        <v>0</v>
      </c>
      <c r="H81" s="942">
        <f t="shared" si="88"/>
        <v>0</v>
      </c>
      <c r="I81" s="942">
        <f>SUMIFS(profitLoss,dateLog,"&gt;="&amp;I80,dateLog,"&lt;"&amp;C83)</f>
        <v>0</v>
      </c>
      <c r="J81" s="157"/>
      <c r="K81" s="157"/>
      <c r="L81" s="157"/>
    </row>
    <row r="82" spans="2:27" ht="15" customHeight="1" thickBot="1">
      <c r="B82" s="157"/>
      <c r="C82" s="486">
        <f t="shared" ref="C82:I82" si="89">COUNTIFS(dateLog,"&gt;="&amp;C80,dateLog,"&lt;"&amp;D80,actionLog,"sell")+COUNTIFS(dateLog,"&gt;="&amp;C80,dateLog,"&lt;"&amp;D80,actionLog,"cover")</f>
        <v>0</v>
      </c>
      <c r="D82" s="486">
        <f t="shared" si="89"/>
        <v>0</v>
      </c>
      <c r="E82" s="486">
        <f t="shared" si="89"/>
        <v>0</v>
      </c>
      <c r="F82" s="486">
        <f t="shared" si="89"/>
        <v>0</v>
      </c>
      <c r="G82" s="486">
        <f t="shared" si="89"/>
        <v>0</v>
      </c>
      <c r="H82" s="486">
        <f t="shared" si="89"/>
        <v>0</v>
      </c>
      <c r="I82" s="486">
        <f t="shared" si="89"/>
        <v>0</v>
      </c>
      <c r="J82" s="157"/>
      <c r="K82" s="157"/>
      <c r="L82" s="157"/>
      <c r="U82" s="50"/>
      <c r="V82" s="50"/>
      <c r="W82" s="50"/>
      <c r="X82" s="50"/>
      <c r="Y82" s="50"/>
      <c r="Z82" s="50"/>
      <c r="AA82" s="50"/>
    </row>
    <row r="83" spans="2:27" ht="15" customHeight="1" thickTop="1">
      <c r="B83" s="157"/>
      <c r="C83" s="332">
        <f>IFERROR(IF(MONTH(C69)&lt;&gt;MONTH(I80+1),"",(I80+1)),"")</f>
        <v>43093</v>
      </c>
      <c r="D83" s="332">
        <f>IFERROR(IF(MONTH(C69)&lt;&gt;MONTH(C83+1),"",(C83+1)),"")</f>
        <v>43094</v>
      </c>
      <c r="E83" s="332">
        <f>IFERROR(IF(MONTH(C69)&lt;&gt;MONTH(D83+1),"",(D83+1)),"")</f>
        <v>43095</v>
      </c>
      <c r="F83" s="332">
        <f>IFERROR(IF(MONTH(C69)&lt;&gt;MONTH(E83+1),"",(E83+1)),"")</f>
        <v>43096</v>
      </c>
      <c r="G83" s="332">
        <f>IFERROR(IF(MONTH(C69)&lt;&gt;MONTH(F83+1),"",(F83+1)),"")</f>
        <v>43097</v>
      </c>
      <c r="H83" s="332">
        <f>IFERROR(IF(MONTH(C69)&lt;&gt;MONTH(G83+1),"",(G83+1)),"")</f>
        <v>43098</v>
      </c>
      <c r="I83" s="332">
        <f>IFERROR(IF(MONTH(C69)&lt;&gt;MONTH(H83+1),"",(H83+1)),"")</f>
        <v>43099</v>
      </c>
      <c r="J83" s="157"/>
      <c r="K83" s="157"/>
      <c r="L83" s="157"/>
      <c r="U83" s="50"/>
      <c r="V83" s="50"/>
      <c r="W83" s="50"/>
      <c r="X83" s="50"/>
      <c r="Y83" s="50"/>
      <c r="Z83" s="50"/>
      <c r="AA83" s="50"/>
    </row>
    <row r="84" spans="2:27" ht="15" customHeight="1">
      <c r="B84" s="157"/>
      <c r="C84" s="942">
        <f t="shared" ref="C84:H84" si="90">SUMIFS(profitLoss,dateLog,"&gt;="&amp;C83,dateLog,"&lt;"&amp;D83)</f>
        <v>0</v>
      </c>
      <c r="D84" s="942">
        <f t="shared" si="90"/>
        <v>0</v>
      </c>
      <c r="E84" s="942">
        <f t="shared" si="90"/>
        <v>0</v>
      </c>
      <c r="F84" s="942">
        <f t="shared" si="90"/>
        <v>0</v>
      </c>
      <c r="G84" s="942">
        <f t="shared" si="90"/>
        <v>0</v>
      </c>
      <c r="H84" s="942">
        <f t="shared" si="90"/>
        <v>0</v>
      </c>
      <c r="I84" s="942">
        <f>SUMIFS(profitLoss,dateLog,"&gt;="&amp;I83,dateLog,"&lt;"&amp;C86)</f>
        <v>0</v>
      </c>
      <c r="J84" s="157"/>
      <c r="K84" s="157"/>
      <c r="L84" s="157"/>
      <c r="U84" s="50"/>
      <c r="V84" s="50"/>
      <c r="W84" s="50"/>
      <c r="X84" s="50"/>
      <c r="Y84" s="50"/>
      <c r="Z84" s="50"/>
      <c r="AA84" s="50"/>
    </row>
    <row r="85" spans="2:27" ht="15" customHeight="1" thickBot="1">
      <c r="B85" s="157"/>
      <c r="C85" s="486">
        <f t="shared" ref="C85:I85" si="91">COUNTIFS(dateLog,"&gt;="&amp;C83,dateLog,"&lt;"&amp;D83,actionLog,"sell")+COUNTIFS(dateLog,"&gt;="&amp;C83,dateLog,"&lt;"&amp;D83,actionLog,"cover")</f>
        <v>0</v>
      </c>
      <c r="D85" s="486">
        <f t="shared" si="91"/>
        <v>0</v>
      </c>
      <c r="E85" s="486">
        <f t="shared" si="91"/>
        <v>0</v>
      </c>
      <c r="F85" s="486">
        <f t="shared" si="91"/>
        <v>0</v>
      </c>
      <c r="G85" s="486">
        <f t="shared" si="91"/>
        <v>0</v>
      </c>
      <c r="H85" s="486">
        <f t="shared" si="91"/>
        <v>0</v>
      </c>
      <c r="I85" s="486">
        <f t="shared" si="91"/>
        <v>0</v>
      </c>
      <c r="J85" s="157"/>
      <c r="K85" s="157"/>
      <c r="L85" s="157"/>
      <c r="U85" s="50"/>
      <c r="V85" s="50"/>
      <c r="W85" s="50"/>
      <c r="X85" s="50"/>
      <c r="Y85" s="50"/>
      <c r="Z85" s="50"/>
      <c r="AA85" s="50"/>
    </row>
    <row r="86" spans="2:27" ht="15" customHeight="1" thickTop="1">
      <c r="B86" s="157"/>
      <c r="C86" s="332">
        <f>IFERROR(IF(MONTH(C69)&lt;&gt;MONTH(I83+1),"",(I83+1)),"")</f>
        <v>43100</v>
      </c>
      <c r="D86" s="332" t="str">
        <f>IFERROR(IF(MONTH(C69)&lt;&gt;MONTH(C86+1),"",(C86+1)),"")</f>
        <v/>
      </c>
      <c r="E86" s="332" t="str">
        <f>IFERROR(IF(MONTH(C69)&lt;&gt;MONTH(D86+1),"",(D86+1)),"")</f>
        <v/>
      </c>
      <c r="F86" s="332" t="str">
        <f>IFERROR(IF(MONTH(C69)&lt;&gt;MONTH(E86+1),"",(E86+1)),"")</f>
        <v/>
      </c>
      <c r="G86" s="332" t="str">
        <f>IFERROR(IF(MONTH(C69)&lt;&gt;MONTH(F86+1),"",(F86+1)),"")</f>
        <v/>
      </c>
      <c r="H86" s="332" t="str">
        <f>IFERROR(IF(MONTH(C69)&lt;&gt;MONTH(G86+1),"",(G86+1)),"")</f>
        <v/>
      </c>
      <c r="I86" s="332" t="str">
        <f>IFERROR(IF(MONTH(C69)&lt;&gt;MONTH(H86+1),"",(H86+1)),"")</f>
        <v/>
      </c>
      <c r="J86" s="157"/>
      <c r="K86" s="157"/>
      <c r="L86" s="157"/>
      <c r="U86" s="50"/>
      <c r="V86" s="50"/>
      <c r="W86" s="50"/>
      <c r="X86" s="50"/>
      <c r="Y86" s="50"/>
      <c r="Z86" s="50"/>
      <c r="AA86" s="50"/>
    </row>
    <row r="87" spans="2:27" ht="15" customHeight="1">
      <c r="B87" s="157"/>
      <c r="C87" s="942">
        <f t="shared" ref="C87:H87" si="92">SUMIFS(profitLoss,dateLog,"&gt;="&amp;C86,dateLog,"&lt;"&amp;D86)</f>
        <v>0</v>
      </c>
      <c r="D87" s="942">
        <f t="shared" si="92"/>
        <v>0</v>
      </c>
      <c r="E87" s="942">
        <f t="shared" si="92"/>
        <v>0</v>
      </c>
      <c r="F87" s="942">
        <f t="shared" si="92"/>
        <v>0</v>
      </c>
      <c r="G87" s="942">
        <f t="shared" si="92"/>
        <v>0</v>
      </c>
      <c r="H87" s="942">
        <f t="shared" si="92"/>
        <v>0</v>
      </c>
      <c r="I87" s="942">
        <f>SUMIFS(profitLoss,dateLog,"&gt;="&amp;I86,dateLog,"&lt;"&amp;C89)</f>
        <v>0</v>
      </c>
      <c r="J87" s="157"/>
      <c r="K87" s="157"/>
      <c r="L87" s="157"/>
      <c r="U87" s="50"/>
      <c r="V87" s="50"/>
      <c r="W87" s="50"/>
      <c r="X87" s="50"/>
      <c r="Y87" s="50"/>
      <c r="Z87" s="50"/>
      <c r="AA87" s="50"/>
    </row>
    <row r="88" spans="2:27" ht="15" customHeight="1">
      <c r="B88" s="157"/>
      <c r="C88" s="487">
        <f t="shared" ref="C88:I88" si="93">COUNTIFS(dateLog,"&gt;="&amp;C86,dateLog,"&lt;"&amp;D86,actionLog,"sell")+COUNTIFS(dateLog,"&gt;="&amp;C86,dateLog,"&lt;"&amp;D86,actionLog,"cover")</f>
        <v>0</v>
      </c>
      <c r="D88" s="487">
        <f t="shared" si="93"/>
        <v>0</v>
      </c>
      <c r="E88" s="487">
        <f t="shared" si="93"/>
        <v>0</v>
      </c>
      <c r="F88" s="487">
        <f t="shared" si="93"/>
        <v>0</v>
      </c>
      <c r="G88" s="487">
        <f t="shared" si="93"/>
        <v>0</v>
      </c>
      <c r="H88" s="487">
        <f t="shared" si="93"/>
        <v>0</v>
      </c>
      <c r="I88" s="487">
        <f t="shared" si="93"/>
        <v>0</v>
      </c>
      <c r="J88" s="157"/>
      <c r="K88" s="157"/>
      <c r="L88" s="157"/>
      <c r="U88" s="50"/>
      <c r="V88" s="50"/>
      <c r="W88" s="50"/>
      <c r="X88" s="50"/>
      <c r="Y88" s="50"/>
      <c r="Z88" s="50"/>
      <c r="AA88" s="50"/>
    </row>
    <row r="89" spans="2:27" ht="18" customHeight="1" thickBot="1">
      <c r="B89" s="157"/>
      <c r="C89" s="183"/>
      <c r="D89" s="183"/>
      <c r="E89" s="183"/>
      <c r="F89" s="183"/>
      <c r="G89" s="183"/>
      <c r="H89" s="183"/>
      <c r="I89" s="183"/>
      <c r="J89" s="157"/>
      <c r="K89" s="157"/>
      <c r="L89" s="157"/>
    </row>
    <row r="90" spans="2:27" ht="21.95" customHeight="1">
      <c r="B90" s="157"/>
      <c r="C90" s="184">
        <f>EOMONTH(C69,0)+1</f>
        <v>43101</v>
      </c>
      <c r="D90" s="185"/>
      <c r="E90" s="186"/>
      <c r="F90" s="187"/>
      <c r="G90" s="188"/>
      <c r="H90" s="188"/>
      <c r="I90" s="188"/>
      <c r="J90" s="157"/>
      <c r="K90" s="157"/>
      <c r="L90" s="157"/>
    </row>
    <row r="91" spans="2:27" ht="24.95" customHeight="1" thickBot="1">
      <c r="B91" s="157"/>
      <c r="C91" s="334" t="s">
        <v>615</v>
      </c>
      <c r="D91" s="334" t="s">
        <v>616</v>
      </c>
      <c r="E91" s="334" t="s">
        <v>617</v>
      </c>
      <c r="F91" s="334" t="s">
        <v>618</v>
      </c>
      <c r="G91" s="334" t="s">
        <v>619</v>
      </c>
      <c r="H91" s="334" t="s">
        <v>620</v>
      </c>
      <c r="I91" s="334" t="s">
        <v>621</v>
      </c>
      <c r="J91" s="157"/>
      <c r="K91" s="157"/>
      <c r="L91" s="157"/>
    </row>
    <row r="92" spans="2:27" ht="15" customHeight="1" thickTop="1">
      <c r="B92" s="157"/>
      <c r="C92" s="332" t="str">
        <f>IF(MONTH(C90)&lt;&gt;MONTH((C90-WEEKDAY(C90,1)+1)),"",(C90-WEEKDAY(C90,1)+1))</f>
        <v/>
      </c>
      <c r="D92" s="332">
        <f>IF(MONTH(C90)&lt;&gt;MONTH((C90-WEEKDAY(C90,1)+2)),"",(C90-WEEKDAY(C90,1)+2))</f>
        <v>43101</v>
      </c>
      <c r="E92" s="332">
        <f>IF(MONTH(C90)&lt;&gt;MONTH((C90-WEEKDAY(C90,1)+3)),"",(C90-WEEKDAY(C90,1)+3))</f>
        <v>43102</v>
      </c>
      <c r="F92" s="332">
        <f>IF(MONTH(C90)&lt;&gt;MONTH((C90-WEEKDAY(C90,1)+4)),"",(C90-WEEKDAY(C90,1)+4))</f>
        <v>43103</v>
      </c>
      <c r="G92" s="332">
        <f>IF(MONTH(C90)&lt;&gt;MONTH((C90-WEEKDAY(C90,1)+5)),"",(C90-WEEKDAY(C90,1)+5))</f>
        <v>43104</v>
      </c>
      <c r="H92" s="332">
        <f>IF(MONTH(C90)&lt;&gt;MONTH((C90-WEEKDAY(C90,1)+6)),"",(C90-WEEKDAY(C90,1)+6))</f>
        <v>43105</v>
      </c>
      <c r="I92" s="332">
        <f>IF(MONTH(C90)&lt;&gt;MONTH((C90-WEEKDAY(C90,1)+7)),"",(C90-WEEKDAY(C90,1)+7))</f>
        <v>43106</v>
      </c>
      <c r="J92" s="157"/>
      <c r="K92" s="157"/>
      <c r="L92" s="157"/>
    </row>
    <row r="93" spans="2:27" ht="15" customHeight="1">
      <c r="B93" s="157"/>
      <c r="C93" s="179">
        <f t="shared" ref="C93:H93" si="94">SUMIFS(profitLoss,dateLog,"&gt;="&amp;C92,dateLog,"&lt;"&amp;D92)</f>
        <v>0</v>
      </c>
      <c r="D93" s="179">
        <f t="shared" si="94"/>
        <v>0</v>
      </c>
      <c r="E93" s="179">
        <f t="shared" si="94"/>
        <v>0</v>
      </c>
      <c r="F93" s="179">
        <f t="shared" si="94"/>
        <v>0</v>
      </c>
      <c r="G93" s="179">
        <f t="shared" si="94"/>
        <v>0</v>
      </c>
      <c r="H93" s="179">
        <f t="shared" si="94"/>
        <v>0</v>
      </c>
      <c r="I93" s="179">
        <f>SUMIFS(profitLoss,dateLog,"&gt;="&amp;I92,dateLog,"&lt;"&amp;C95)</f>
        <v>0</v>
      </c>
      <c r="J93" s="157"/>
      <c r="K93" s="157"/>
      <c r="L93" s="157"/>
    </row>
    <row r="94" spans="2:27" ht="15" customHeight="1" thickBot="1">
      <c r="B94" s="157"/>
      <c r="C94" s="486">
        <f t="shared" ref="C94:H94" si="95">COUNTIFS(dateLog,"&gt;="&amp;C92,dateLog,"&lt;"&amp;D92)</f>
        <v>0</v>
      </c>
      <c r="D94" s="486">
        <f t="shared" si="95"/>
        <v>0</v>
      </c>
      <c r="E94" s="486">
        <f t="shared" si="95"/>
        <v>0</v>
      </c>
      <c r="F94" s="486">
        <f t="shared" si="95"/>
        <v>0</v>
      </c>
      <c r="G94" s="486">
        <f t="shared" si="95"/>
        <v>0</v>
      </c>
      <c r="H94" s="486">
        <f t="shared" si="95"/>
        <v>0</v>
      </c>
      <c r="I94" s="486">
        <f>COUNTIFS(dateLog,"&gt;="&amp;I92,dateLog,"&lt;"&amp;(I92+1))</f>
        <v>0</v>
      </c>
      <c r="J94" s="157"/>
      <c r="K94" s="157"/>
      <c r="L94" s="157"/>
    </row>
    <row r="95" spans="2:27" ht="15" customHeight="1" thickTop="1">
      <c r="B95" s="157"/>
      <c r="C95" s="332">
        <f>I92+1</f>
        <v>43107</v>
      </c>
      <c r="D95" s="332">
        <f>C95+1</f>
        <v>43108</v>
      </c>
      <c r="E95" s="332">
        <f t="shared" ref="E95" si="96">D95+1</f>
        <v>43109</v>
      </c>
      <c r="F95" s="332">
        <f t="shared" ref="F95" si="97">E95+1</f>
        <v>43110</v>
      </c>
      <c r="G95" s="332">
        <f t="shared" ref="G95" si="98">F95+1</f>
        <v>43111</v>
      </c>
      <c r="H95" s="332">
        <f t="shared" ref="H95" si="99">G95+1</f>
        <v>43112</v>
      </c>
      <c r="I95" s="332">
        <f t="shared" ref="I95" si="100">H95+1</f>
        <v>43113</v>
      </c>
      <c r="J95" s="157"/>
      <c r="K95" s="157"/>
      <c r="L95" s="157"/>
    </row>
    <row r="96" spans="2:27" ht="15" customHeight="1">
      <c r="B96" s="157"/>
      <c r="C96" s="942">
        <f t="shared" ref="C96:H96" si="101">SUMIFS(profitLoss,dateLog,"&gt;="&amp;C95,dateLog,"&lt;"&amp;D95)</f>
        <v>0</v>
      </c>
      <c r="D96" s="942">
        <f t="shared" si="101"/>
        <v>0</v>
      </c>
      <c r="E96" s="942">
        <f t="shared" si="101"/>
        <v>0</v>
      </c>
      <c r="F96" s="942">
        <f t="shared" si="101"/>
        <v>0</v>
      </c>
      <c r="G96" s="942">
        <f t="shared" si="101"/>
        <v>0</v>
      </c>
      <c r="H96" s="942">
        <f t="shared" si="101"/>
        <v>0</v>
      </c>
      <c r="I96" s="942">
        <f>SUMIFS(profitLoss,dateLog,"&gt;="&amp;I95,dateLog,"&lt;"&amp;C98)</f>
        <v>0</v>
      </c>
      <c r="J96" s="157"/>
      <c r="K96" s="157"/>
      <c r="L96" s="157"/>
    </row>
    <row r="97" spans="2:12" ht="15" customHeight="1" thickBot="1">
      <c r="B97" s="157"/>
      <c r="C97" s="486">
        <f t="shared" ref="C97:I97" si="102">COUNTIFS(dateLog,"&gt;="&amp;C95,dateLog,"&lt;"&amp;D95,actionLog,"sell")+COUNTIFS(dateLog,"&gt;="&amp;C95,dateLog,"&lt;"&amp;D95,actionLog,"cover")</f>
        <v>0</v>
      </c>
      <c r="D97" s="486">
        <f t="shared" si="102"/>
        <v>0</v>
      </c>
      <c r="E97" s="486">
        <f t="shared" si="102"/>
        <v>0</v>
      </c>
      <c r="F97" s="486">
        <f t="shared" si="102"/>
        <v>0</v>
      </c>
      <c r="G97" s="486">
        <f t="shared" si="102"/>
        <v>0</v>
      </c>
      <c r="H97" s="486">
        <f t="shared" si="102"/>
        <v>0</v>
      </c>
      <c r="I97" s="486">
        <f t="shared" si="102"/>
        <v>0</v>
      </c>
      <c r="J97" s="157"/>
      <c r="K97" s="157"/>
      <c r="L97" s="157"/>
    </row>
    <row r="98" spans="2:12" ht="15" customHeight="1" thickTop="1">
      <c r="B98" s="157"/>
      <c r="C98" s="332">
        <f>I95+1</f>
        <v>43114</v>
      </c>
      <c r="D98" s="332">
        <f>C98+1</f>
        <v>43115</v>
      </c>
      <c r="E98" s="332">
        <f t="shared" ref="E98" si="103">D98+1</f>
        <v>43116</v>
      </c>
      <c r="F98" s="332">
        <f t="shared" ref="F98" si="104">E98+1</f>
        <v>43117</v>
      </c>
      <c r="G98" s="332">
        <f t="shared" ref="G98" si="105">F98+1</f>
        <v>43118</v>
      </c>
      <c r="H98" s="332">
        <f t="shared" ref="H98" si="106">G98+1</f>
        <v>43119</v>
      </c>
      <c r="I98" s="332">
        <f t="shared" ref="I98" si="107">H98+1</f>
        <v>43120</v>
      </c>
      <c r="J98" s="157"/>
      <c r="K98" s="157"/>
      <c r="L98" s="157"/>
    </row>
    <row r="99" spans="2:12" ht="15" customHeight="1">
      <c r="B99" s="157"/>
      <c r="C99" s="942">
        <f t="shared" ref="C99:H99" si="108">SUMIFS(profitLoss,dateLog,"&gt;="&amp;C98,dateLog,"&lt;"&amp;D98)</f>
        <v>0</v>
      </c>
      <c r="D99" s="942">
        <f t="shared" si="108"/>
        <v>0</v>
      </c>
      <c r="E99" s="942">
        <f t="shared" si="108"/>
        <v>0</v>
      </c>
      <c r="F99" s="942">
        <f t="shared" si="108"/>
        <v>0</v>
      </c>
      <c r="G99" s="942">
        <f t="shared" si="108"/>
        <v>0</v>
      </c>
      <c r="H99" s="942">
        <f t="shared" si="108"/>
        <v>0</v>
      </c>
      <c r="I99" s="942">
        <f>SUMIFS(profitLoss,dateLog,"&gt;="&amp;I98,dateLog,"&lt;"&amp;C101)</f>
        <v>0</v>
      </c>
      <c r="J99" s="157"/>
      <c r="K99" s="157"/>
      <c r="L99" s="157"/>
    </row>
    <row r="100" spans="2:12" ht="15" customHeight="1" thickBot="1">
      <c r="B100" s="157"/>
      <c r="C100" s="486">
        <f t="shared" ref="C100:I100" si="109">COUNTIFS(dateLog,"&gt;="&amp;C98,dateLog,"&lt;"&amp;D98,actionLog,"sell")+COUNTIFS(dateLog,"&gt;="&amp;C98,dateLog,"&lt;"&amp;D98,actionLog,"cover")</f>
        <v>0</v>
      </c>
      <c r="D100" s="486">
        <f t="shared" si="109"/>
        <v>0</v>
      </c>
      <c r="E100" s="486">
        <f t="shared" si="109"/>
        <v>0</v>
      </c>
      <c r="F100" s="486">
        <f t="shared" si="109"/>
        <v>0</v>
      </c>
      <c r="G100" s="486">
        <f t="shared" si="109"/>
        <v>0</v>
      </c>
      <c r="H100" s="486">
        <f t="shared" si="109"/>
        <v>0</v>
      </c>
      <c r="I100" s="486">
        <f t="shared" si="109"/>
        <v>0</v>
      </c>
      <c r="J100" s="157"/>
      <c r="K100" s="157"/>
      <c r="L100" s="157"/>
    </row>
    <row r="101" spans="2:12" ht="15" customHeight="1" thickTop="1">
      <c r="B101" s="157"/>
      <c r="C101" s="332">
        <f>I98+1</f>
        <v>43121</v>
      </c>
      <c r="D101" s="332">
        <f>C101+1</f>
        <v>43122</v>
      </c>
      <c r="E101" s="332">
        <f t="shared" ref="E101" si="110">D101+1</f>
        <v>43123</v>
      </c>
      <c r="F101" s="332">
        <f t="shared" ref="F101" si="111">E101+1</f>
        <v>43124</v>
      </c>
      <c r="G101" s="332">
        <f t="shared" ref="G101" si="112">F101+1</f>
        <v>43125</v>
      </c>
      <c r="H101" s="332">
        <f t="shared" ref="H101" si="113">G101+1</f>
        <v>43126</v>
      </c>
      <c r="I101" s="332">
        <f t="shared" ref="I101" si="114">H101+1</f>
        <v>43127</v>
      </c>
      <c r="J101" s="157"/>
      <c r="K101" s="157"/>
      <c r="L101" s="157"/>
    </row>
    <row r="102" spans="2:12" ht="15" customHeight="1">
      <c r="B102" s="157"/>
      <c r="C102" s="942">
        <f t="shared" ref="C102:H102" si="115">SUMIFS(profitLoss,dateLog,"&gt;="&amp;C101,dateLog,"&lt;"&amp;D101)</f>
        <v>0</v>
      </c>
      <c r="D102" s="942">
        <f t="shared" si="115"/>
        <v>0</v>
      </c>
      <c r="E102" s="942">
        <f t="shared" si="115"/>
        <v>0</v>
      </c>
      <c r="F102" s="942">
        <f t="shared" si="115"/>
        <v>0</v>
      </c>
      <c r="G102" s="942">
        <f t="shared" si="115"/>
        <v>0</v>
      </c>
      <c r="H102" s="942">
        <f t="shared" si="115"/>
        <v>0</v>
      </c>
      <c r="I102" s="942">
        <f>SUMIFS(profitLoss,dateLog,"&gt;="&amp;I101,dateLog,"&lt;"&amp;C104)</f>
        <v>0</v>
      </c>
      <c r="J102" s="157"/>
      <c r="K102" s="157"/>
      <c r="L102" s="157"/>
    </row>
    <row r="103" spans="2:12" ht="15" customHeight="1" thickBot="1">
      <c r="B103" s="157"/>
      <c r="C103" s="486">
        <f t="shared" ref="C103:I103" si="116">COUNTIFS(dateLog,"&gt;="&amp;C101,dateLog,"&lt;"&amp;D101,actionLog,"sell")+COUNTIFS(dateLog,"&gt;="&amp;C101,dateLog,"&lt;"&amp;D101,actionLog,"cover")</f>
        <v>0</v>
      </c>
      <c r="D103" s="486">
        <f t="shared" si="116"/>
        <v>0</v>
      </c>
      <c r="E103" s="486">
        <f t="shared" si="116"/>
        <v>0</v>
      </c>
      <c r="F103" s="486">
        <f t="shared" si="116"/>
        <v>0</v>
      </c>
      <c r="G103" s="486">
        <f t="shared" si="116"/>
        <v>0</v>
      </c>
      <c r="H103" s="486">
        <f t="shared" si="116"/>
        <v>0</v>
      </c>
      <c r="I103" s="486">
        <f t="shared" si="116"/>
        <v>0</v>
      </c>
      <c r="J103" s="157"/>
      <c r="K103" s="157"/>
      <c r="L103" s="157"/>
    </row>
    <row r="104" spans="2:12" ht="15" customHeight="1" thickTop="1">
      <c r="B104" s="157"/>
      <c r="C104" s="332">
        <f>IFERROR(IF(MONTH(C90)&lt;&gt;MONTH(I101+1),"",(I101+1)),"")</f>
        <v>43128</v>
      </c>
      <c r="D104" s="332">
        <f>IFERROR(IF(MONTH(C90)&lt;&gt;MONTH(C104+1),"",(C104+1)),"")</f>
        <v>43129</v>
      </c>
      <c r="E104" s="332">
        <f>IFERROR(IF(MONTH(C90)&lt;&gt;MONTH(D104+1),"",(D104+1)),"")</f>
        <v>43130</v>
      </c>
      <c r="F104" s="332">
        <f>IFERROR(IF(MONTH(C90)&lt;&gt;MONTH(E104+1),"",(E104+1)),"")</f>
        <v>43131</v>
      </c>
      <c r="G104" s="332" t="str">
        <f>IFERROR(IF(MONTH(C90)&lt;&gt;MONTH(F104+1),"",(F104+1)),"")</f>
        <v/>
      </c>
      <c r="H104" s="332" t="str">
        <f>IFERROR(IF(MONTH(C90)&lt;&gt;MONTH(G104+1),"",(G104+1)),"")</f>
        <v/>
      </c>
      <c r="I104" s="332" t="str">
        <f>IFERROR(IF(MONTH(C90)&lt;&gt;MONTH(H104+1),"",(H104+1)),"")</f>
        <v/>
      </c>
      <c r="J104" s="157"/>
      <c r="K104" s="157"/>
      <c r="L104" s="157"/>
    </row>
    <row r="105" spans="2:12" ht="15" customHeight="1">
      <c r="B105" s="157"/>
      <c r="C105" s="942">
        <f t="shared" ref="C105:H105" si="117">SUMIFS(profitLoss,dateLog,"&gt;="&amp;C104,dateLog,"&lt;"&amp;D104)</f>
        <v>0</v>
      </c>
      <c r="D105" s="942">
        <f t="shared" si="117"/>
        <v>0</v>
      </c>
      <c r="E105" s="942">
        <f t="shared" si="117"/>
        <v>0</v>
      </c>
      <c r="F105" s="942">
        <f t="shared" si="117"/>
        <v>0</v>
      </c>
      <c r="G105" s="942">
        <f t="shared" si="117"/>
        <v>0</v>
      </c>
      <c r="H105" s="942">
        <f t="shared" si="117"/>
        <v>0</v>
      </c>
      <c r="I105" s="942">
        <f>SUMIFS(profitLoss,dateLog,"&gt;="&amp;I104,dateLog,"&lt;"&amp;C107)</f>
        <v>0</v>
      </c>
      <c r="J105" s="157"/>
      <c r="K105" s="157"/>
      <c r="L105" s="157"/>
    </row>
    <row r="106" spans="2:12" ht="15" customHeight="1" thickBot="1">
      <c r="B106" s="157"/>
      <c r="C106" s="486">
        <f t="shared" ref="C106:I106" si="118">COUNTIFS(dateLog,"&gt;="&amp;C104,dateLog,"&lt;"&amp;D104,actionLog,"sell")+COUNTIFS(dateLog,"&gt;="&amp;C104,dateLog,"&lt;"&amp;D104,actionLog,"cover")</f>
        <v>0</v>
      </c>
      <c r="D106" s="486">
        <f t="shared" si="118"/>
        <v>0</v>
      </c>
      <c r="E106" s="486">
        <f t="shared" si="118"/>
        <v>0</v>
      </c>
      <c r="F106" s="486">
        <f t="shared" si="118"/>
        <v>0</v>
      </c>
      <c r="G106" s="486">
        <f t="shared" si="118"/>
        <v>0</v>
      </c>
      <c r="H106" s="486">
        <f t="shared" si="118"/>
        <v>0</v>
      </c>
      <c r="I106" s="486">
        <f t="shared" si="118"/>
        <v>0</v>
      </c>
      <c r="J106" s="157"/>
      <c r="K106" s="157"/>
      <c r="L106" s="157"/>
    </row>
    <row r="107" spans="2:12" ht="15" customHeight="1" thickTop="1">
      <c r="B107" s="157"/>
      <c r="C107" s="332" t="str">
        <f>IFERROR(IF(MONTH(C90)&lt;&gt;MONTH(I104+1),"",(I104+1)),"")</f>
        <v/>
      </c>
      <c r="D107" s="332" t="str">
        <f>IFERROR(IF(MONTH(C90)&lt;&gt;MONTH(C107+1),"",(C107+1)),"")</f>
        <v/>
      </c>
      <c r="E107" s="332" t="str">
        <f>IFERROR(IF(MONTH(C90)&lt;&gt;MONTH(D107+1),"",(D107+1)),"")</f>
        <v/>
      </c>
      <c r="F107" s="332" t="str">
        <f>IFERROR(IF(MONTH(C90)&lt;&gt;MONTH(E107+1),"",(E107+1)),"")</f>
        <v/>
      </c>
      <c r="G107" s="332" t="str">
        <f>IFERROR(IF(MONTH(C90)&lt;&gt;MONTH(F107+1),"",(F107+1)),"")</f>
        <v/>
      </c>
      <c r="H107" s="332" t="str">
        <f>IFERROR(IF(MONTH(C90)&lt;&gt;MONTH(G107+1),"",(G107+1)),"")</f>
        <v/>
      </c>
      <c r="I107" s="332" t="str">
        <f>IFERROR(IF(MONTH(C90)&lt;&gt;MONTH(H107+1),"",(H107+1)),"")</f>
        <v/>
      </c>
      <c r="J107" s="157"/>
      <c r="K107" s="157"/>
      <c r="L107" s="157"/>
    </row>
    <row r="108" spans="2:12" ht="15" customHeight="1">
      <c r="B108" s="157"/>
      <c r="C108" s="942">
        <f t="shared" ref="C108:H108" si="119">SUMIFS(profitLoss,dateLog,"&gt;="&amp;C107,dateLog,"&lt;"&amp;D107)</f>
        <v>0</v>
      </c>
      <c r="D108" s="942">
        <f t="shared" si="119"/>
        <v>0</v>
      </c>
      <c r="E108" s="942">
        <f t="shared" si="119"/>
        <v>0</v>
      </c>
      <c r="F108" s="942">
        <f t="shared" si="119"/>
        <v>0</v>
      </c>
      <c r="G108" s="942">
        <f t="shared" si="119"/>
        <v>0</v>
      </c>
      <c r="H108" s="942">
        <f t="shared" si="119"/>
        <v>0</v>
      </c>
      <c r="I108" s="942">
        <f>SUMIFS(profitLoss,dateLog,"&gt;="&amp;I107,dateLog,"&lt;"&amp;C110)</f>
        <v>0</v>
      </c>
      <c r="J108" s="157"/>
      <c r="K108" s="157"/>
      <c r="L108" s="157"/>
    </row>
    <row r="109" spans="2:12" ht="15" customHeight="1">
      <c r="B109" s="157"/>
      <c r="C109" s="487">
        <f t="shared" ref="C109:I109" si="120">COUNTIFS(dateLog,"&gt;="&amp;C107,dateLog,"&lt;"&amp;D107,actionLog,"sell")+COUNTIFS(dateLog,"&gt;="&amp;C107,dateLog,"&lt;"&amp;D107,actionLog,"cover")</f>
        <v>0</v>
      </c>
      <c r="D109" s="487">
        <f t="shared" si="120"/>
        <v>0</v>
      </c>
      <c r="E109" s="487">
        <f t="shared" si="120"/>
        <v>0</v>
      </c>
      <c r="F109" s="487">
        <f t="shared" si="120"/>
        <v>0</v>
      </c>
      <c r="G109" s="487">
        <f t="shared" si="120"/>
        <v>0</v>
      </c>
      <c r="H109" s="487">
        <f t="shared" si="120"/>
        <v>0</v>
      </c>
      <c r="I109" s="487">
        <f t="shared" si="120"/>
        <v>0</v>
      </c>
      <c r="J109" s="157"/>
      <c r="K109" s="157"/>
      <c r="L109" s="157"/>
    </row>
    <row r="110" spans="2:12" ht="18" customHeight="1" thickBot="1">
      <c r="B110" s="157"/>
      <c r="C110" s="183"/>
      <c r="D110" s="183"/>
      <c r="E110" s="183"/>
      <c r="F110" s="183"/>
      <c r="G110" s="183"/>
      <c r="H110" s="183"/>
      <c r="I110" s="183"/>
      <c r="J110" s="157"/>
      <c r="K110" s="157"/>
      <c r="L110" s="157"/>
    </row>
    <row r="111" spans="2:12" ht="21.95" customHeight="1">
      <c r="B111" s="157"/>
      <c r="C111" s="189">
        <f>EOMONTH(C90,0)+1</f>
        <v>43132</v>
      </c>
      <c r="D111" s="185"/>
      <c r="E111" s="186"/>
      <c r="F111" s="187"/>
      <c r="G111" s="188"/>
      <c r="H111" s="188"/>
      <c r="I111" s="188"/>
      <c r="J111" s="157"/>
      <c r="K111" s="157"/>
      <c r="L111" s="157"/>
    </row>
    <row r="112" spans="2:12" ht="24.95" customHeight="1" thickBot="1">
      <c r="B112" s="157"/>
      <c r="C112" s="334" t="s">
        <v>615</v>
      </c>
      <c r="D112" s="334" t="s">
        <v>616</v>
      </c>
      <c r="E112" s="334" t="s">
        <v>617</v>
      </c>
      <c r="F112" s="334" t="s">
        <v>618</v>
      </c>
      <c r="G112" s="334" t="s">
        <v>619</v>
      </c>
      <c r="H112" s="334" t="s">
        <v>620</v>
      </c>
      <c r="I112" s="334" t="s">
        <v>621</v>
      </c>
      <c r="J112" s="157"/>
      <c r="K112" s="157"/>
      <c r="L112" s="157"/>
    </row>
    <row r="113" spans="2:12" ht="15" customHeight="1" thickTop="1">
      <c r="B113" s="157"/>
      <c r="C113" s="332" t="str">
        <f>IF(MONTH(C111)&lt;&gt;MONTH((C111-WEEKDAY(C111,1)+1)),"",(C111-WEEKDAY(C111,1)+1))</f>
        <v/>
      </c>
      <c r="D113" s="332" t="str">
        <f>IF(MONTH(C111)&lt;&gt;MONTH((C111-WEEKDAY(C111,1)+2)),"",(C111-WEEKDAY(C111,1)+2))</f>
        <v/>
      </c>
      <c r="E113" s="332" t="str">
        <f>IF(MONTH(C111)&lt;&gt;MONTH((C111-WEEKDAY(C111,1)+3)),"",(C111-WEEKDAY(C111,1)+3))</f>
        <v/>
      </c>
      <c r="F113" s="332" t="str">
        <f>IF(MONTH(C111)&lt;&gt;MONTH((C111-WEEKDAY(C111,1)+4)),"",(C111-WEEKDAY(C111,1)+4))</f>
        <v/>
      </c>
      <c r="G113" s="332">
        <f>IF(MONTH(C111)&lt;&gt;MONTH((C111-WEEKDAY(C111,1)+5)),"",(C111-WEEKDAY(C111,1)+5))</f>
        <v>43132</v>
      </c>
      <c r="H113" s="332">
        <f>IF(MONTH(C111)&lt;&gt;MONTH((C111-WEEKDAY(C111,1)+6)),"",(C111-WEEKDAY(C111,1)+6))</f>
        <v>43133</v>
      </c>
      <c r="I113" s="332">
        <f>IF(MONTH(C111)&lt;&gt;MONTH((C111-WEEKDAY(C111,1)+7)),"",(C111-WEEKDAY(C111,1)+7))</f>
        <v>43134</v>
      </c>
      <c r="J113" s="157"/>
      <c r="K113" s="157"/>
      <c r="L113" s="157"/>
    </row>
    <row r="114" spans="2:12" ht="15" customHeight="1">
      <c r="B114" s="157"/>
      <c r="C114" s="179">
        <f t="shared" ref="C114:H114" si="121">SUMIFS(profitLoss,dateLog,"&gt;="&amp;C113,dateLog,"&lt;"&amp;D113)</f>
        <v>0</v>
      </c>
      <c r="D114" s="179">
        <f t="shared" si="121"/>
        <v>0</v>
      </c>
      <c r="E114" s="179">
        <f t="shared" si="121"/>
        <v>0</v>
      </c>
      <c r="F114" s="179">
        <f t="shared" si="121"/>
        <v>0</v>
      </c>
      <c r="G114" s="179">
        <f t="shared" si="121"/>
        <v>0</v>
      </c>
      <c r="H114" s="179">
        <f t="shared" si="121"/>
        <v>0</v>
      </c>
      <c r="I114" s="179">
        <f>SUMIFS(profitLoss,dateLog,"&gt;="&amp;I113,dateLog,"&lt;"&amp;C116)</f>
        <v>0</v>
      </c>
      <c r="J114" s="157"/>
      <c r="K114" s="157"/>
      <c r="L114" s="157"/>
    </row>
    <row r="115" spans="2:12" ht="15" customHeight="1" thickBot="1">
      <c r="B115" s="157"/>
      <c r="C115" s="486">
        <f t="shared" ref="C115:H115" si="122">COUNTIFS(dateLog,"&gt;="&amp;C113,dateLog,"&lt;"&amp;D113)</f>
        <v>0</v>
      </c>
      <c r="D115" s="486">
        <f t="shared" si="122"/>
        <v>0</v>
      </c>
      <c r="E115" s="486">
        <f t="shared" si="122"/>
        <v>0</v>
      </c>
      <c r="F115" s="486">
        <f t="shared" si="122"/>
        <v>0</v>
      </c>
      <c r="G115" s="486">
        <f t="shared" si="122"/>
        <v>0</v>
      </c>
      <c r="H115" s="486">
        <f t="shared" si="122"/>
        <v>0</v>
      </c>
      <c r="I115" s="486">
        <f>COUNTIFS(dateLog,"&gt;="&amp;I113,dateLog,"&lt;"&amp;(I113+1))</f>
        <v>0</v>
      </c>
      <c r="J115" s="157"/>
      <c r="K115" s="157"/>
      <c r="L115" s="157"/>
    </row>
    <row r="116" spans="2:12" ht="15" customHeight="1" thickTop="1">
      <c r="B116" s="157"/>
      <c r="C116" s="332">
        <f>I113+1</f>
        <v>43135</v>
      </c>
      <c r="D116" s="332">
        <f>C116+1</f>
        <v>43136</v>
      </c>
      <c r="E116" s="332">
        <f t="shared" ref="E116" si="123">D116+1</f>
        <v>43137</v>
      </c>
      <c r="F116" s="332">
        <f t="shared" ref="F116" si="124">E116+1</f>
        <v>43138</v>
      </c>
      <c r="G116" s="332">
        <f t="shared" ref="G116" si="125">F116+1</f>
        <v>43139</v>
      </c>
      <c r="H116" s="332">
        <f t="shared" ref="H116" si="126">G116+1</f>
        <v>43140</v>
      </c>
      <c r="I116" s="332">
        <f t="shared" ref="I116" si="127">H116+1</f>
        <v>43141</v>
      </c>
      <c r="J116" s="157"/>
      <c r="K116" s="157"/>
      <c r="L116" s="157"/>
    </row>
    <row r="117" spans="2:12" ht="15" customHeight="1">
      <c r="B117" s="157"/>
      <c r="C117" s="942">
        <f t="shared" ref="C117:H117" si="128">SUMIFS(profitLoss,dateLog,"&gt;="&amp;C116,dateLog,"&lt;"&amp;D116)</f>
        <v>0</v>
      </c>
      <c r="D117" s="942">
        <f t="shared" si="128"/>
        <v>0</v>
      </c>
      <c r="E117" s="942">
        <f t="shared" si="128"/>
        <v>0</v>
      </c>
      <c r="F117" s="942">
        <f t="shared" si="128"/>
        <v>0</v>
      </c>
      <c r="G117" s="942">
        <f t="shared" si="128"/>
        <v>0</v>
      </c>
      <c r="H117" s="942">
        <f t="shared" si="128"/>
        <v>0</v>
      </c>
      <c r="I117" s="942">
        <f>SUMIFS(profitLoss,dateLog,"&gt;="&amp;I116,dateLog,"&lt;"&amp;C119)</f>
        <v>0</v>
      </c>
      <c r="J117" s="157"/>
      <c r="K117" s="157"/>
      <c r="L117" s="157"/>
    </row>
    <row r="118" spans="2:12" ht="15" customHeight="1" thickBot="1">
      <c r="B118" s="157"/>
      <c r="C118" s="486">
        <f t="shared" ref="C118:I118" si="129">COUNTIFS(dateLog,"&gt;="&amp;C116,dateLog,"&lt;"&amp;D116,actionLog,"sell")+COUNTIFS(dateLog,"&gt;="&amp;C116,dateLog,"&lt;"&amp;D116,actionLog,"cover")</f>
        <v>0</v>
      </c>
      <c r="D118" s="486">
        <f t="shared" si="129"/>
        <v>0</v>
      </c>
      <c r="E118" s="486">
        <f t="shared" si="129"/>
        <v>0</v>
      </c>
      <c r="F118" s="486">
        <f t="shared" si="129"/>
        <v>0</v>
      </c>
      <c r="G118" s="486">
        <f t="shared" si="129"/>
        <v>0</v>
      </c>
      <c r="H118" s="486">
        <f t="shared" si="129"/>
        <v>0</v>
      </c>
      <c r="I118" s="486">
        <f t="shared" si="129"/>
        <v>0</v>
      </c>
      <c r="J118" s="157"/>
      <c r="K118" s="157"/>
      <c r="L118" s="157"/>
    </row>
    <row r="119" spans="2:12" ht="15" customHeight="1" thickTop="1">
      <c r="B119" s="157"/>
      <c r="C119" s="332">
        <f>I116+1</f>
        <v>43142</v>
      </c>
      <c r="D119" s="332">
        <f>C119+1</f>
        <v>43143</v>
      </c>
      <c r="E119" s="332">
        <f t="shared" ref="E119" si="130">D119+1</f>
        <v>43144</v>
      </c>
      <c r="F119" s="332">
        <f t="shared" ref="F119" si="131">E119+1</f>
        <v>43145</v>
      </c>
      <c r="G119" s="332">
        <f t="shared" ref="G119" si="132">F119+1</f>
        <v>43146</v>
      </c>
      <c r="H119" s="332">
        <f t="shared" ref="H119" si="133">G119+1</f>
        <v>43147</v>
      </c>
      <c r="I119" s="332">
        <f t="shared" ref="I119" si="134">H119+1</f>
        <v>43148</v>
      </c>
      <c r="J119" s="157"/>
      <c r="K119" s="157"/>
      <c r="L119" s="157"/>
    </row>
    <row r="120" spans="2:12" ht="15" customHeight="1">
      <c r="B120" s="157"/>
      <c r="C120" s="942">
        <f t="shared" ref="C120:H120" si="135">SUMIFS(profitLoss,dateLog,"&gt;="&amp;C119,dateLog,"&lt;"&amp;D119)</f>
        <v>0</v>
      </c>
      <c r="D120" s="942">
        <f t="shared" si="135"/>
        <v>0</v>
      </c>
      <c r="E120" s="942">
        <f t="shared" si="135"/>
        <v>0</v>
      </c>
      <c r="F120" s="942">
        <f t="shared" si="135"/>
        <v>0</v>
      </c>
      <c r="G120" s="942">
        <f t="shared" si="135"/>
        <v>0</v>
      </c>
      <c r="H120" s="942">
        <f t="shared" si="135"/>
        <v>0</v>
      </c>
      <c r="I120" s="942">
        <f>SUMIFS(profitLoss,dateLog,"&gt;="&amp;I119,dateLog,"&lt;"&amp;C122)</f>
        <v>0</v>
      </c>
      <c r="J120" s="157"/>
      <c r="K120" s="157"/>
      <c r="L120" s="157"/>
    </row>
    <row r="121" spans="2:12" ht="15" customHeight="1" thickBot="1">
      <c r="B121" s="180"/>
      <c r="C121" s="486">
        <f t="shared" ref="C121:I121" si="136">COUNTIFS(dateLog,"&gt;="&amp;C119,dateLog,"&lt;"&amp;D119,actionLog,"sell")+COUNTIFS(dateLog,"&gt;="&amp;C119,dateLog,"&lt;"&amp;D119,actionLog,"cover")</f>
        <v>0</v>
      </c>
      <c r="D121" s="486">
        <f t="shared" si="136"/>
        <v>0</v>
      </c>
      <c r="E121" s="486">
        <f t="shared" si="136"/>
        <v>0</v>
      </c>
      <c r="F121" s="486">
        <f t="shared" si="136"/>
        <v>0</v>
      </c>
      <c r="G121" s="486">
        <f t="shared" si="136"/>
        <v>0</v>
      </c>
      <c r="H121" s="486">
        <f t="shared" si="136"/>
        <v>0</v>
      </c>
      <c r="I121" s="486">
        <f t="shared" si="136"/>
        <v>0</v>
      </c>
      <c r="J121" s="180"/>
      <c r="K121" s="180"/>
      <c r="L121" s="157"/>
    </row>
    <row r="122" spans="2:12" ht="15" customHeight="1" thickTop="1">
      <c r="B122" s="157"/>
      <c r="C122" s="332">
        <f>I119+1</f>
        <v>43149</v>
      </c>
      <c r="D122" s="332">
        <f>C122+1</f>
        <v>43150</v>
      </c>
      <c r="E122" s="332">
        <f t="shared" ref="E122" si="137">D122+1</f>
        <v>43151</v>
      </c>
      <c r="F122" s="332">
        <f t="shared" ref="F122" si="138">E122+1</f>
        <v>43152</v>
      </c>
      <c r="G122" s="332">
        <f t="shared" ref="G122" si="139">F122+1</f>
        <v>43153</v>
      </c>
      <c r="H122" s="332">
        <f t="shared" ref="H122" si="140">G122+1</f>
        <v>43154</v>
      </c>
      <c r="I122" s="332">
        <f t="shared" ref="I122" si="141">H122+1</f>
        <v>43155</v>
      </c>
      <c r="J122" s="157"/>
      <c r="K122" s="157"/>
      <c r="L122" s="157"/>
    </row>
    <row r="123" spans="2:12" ht="15" customHeight="1">
      <c r="B123" s="157"/>
      <c r="C123" s="942">
        <f t="shared" ref="C123:H123" si="142">SUMIFS(profitLoss,dateLog,"&gt;="&amp;C122,dateLog,"&lt;"&amp;D122)</f>
        <v>0</v>
      </c>
      <c r="D123" s="942">
        <f t="shared" si="142"/>
        <v>0</v>
      </c>
      <c r="E123" s="942">
        <f t="shared" si="142"/>
        <v>0</v>
      </c>
      <c r="F123" s="942">
        <f t="shared" si="142"/>
        <v>0</v>
      </c>
      <c r="G123" s="942">
        <f t="shared" si="142"/>
        <v>0</v>
      </c>
      <c r="H123" s="942">
        <f t="shared" si="142"/>
        <v>0</v>
      </c>
      <c r="I123" s="942">
        <f>SUMIFS(profitLoss,dateLog,"&gt;="&amp;I122,dateLog,"&lt;"&amp;C125)</f>
        <v>0</v>
      </c>
      <c r="J123" s="157"/>
      <c r="K123" s="157"/>
      <c r="L123" s="157"/>
    </row>
    <row r="124" spans="2:12" ht="15" customHeight="1" thickBot="1">
      <c r="B124" s="157"/>
      <c r="C124" s="486">
        <f t="shared" ref="C124:I124" si="143">COUNTIFS(dateLog,"&gt;="&amp;C122,dateLog,"&lt;"&amp;D122,actionLog,"sell")+COUNTIFS(dateLog,"&gt;="&amp;C122,dateLog,"&lt;"&amp;D122,actionLog,"cover")</f>
        <v>0</v>
      </c>
      <c r="D124" s="486">
        <f t="shared" si="143"/>
        <v>0</v>
      </c>
      <c r="E124" s="486">
        <f t="shared" si="143"/>
        <v>0</v>
      </c>
      <c r="F124" s="486">
        <f t="shared" si="143"/>
        <v>0</v>
      </c>
      <c r="G124" s="486">
        <f t="shared" si="143"/>
        <v>0</v>
      </c>
      <c r="H124" s="486">
        <f t="shared" si="143"/>
        <v>0</v>
      </c>
      <c r="I124" s="486">
        <f t="shared" si="143"/>
        <v>0</v>
      </c>
      <c r="J124" s="157"/>
      <c r="K124" s="157"/>
      <c r="L124" s="157"/>
    </row>
    <row r="125" spans="2:12" ht="15" customHeight="1" thickTop="1">
      <c r="B125" s="157"/>
      <c r="C125" s="332">
        <f>IFERROR(IF(MONTH(C111)&lt;&gt;MONTH(I122+1),"",(I122+1)),"")</f>
        <v>43156</v>
      </c>
      <c r="D125" s="332">
        <f>IFERROR(IF(MONTH(C111)&lt;&gt;MONTH(C125+1),"",(C125+1)),"")</f>
        <v>43157</v>
      </c>
      <c r="E125" s="332">
        <f>IFERROR(IF(MONTH(C111)&lt;&gt;MONTH(D125+1),"",(D125+1)),"")</f>
        <v>43158</v>
      </c>
      <c r="F125" s="332">
        <f>IFERROR(IF(MONTH(C111)&lt;&gt;MONTH(E125+1),"",(E125+1)),"")</f>
        <v>43159</v>
      </c>
      <c r="G125" s="332" t="str">
        <f>IFERROR(IF(MONTH(C111)&lt;&gt;MONTH(F125+1),"",(F125+1)),"")</f>
        <v/>
      </c>
      <c r="H125" s="332" t="str">
        <f>IFERROR(IF(MONTH(C111)&lt;&gt;MONTH(G125+1),"",(G125+1)),"")</f>
        <v/>
      </c>
      <c r="I125" s="332" t="str">
        <f>IFERROR(IF(MONTH(C111)&lt;&gt;MONTH(H125+1),"",(H125+1)),"")</f>
        <v/>
      </c>
      <c r="J125" s="157"/>
      <c r="K125" s="157"/>
      <c r="L125" s="157"/>
    </row>
    <row r="126" spans="2:12" ht="15" customHeight="1">
      <c r="B126" s="157"/>
      <c r="C126" s="942">
        <f t="shared" ref="C126:H126" si="144">SUMIFS(profitLoss,dateLog,"&gt;="&amp;C125,dateLog,"&lt;"&amp;D125)</f>
        <v>0</v>
      </c>
      <c r="D126" s="942">
        <f t="shared" si="144"/>
        <v>0</v>
      </c>
      <c r="E126" s="942">
        <f t="shared" si="144"/>
        <v>0</v>
      </c>
      <c r="F126" s="942">
        <f t="shared" si="144"/>
        <v>0</v>
      </c>
      <c r="G126" s="942">
        <f t="shared" si="144"/>
        <v>0</v>
      </c>
      <c r="H126" s="942">
        <f t="shared" si="144"/>
        <v>0</v>
      </c>
      <c r="I126" s="942">
        <f>SUMIFS(profitLoss,dateLog,"&gt;="&amp;I125,dateLog,"&lt;"&amp;C128)</f>
        <v>0</v>
      </c>
      <c r="J126" s="157"/>
      <c r="K126" s="157"/>
      <c r="L126" s="157"/>
    </row>
    <row r="127" spans="2:12" ht="15" customHeight="1" thickBot="1">
      <c r="B127" s="157"/>
      <c r="C127" s="486">
        <f t="shared" ref="C127:I127" si="145">COUNTIFS(dateLog,"&gt;="&amp;C125,dateLog,"&lt;"&amp;D125,actionLog,"sell")+COUNTIFS(dateLog,"&gt;="&amp;C125,dateLog,"&lt;"&amp;D125,actionLog,"cover")</f>
        <v>0</v>
      </c>
      <c r="D127" s="486">
        <f t="shared" si="145"/>
        <v>0</v>
      </c>
      <c r="E127" s="486">
        <f t="shared" si="145"/>
        <v>0</v>
      </c>
      <c r="F127" s="486">
        <f t="shared" si="145"/>
        <v>0</v>
      </c>
      <c r="G127" s="486">
        <f t="shared" si="145"/>
        <v>0</v>
      </c>
      <c r="H127" s="486">
        <f t="shared" si="145"/>
        <v>0</v>
      </c>
      <c r="I127" s="486">
        <f t="shared" si="145"/>
        <v>0</v>
      </c>
      <c r="J127" s="157"/>
      <c r="K127" s="157"/>
      <c r="L127" s="157"/>
    </row>
    <row r="128" spans="2:12" ht="15" customHeight="1" thickTop="1">
      <c r="B128" s="157"/>
      <c r="C128" s="332" t="str">
        <f>IFERROR(IF(MONTH(C111)&lt;&gt;MONTH(I125+1),"",(I125+1)),"")</f>
        <v/>
      </c>
      <c r="D128" s="332" t="str">
        <f>IFERROR(IF(MONTH(C111)&lt;&gt;MONTH(C128+1),"",(C128+1)),"")</f>
        <v/>
      </c>
      <c r="E128" s="332" t="str">
        <f>IFERROR(IF(MONTH(C111)&lt;&gt;MONTH(D128+1),"",(D128+1)),"")</f>
        <v/>
      </c>
      <c r="F128" s="332" t="str">
        <f>IFERROR(IF(MONTH(C111)&lt;&gt;MONTH(E128+1),"",(E128+1)),"")</f>
        <v/>
      </c>
      <c r="G128" s="332" t="str">
        <f>IFERROR(IF(MONTH(C111)&lt;&gt;MONTH(F128+1),"",(F128+1)),"")</f>
        <v/>
      </c>
      <c r="H128" s="332" t="str">
        <f>IFERROR(IF(MONTH(C111)&lt;&gt;MONTH(G128+1),"",(G128+1)),"")</f>
        <v/>
      </c>
      <c r="I128" s="332" t="str">
        <f>IFERROR(IF(MONTH(C111)&lt;&gt;MONTH(H128+1),"",(H128+1)),"")</f>
        <v/>
      </c>
      <c r="J128" s="157"/>
      <c r="K128" s="157"/>
      <c r="L128" s="157"/>
    </row>
    <row r="129" spans="2:12" ht="15" customHeight="1">
      <c r="B129" s="157"/>
      <c r="C129" s="942">
        <f t="shared" ref="C129:H129" si="146">SUMIFS(profitLoss,dateLog,"&gt;="&amp;C128,dateLog,"&lt;"&amp;D128)</f>
        <v>0</v>
      </c>
      <c r="D129" s="942">
        <f t="shared" si="146"/>
        <v>0</v>
      </c>
      <c r="E129" s="942">
        <f t="shared" si="146"/>
        <v>0</v>
      </c>
      <c r="F129" s="942">
        <f t="shared" si="146"/>
        <v>0</v>
      </c>
      <c r="G129" s="942">
        <f t="shared" si="146"/>
        <v>0</v>
      </c>
      <c r="H129" s="942">
        <f t="shared" si="146"/>
        <v>0</v>
      </c>
      <c r="I129" s="942">
        <f>SUMIFS(profitLoss,dateLog,"&gt;="&amp;I128,dateLog,"&lt;"&amp;C131)</f>
        <v>0</v>
      </c>
      <c r="J129" s="157"/>
      <c r="K129" s="157"/>
      <c r="L129" s="157"/>
    </row>
    <row r="130" spans="2:12" ht="15" customHeight="1">
      <c r="B130" s="157"/>
      <c r="C130" s="487">
        <f t="shared" ref="C130:I130" si="147">COUNTIFS(dateLog,"&gt;="&amp;C128,dateLog,"&lt;"&amp;D128,actionLog,"sell")+COUNTIFS(dateLog,"&gt;="&amp;C128,dateLog,"&lt;"&amp;D128,actionLog,"cover")</f>
        <v>0</v>
      </c>
      <c r="D130" s="487">
        <f t="shared" si="147"/>
        <v>0</v>
      </c>
      <c r="E130" s="487">
        <f t="shared" si="147"/>
        <v>0</v>
      </c>
      <c r="F130" s="487">
        <f t="shared" si="147"/>
        <v>0</v>
      </c>
      <c r="G130" s="487">
        <f t="shared" si="147"/>
        <v>0</v>
      </c>
      <c r="H130" s="487">
        <f t="shared" si="147"/>
        <v>0</v>
      </c>
      <c r="I130" s="487">
        <f t="shared" si="147"/>
        <v>0</v>
      </c>
      <c r="J130" s="157"/>
      <c r="K130" s="157"/>
      <c r="L130" s="157"/>
    </row>
    <row r="131" spans="2:12" ht="18" customHeight="1" thickBot="1">
      <c r="B131" s="157"/>
      <c r="C131" s="183"/>
      <c r="D131" s="183"/>
      <c r="E131" s="183"/>
      <c r="F131" s="183"/>
      <c r="G131" s="183"/>
      <c r="H131" s="183"/>
      <c r="I131" s="183"/>
      <c r="J131" s="157"/>
      <c r="K131" s="157"/>
      <c r="L131" s="157"/>
    </row>
    <row r="132" spans="2:12" ht="21.95" customHeight="1">
      <c r="B132" s="157"/>
      <c r="C132" s="184">
        <f>EOMONTH(C111,0)+1</f>
        <v>43160</v>
      </c>
      <c r="D132" s="185"/>
      <c r="E132" s="186"/>
      <c r="F132" s="187"/>
      <c r="G132" s="188"/>
      <c r="H132" s="188"/>
      <c r="I132" s="188"/>
      <c r="J132" s="157"/>
      <c r="K132" s="157"/>
      <c r="L132" s="157"/>
    </row>
    <row r="133" spans="2:12" ht="24.95" customHeight="1" thickBot="1">
      <c r="B133" s="157"/>
      <c r="C133" s="334" t="s">
        <v>615</v>
      </c>
      <c r="D133" s="334" t="s">
        <v>616</v>
      </c>
      <c r="E133" s="334" t="s">
        <v>617</v>
      </c>
      <c r="F133" s="334" t="s">
        <v>618</v>
      </c>
      <c r="G133" s="334" t="s">
        <v>619</v>
      </c>
      <c r="H133" s="334" t="s">
        <v>620</v>
      </c>
      <c r="I133" s="334" t="s">
        <v>621</v>
      </c>
      <c r="J133" s="157"/>
      <c r="K133" s="157"/>
      <c r="L133" s="157"/>
    </row>
    <row r="134" spans="2:12" ht="15" customHeight="1" thickTop="1">
      <c r="B134" s="157"/>
      <c r="C134" s="332" t="str">
        <f>IF(MONTH(C132)&lt;&gt;MONTH((C132-WEEKDAY(C132,1)+1)),"",(C132-WEEKDAY(C132,1)+1))</f>
        <v/>
      </c>
      <c r="D134" s="332" t="str">
        <f>IF(MONTH(C132)&lt;&gt;MONTH((C132-WEEKDAY(C132,1)+2)),"",(C132-WEEKDAY(C132,1)+2))</f>
        <v/>
      </c>
      <c r="E134" s="332" t="str">
        <f>IF(MONTH(C132)&lt;&gt;MONTH((C132-WEEKDAY(C132,1)+3)),"",(C132-WEEKDAY(C132,1)+3))</f>
        <v/>
      </c>
      <c r="F134" s="332" t="str">
        <f>IF(MONTH(C132)&lt;&gt;MONTH((C132-WEEKDAY(C132,1)+4)),"",(C132-WEEKDAY(C132,1)+4))</f>
        <v/>
      </c>
      <c r="G134" s="332">
        <f>IF(MONTH(C132)&lt;&gt;MONTH((C132-WEEKDAY(C132,1)+5)),"",(C132-WEEKDAY(C132,1)+5))</f>
        <v>43160</v>
      </c>
      <c r="H134" s="332">
        <f>IF(MONTH(C132)&lt;&gt;MONTH((C132-WEEKDAY(C132,1)+6)),"",(C132-WEEKDAY(C132,1)+6))</f>
        <v>43161</v>
      </c>
      <c r="I134" s="332">
        <f>IF(MONTH(C132)&lt;&gt;MONTH((C132-WEEKDAY(C132,1)+7)),"",(C132-WEEKDAY(C132,1)+7))</f>
        <v>43162</v>
      </c>
      <c r="J134" s="157"/>
      <c r="K134" s="157"/>
      <c r="L134" s="157"/>
    </row>
    <row r="135" spans="2:12" ht="15" customHeight="1">
      <c r="B135" s="157"/>
      <c r="C135" s="179">
        <f t="shared" ref="C135:H135" si="148">SUMIFS(profitLoss,dateLog,"&gt;="&amp;C134,dateLog,"&lt;"&amp;D134)</f>
        <v>0</v>
      </c>
      <c r="D135" s="179">
        <f t="shared" si="148"/>
        <v>0</v>
      </c>
      <c r="E135" s="179">
        <f t="shared" si="148"/>
        <v>0</v>
      </c>
      <c r="F135" s="179">
        <f t="shared" si="148"/>
        <v>0</v>
      </c>
      <c r="G135" s="179">
        <f t="shared" si="148"/>
        <v>0</v>
      </c>
      <c r="H135" s="179">
        <f t="shared" si="148"/>
        <v>0</v>
      </c>
      <c r="I135" s="179">
        <f>SUMIFS(profitLoss,dateLog,"&gt;="&amp;I134,dateLog,"&lt;"&amp;C137)</f>
        <v>0</v>
      </c>
      <c r="J135" s="157"/>
      <c r="K135" s="157"/>
      <c r="L135" s="157"/>
    </row>
    <row r="136" spans="2:12" ht="15" customHeight="1" thickBot="1">
      <c r="B136" s="157"/>
      <c r="C136" s="486">
        <f t="shared" ref="C136:H136" si="149">COUNTIFS(dateLog,"&gt;="&amp;C134,dateLog,"&lt;"&amp;D134)</f>
        <v>0</v>
      </c>
      <c r="D136" s="486">
        <f t="shared" si="149"/>
        <v>0</v>
      </c>
      <c r="E136" s="486">
        <f t="shared" si="149"/>
        <v>0</v>
      </c>
      <c r="F136" s="486">
        <f t="shared" si="149"/>
        <v>0</v>
      </c>
      <c r="G136" s="486">
        <f t="shared" si="149"/>
        <v>0</v>
      </c>
      <c r="H136" s="486">
        <f t="shared" si="149"/>
        <v>0</v>
      </c>
      <c r="I136" s="486">
        <f>COUNTIFS(dateLog,"&gt;="&amp;I134,dateLog,"&lt;"&amp;(I134+1))</f>
        <v>0</v>
      </c>
      <c r="J136" s="157"/>
      <c r="K136" s="157"/>
      <c r="L136" s="157"/>
    </row>
    <row r="137" spans="2:12" ht="15" customHeight="1" thickTop="1">
      <c r="B137" s="157"/>
      <c r="C137" s="332">
        <f>I134+1</f>
        <v>43163</v>
      </c>
      <c r="D137" s="332">
        <f>C137+1</f>
        <v>43164</v>
      </c>
      <c r="E137" s="332">
        <f t="shared" ref="E137" si="150">D137+1</f>
        <v>43165</v>
      </c>
      <c r="F137" s="332">
        <f t="shared" ref="F137" si="151">E137+1</f>
        <v>43166</v>
      </c>
      <c r="G137" s="332">
        <f t="shared" ref="G137" si="152">F137+1</f>
        <v>43167</v>
      </c>
      <c r="H137" s="332">
        <f t="shared" ref="H137" si="153">G137+1</f>
        <v>43168</v>
      </c>
      <c r="I137" s="332">
        <f t="shared" ref="I137" si="154">H137+1</f>
        <v>43169</v>
      </c>
      <c r="J137" s="157"/>
      <c r="K137" s="157"/>
      <c r="L137" s="157"/>
    </row>
    <row r="138" spans="2:12" ht="15" customHeight="1">
      <c r="B138" s="157"/>
      <c r="C138" s="942">
        <f t="shared" ref="C138:H138" si="155">SUMIFS(profitLoss,dateLog,"&gt;="&amp;C137,dateLog,"&lt;"&amp;D137)</f>
        <v>0</v>
      </c>
      <c r="D138" s="942">
        <f t="shared" si="155"/>
        <v>0</v>
      </c>
      <c r="E138" s="942">
        <f t="shared" si="155"/>
        <v>0</v>
      </c>
      <c r="F138" s="942">
        <f t="shared" si="155"/>
        <v>0</v>
      </c>
      <c r="G138" s="942">
        <f t="shared" si="155"/>
        <v>0</v>
      </c>
      <c r="H138" s="942">
        <f t="shared" si="155"/>
        <v>0</v>
      </c>
      <c r="I138" s="942">
        <f>SUMIFS(profitLoss,dateLog,"&gt;="&amp;I137,dateLog,"&lt;"&amp;C140)</f>
        <v>0</v>
      </c>
      <c r="J138" s="157"/>
      <c r="K138" s="157"/>
      <c r="L138" s="157"/>
    </row>
    <row r="139" spans="2:12" ht="15" customHeight="1" thickBot="1">
      <c r="B139" s="157"/>
      <c r="C139" s="486">
        <f t="shared" ref="C139:I139" si="156">COUNTIFS(dateLog,"&gt;="&amp;C137,dateLog,"&lt;"&amp;D137,actionLog,"sell")+COUNTIFS(dateLog,"&gt;="&amp;C137,dateLog,"&lt;"&amp;D137,actionLog,"cover")</f>
        <v>0</v>
      </c>
      <c r="D139" s="486">
        <f t="shared" si="156"/>
        <v>0</v>
      </c>
      <c r="E139" s="486">
        <f t="shared" si="156"/>
        <v>0</v>
      </c>
      <c r="F139" s="486">
        <f t="shared" si="156"/>
        <v>0</v>
      </c>
      <c r="G139" s="486">
        <f t="shared" si="156"/>
        <v>0</v>
      </c>
      <c r="H139" s="486">
        <f t="shared" si="156"/>
        <v>0</v>
      </c>
      <c r="I139" s="486">
        <f t="shared" si="156"/>
        <v>0</v>
      </c>
      <c r="J139" s="157"/>
      <c r="K139" s="157"/>
      <c r="L139" s="157"/>
    </row>
    <row r="140" spans="2:12" ht="15" customHeight="1" thickTop="1">
      <c r="B140" s="157"/>
      <c r="C140" s="332">
        <f>I137+1</f>
        <v>43170</v>
      </c>
      <c r="D140" s="332">
        <f>C140+1</f>
        <v>43171</v>
      </c>
      <c r="E140" s="332">
        <f t="shared" ref="E140" si="157">D140+1</f>
        <v>43172</v>
      </c>
      <c r="F140" s="332">
        <f t="shared" ref="F140" si="158">E140+1</f>
        <v>43173</v>
      </c>
      <c r="G140" s="332">
        <f t="shared" ref="G140" si="159">F140+1</f>
        <v>43174</v>
      </c>
      <c r="H140" s="332">
        <f t="shared" ref="H140" si="160">G140+1</f>
        <v>43175</v>
      </c>
      <c r="I140" s="332">
        <f t="shared" ref="I140" si="161">H140+1</f>
        <v>43176</v>
      </c>
      <c r="J140" s="157"/>
      <c r="K140" s="157"/>
      <c r="L140" s="157"/>
    </row>
    <row r="141" spans="2:12" ht="15" customHeight="1">
      <c r="B141" s="157"/>
      <c r="C141" s="942">
        <f t="shared" ref="C141:H141" si="162">SUMIFS(profitLoss,dateLog,"&gt;="&amp;C140,dateLog,"&lt;"&amp;D140)</f>
        <v>0</v>
      </c>
      <c r="D141" s="942">
        <f t="shared" si="162"/>
        <v>0</v>
      </c>
      <c r="E141" s="942">
        <f t="shared" si="162"/>
        <v>0</v>
      </c>
      <c r="F141" s="942">
        <f t="shared" si="162"/>
        <v>0</v>
      </c>
      <c r="G141" s="942">
        <f t="shared" si="162"/>
        <v>0</v>
      </c>
      <c r="H141" s="942">
        <f t="shared" si="162"/>
        <v>0</v>
      </c>
      <c r="I141" s="942">
        <f>SUMIFS(profitLoss,dateLog,"&gt;="&amp;I140,dateLog,"&lt;"&amp;C143)</f>
        <v>0</v>
      </c>
      <c r="J141" s="157"/>
      <c r="K141" s="157"/>
      <c r="L141" s="157"/>
    </row>
    <row r="142" spans="2:12" ht="15" customHeight="1" thickBot="1">
      <c r="B142" s="157"/>
      <c r="C142" s="486">
        <f t="shared" ref="C142:I142" si="163">COUNTIFS(dateLog,"&gt;="&amp;C140,dateLog,"&lt;"&amp;D140,actionLog,"sell")+COUNTIFS(dateLog,"&gt;="&amp;C140,dateLog,"&lt;"&amp;D140,actionLog,"cover")</f>
        <v>0</v>
      </c>
      <c r="D142" s="486">
        <f t="shared" si="163"/>
        <v>0</v>
      </c>
      <c r="E142" s="486">
        <f t="shared" si="163"/>
        <v>0</v>
      </c>
      <c r="F142" s="486">
        <f t="shared" si="163"/>
        <v>0</v>
      </c>
      <c r="G142" s="486">
        <f t="shared" si="163"/>
        <v>0</v>
      </c>
      <c r="H142" s="486">
        <f t="shared" si="163"/>
        <v>0</v>
      </c>
      <c r="I142" s="486">
        <f t="shared" si="163"/>
        <v>0</v>
      </c>
      <c r="J142" s="157"/>
      <c r="K142" s="157"/>
      <c r="L142" s="157"/>
    </row>
    <row r="143" spans="2:12" ht="15" customHeight="1" thickTop="1">
      <c r="B143" s="157"/>
      <c r="C143" s="332">
        <f>I140+1</f>
        <v>43177</v>
      </c>
      <c r="D143" s="332">
        <f>C143+1</f>
        <v>43178</v>
      </c>
      <c r="E143" s="332">
        <f t="shared" ref="E143" si="164">D143+1</f>
        <v>43179</v>
      </c>
      <c r="F143" s="332">
        <f t="shared" ref="F143" si="165">E143+1</f>
        <v>43180</v>
      </c>
      <c r="G143" s="332">
        <f t="shared" ref="G143" si="166">F143+1</f>
        <v>43181</v>
      </c>
      <c r="H143" s="332">
        <f t="shared" ref="H143" si="167">G143+1</f>
        <v>43182</v>
      </c>
      <c r="I143" s="332">
        <f t="shared" ref="I143" si="168">H143+1</f>
        <v>43183</v>
      </c>
      <c r="J143" s="157"/>
      <c r="K143" s="157"/>
      <c r="L143" s="157"/>
    </row>
    <row r="144" spans="2:12" ht="15" customHeight="1">
      <c r="B144" s="157"/>
      <c r="C144" s="942">
        <f t="shared" ref="C144:H144" si="169">SUMIFS(profitLoss,dateLog,"&gt;="&amp;C143,dateLog,"&lt;"&amp;D143)</f>
        <v>0</v>
      </c>
      <c r="D144" s="942">
        <f t="shared" si="169"/>
        <v>0</v>
      </c>
      <c r="E144" s="942">
        <f t="shared" si="169"/>
        <v>0</v>
      </c>
      <c r="F144" s="942">
        <f t="shared" si="169"/>
        <v>0</v>
      </c>
      <c r="G144" s="942">
        <f t="shared" si="169"/>
        <v>0</v>
      </c>
      <c r="H144" s="942">
        <f t="shared" si="169"/>
        <v>0</v>
      </c>
      <c r="I144" s="942">
        <f>SUMIFS(profitLoss,dateLog,"&gt;="&amp;I143,dateLog,"&lt;"&amp;C146)</f>
        <v>0</v>
      </c>
      <c r="J144" s="157"/>
      <c r="K144" s="157"/>
      <c r="L144" s="157"/>
    </row>
    <row r="145" spans="2:12" ht="15" customHeight="1" thickBot="1">
      <c r="B145" s="157"/>
      <c r="C145" s="486">
        <f t="shared" ref="C145:I145" si="170">COUNTIFS(dateLog,"&gt;="&amp;C143,dateLog,"&lt;"&amp;D143,actionLog,"sell")+COUNTIFS(dateLog,"&gt;="&amp;C143,dateLog,"&lt;"&amp;D143,actionLog,"cover")</f>
        <v>0</v>
      </c>
      <c r="D145" s="486">
        <f t="shared" si="170"/>
        <v>0</v>
      </c>
      <c r="E145" s="486">
        <f t="shared" si="170"/>
        <v>0</v>
      </c>
      <c r="F145" s="486">
        <f t="shared" si="170"/>
        <v>0</v>
      </c>
      <c r="G145" s="486">
        <f t="shared" si="170"/>
        <v>0</v>
      </c>
      <c r="H145" s="486">
        <f t="shared" si="170"/>
        <v>0</v>
      </c>
      <c r="I145" s="486">
        <f t="shared" si="170"/>
        <v>0</v>
      </c>
      <c r="J145" s="157"/>
      <c r="K145" s="157"/>
      <c r="L145" s="157"/>
    </row>
    <row r="146" spans="2:12" ht="15" customHeight="1" thickTop="1">
      <c r="B146" s="157"/>
      <c r="C146" s="332">
        <f>IFERROR(IF(MONTH(C132)&lt;&gt;MONTH(I143+1),"",(I143+1)),"")</f>
        <v>43184</v>
      </c>
      <c r="D146" s="332">
        <f>IFERROR(IF(MONTH(C132)&lt;&gt;MONTH(C146+1),"",(C146+1)),"")</f>
        <v>43185</v>
      </c>
      <c r="E146" s="332">
        <f>IFERROR(IF(MONTH(C132)&lt;&gt;MONTH(D146+1),"",(D146+1)),"")</f>
        <v>43186</v>
      </c>
      <c r="F146" s="332">
        <f>IFERROR(IF(MONTH(C132)&lt;&gt;MONTH(E146+1),"",(E146+1)),"")</f>
        <v>43187</v>
      </c>
      <c r="G146" s="332">
        <f>IFERROR(IF(MONTH(C132)&lt;&gt;MONTH(F146+1),"",(F146+1)),"")</f>
        <v>43188</v>
      </c>
      <c r="H146" s="332">
        <f>IFERROR(IF(MONTH(C132)&lt;&gt;MONTH(G146+1),"",(G146+1)),"")</f>
        <v>43189</v>
      </c>
      <c r="I146" s="332">
        <f>IFERROR(IF(MONTH(C132)&lt;&gt;MONTH(H146+1),"",(H146+1)),"")</f>
        <v>43190</v>
      </c>
      <c r="J146" s="157"/>
      <c r="K146" s="157"/>
      <c r="L146" s="157"/>
    </row>
    <row r="147" spans="2:12" ht="15" customHeight="1">
      <c r="B147" s="157"/>
      <c r="C147" s="942">
        <f t="shared" ref="C147:H147" si="171">SUMIFS(profitLoss,dateLog,"&gt;="&amp;C146,dateLog,"&lt;"&amp;D146)</f>
        <v>0</v>
      </c>
      <c r="D147" s="942">
        <f t="shared" si="171"/>
        <v>0</v>
      </c>
      <c r="E147" s="942">
        <f t="shared" si="171"/>
        <v>0</v>
      </c>
      <c r="F147" s="942">
        <f t="shared" si="171"/>
        <v>0</v>
      </c>
      <c r="G147" s="942">
        <f t="shared" si="171"/>
        <v>0</v>
      </c>
      <c r="H147" s="942">
        <f t="shared" si="171"/>
        <v>0</v>
      </c>
      <c r="I147" s="942">
        <f>SUMIFS(profitLoss,dateLog,"&gt;="&amp;I146,dateLog,"&lt;"&amp;C149)</f>
        <v>0</v>
      </c>
      <c r="J147" s="157"/>
      <c r="K147" s="157"/>
      <c r="L147" s="157"/>
    </row>
    <row r="148" spans="2:12" ht="15" customHeight="1" thickBot="1">
      <c r="B148" s="157"/>
      <c r="C148" s="486">
        <f t="shared" ref="C148:I148" si="172">COUNTIFS(dateLog,"&gt;="&amp;C146,dateLog,"&lt;"&amp;D146,actionLog,"sell")+COUNTIFS(dateLog,"&gt;="&amp;C146,dateLog,"&lt;"&amp;D146,actionLog,"cover")</f>
        <v>0</v>
      </c>
      <c r="D148" s="486">
        <f t="shared" si="172"/>
        <v>0</v>
      </c>
      <c r="E148" s="486">
        <f t="shared" si="172"/>
        <v>0</v>
      </c>
      <c r="F148" s="486">
        <f t="shared" si="172"/>
        <v>0</v>
      </c>
      <c r="G148" s="486">
        <f t="shared" si="172"/>
        <v>0</v>
      </c>
      <c r="H148" s="486">
        <f t="shared" si="172"/>
        <v>0</v>
      </c>
      <c r="I148" s="486">
        <f t="shared" si="172"/>
        <v>0</v>
      </c>
      <c r="J148" s="157"/>
      <c r="K148" s="157"/>
      <c r="L148" s="157"/>
    </row>
    <row r="149" spans="2:12" ht="15" customHeight="1" thickTop="1">
      <c r="B149" s="157"/>
      <c r="C149" s="332" t="str">
        <f>IFERROR(IF(MONTH(C132)&lt;&gt;MONTH(I146+1),"",(I146+1)),"")</f>
        <v/>
      </c>
      <c r="D149" s="332" t="str">
        <f>IFERROR(IF(MONTH(C132)&lt;&gt;MONTH(C149+1),"",(C149+1)),"")</f>
        <v/>
      </c>
      <c r="E149" s="332" t="str">
        <f>IFERROR(IF(MONTH(C132)&lt;&gt;MONTH(D149+1),"",(D149+1)),"")</f>
        <v/>
      </c>
      <c r="F149" s="332" t="str">
        <f>IFERROR(IF(MONTH(C132)&lt;&gt;MONTH(E149+1),"",(E149+1)),"")</f>
        <v/>
      </c>
      <c r="G149" s="332" t="str">
        <f>IFERROR(IF(MONTH(C132)&lt;&gt;MONTH(F149+1),"",(F149+1)),"")</f>
        <v/>
      </c>
      <c r="H149" s="332" t="str">
        <f>IFERROR(IF(MONTH(C132)&lt;&gt;MONTH(G149+1),"",(G149+1)),"")</f>
        <v/>
      </c>
      <c r="I149" s="332" t="str">
        <f>IFERROR(IF(MONTH(C132)&lt;&gt;MONTH(H149+1),"",(H149+1)),"")</f>
        <v/>
      </c>
      <c r="J149" s="157"/>
      <c r="K149" s="157"/>
      <c r="L149" s="157"/>
    </row>
    <row r="150" spans="2:12" ht="15" customHeight="1">
      <c r="B150" s="157"/>
      <c r="C150" s="942">
        <f t="shared" ref="C150:H150" si="173">SUMIFS(profitLoss,dateLog,"&gt;="&amp;C149,dateLog,"&lt;"&amp;D149)</f>
        <v>0</v>
      </c>
      <c r="D150" s="942">
        <f t="shared" si="173"/>
        <v>0</v>
      </c>
      <c r="E150" s="942">
        <f t="shared" si="173"/>
        <v>0</v>
      </c>
      <c r="F150" s="942">
        <f t="shared" si="173"/>
        <v>0</v>
      </c>
      <c r="G150" s="942">
        <f t="shared" si="173"/>
        <v>0</v>
      </c>
      <c r="H150" s="942">
        <f t="shared" si="173"/>
        <v>0</v>
      </c>
      <c r="I150" s="942">
        <f>SUMIFS(profitLoss,dateLog,"&gt;="&amp;I149,dateLog,"&lt;"&amp;C152)</f>
        <v>0</v>
      </c>
      <c r="J150" s="157"/>
      <c r="K150" s="157"/>
      <c r="L150" s="157"/>
    </row>
    <row r="151" spans="2:12" ht="15" customHeight="1">
      <c r="B151" s="157"/>
      <c r="C151" s="487">
        <f t="shared" ref="C151:I151" si="174">COUNTIFS(dateLog,"&gt;="&amp;C149,dateLog,"&lt;"&amp;D149,actionLog,"sell")+COUNTIFS(dateLog,"&gt;="&amp;C149,dateLog,"&lt;"&amp;D149,actionLog,"cover")</f>
        <v>0</v>
      </c>
      <c r="D151" s="487">
        <f t="shared" si="174"/>
        <v>0</v>
      </c>
      <c r="E151" s="487">
        <f t="shared" si="174"/>
        <v>0</v>
      </c>
      <c r="F151" s="487">
        <f t="shared" si="174"/>
        <v>0</v>
      </c>
      <c r="G151" s="487">
        <f t="shared" si="174"/>
        <v>0</v>
      </c>
      <c r="H151" s="487">
        <f t="shared" si="174"/>
        <v>0</v>
      </c>
      <c r="I151" s="487">
        <f t="shared" si="174"/>
        <v>0</v>
      </c>
      <c r="J151" s="157"/>
      <c r="K151" s="157"/>
      <c r="L151" s="157"/>
    </row>
    <row r="152" spans="2:12" ht="18" customHeight="1" thickBot="1">
      <c r="B152" s="157"/>
      <c r="C152" s="183"/>
      <c r="D152" s="183"/>
      <c r="E152" s="183"/>
      <c r="F152" s="183"/>
      <c r="G152" s="183"/>
      <c r="H152" s="183"/>
      <c r="I152" s="183"/>
      <c r="J152" s="157"/>
      <c r="K152" s="157"/>
      <c r="L152" s="157"/>
    </row>
    <row r="153" spans="2:12" ht="21.95" customHeight="1">
      <c r="B153" s="157"/>
      <c r="C153" s="184">
        <f>EOMONTH(C132,0)+1</f>
        <v>43191</v>
      </c>
      <c r="D153" s="185"/>
      <c r="E153" s="186"/>
      <c r="F153" s="187"/>
      <c r="G153" s="188"/>
      <c r="H153" s="188"/>
      <c r="I153" s="188"/>
      <c r="J153" s="157"/>
      <c r="K153" s="157"/>
      <c r="L153" s="157"/>
    </row>
    <row r="154" spans="2:12" ht="24.95" customHeight="1" thickBot="1">
      <c r="B154" s="157"/>
      <c r="C154" s="334" t="s">
        <v>615</v>
      </c>
      <c r="D154" s="334" t="s">
        <v>616</v>
      </c>
      <c r="E154" s="334" t="s">
        <v>617</v>
      </c>
      <c r="F154" s="334" t="s">
        <v>618</v>
      </c>
      <c r="G154" s="334" t="s">
        <v>619</v>
      </c>
      <c r="H154" s="334" t="s">
        <v>620</v>
      </c>
      <c r="I154" s="334" t="s">
        <v>621</v>
      </c>
      <c r="J154" s="157"/>
      <c r="K154" s="157"/>
      <c r="L154" s="157"/>
    </row>
    <row r="155" spans="2:12" ht="15" customHeight="1" thickTop="1">
      <c r="B155" s="157"/>
      <c r="C155" s="332">
        <f>IF(MONTH(C153)&lt;&gt;MONTH((C153-WEEKDAY(C153,1)+1)),"",(C153-WEEKDAY(C153,1)+1))</f>
        <v>43191</v>
      </c>
      <c r="D155" s="332">
        <f>IF(MONTH(C153)&lt;&gt;MONTH((C153-WEEKDAY(C153,1)+2)),"",(C153-WEEKDAY(C153,1)+2))</f>
        <v>43192</v>
      </c>
      <c r="E155" s="332">
        <f>IF(MONTH(C153)&lt;&gt;MONTH((C153-WEEKDAY(C153,1)+3)),"",(C153-WEEKDAY(C153,1)+3))</f>
        <v>43193</v>
      </c>
      <c r="F155" s="332">
        <f>IF(MONTH(C153)&lt;&gt;MONTH((C153-WEEKDAY(C153,1)+4)),"",(C153-WEEKDAY(C153,1)+4))</f>
        <v>43194</v>
      </c>
      <c r="G155" s="332">
        <f>IF(MONTH(C153)&lt;&gt;MONTH((C153-WEEKDAY(C153,1)+5)),"",(C153-WEEKDAY(C153,1)+5))</f>
        <v>43195</v>
      </c>
      <c r="H155" s="332">
        <f>IF(MONTH(C153)&lt;&gt;MONTH((C153-WEEKDAY(C153,1)+6)),"",(C153-WEEKDAY(C153,1)+6))</f>
        <v>43196</v>
      </c>
      <c r="I155" s="332">
        <f>IF(MONTH(C153)&lt;&gt;MONTH((C153-WEEKDAY(C153,1)+7)),"",(C153-WEEKDAY(C153,1)+7))</f>
        <v>43197</v>
      </c>
      <c r="J155" s="157"/>
      <c r="K155" s="157"/>
      <c r="L155" s="157"/>
    </row>
    <row r="156" spans="2:12" ht="15" customHeight="1">
      <c r="B156" s="157"/>
      <c r="C156" s="179">
        <f t="shared" ref="C156:H156" si="175">SUMIFS(profitLoss,dateLog,"&gt;="&amp;C155,dateLog,"&lt;"&amp;D155)</f>
        <v>0</v>
      </c>
      <c r="D156" s="179">
        <f t="shared" si="175"/>
        <v>0</v>
      </c>
      <c r="E156" s="179">
        <f t="shared" si="175"/>
        <v>0</v>
      </c>
      <c r="F156" s="179">
        <f t="shared" si="175"/>
        <v>0</v>
      </c>
      <c r="G156" s="179">
        <f t="shared" si="175"/>
        <v>0</v>
      </c>
      <c r="H156" s="179">
        <f t="shared" si="175"/>
        <v>0</v>
      </c>
      <c r="I156" s="179">
        <f>SUMIFS(profitLoss,dateLog,"&gt;="&amp;I155,dateLog,"&lt;"&amp;C158)</f>
        <v>0</v>
      </c>
      <c r="J156" s="157"/>
      <c r="K156" s="157"/>
      <c r="L156" s="157"/>
    </row>
    <row r="157" spans="2:12" ht="15" customHeight="1" thickBot="1">
      <c r="B157" s="157"/>
      <c r="C157" s="486">
        <f t="shared" ref="C157:H157" si="176">COUNTIFS(dateLog,"&gt;="&amp;C155,dateLog,"&lt;"&amp;D155)</f>
        <v>0</v>
      </c>
      <c r="D157" s="486">
        <f t="shared" si="176"/>
        <v>0</v>
      </c>
      <c r="E157" s="486">
        <f t="shared" si="176"/>
        <v>0</v>
      </c>
      <c r="F157" s="486">
        <f t="shared" si="176"/>
        <v>0</v>
      </c>
      <c r="G157" s="486">
        <f t="shared" si="176"/>
        <v>0</v>
      </c>
      <c r="H157" s="486">
        <f t="shared" si="176"/>
        <v>0</v>
      </c>
      <c r="I157" s="486">
        <f>COUNTIFS(dateLog,"&gt;="&amp;I155,dateLog,"&lt;"&amp;(I155+1))</f>
        <v>0</v>
      </c>
      <c r="J157" s="157"/>
      <c r="K157" s="157"/>
      <c r="L157" s="157"/>
    </row>
    <row r="158" spans="2:12" ht="15" customHeight="1" thickTop="1">
      <c r="B158" s="157"/>
      <c r="C158" s="332">
        <f>I155+1</f>
        <v>43198</v>
      </c>
      <c r="D158" s="332">
        <f>C158+1</f>
        <v>43199</v>
      </c>
      <c r="E158" s="332">
        <f t="shared" ref="E158" si="177">D158+1</f>
        <v>43200</v>
      </c>
      <c r="F158" s="332">
        <f t="shared" ref="F158" si="178">E158+1</f>
        <v>43201</v>
      </c>
      <c r="G158" s="332">
        <f t="shared" ref="G158" si="179">F158+1</f>
        <v>43202</v>
      </c>
      <c r="H158" s="332">
        <f t="shared" ref="H158" si="180">G158+1</f>
        <v>43203</v>
      </c>
      <c r="I158" s="332">
        <f t="shared" ref="I158" si="181">H158+1</f>
        <v>43204</v>
      </c>
      <c r="J158" s="157"/>
      <c r="K158" s="157"/>
      <c r="L158" s="157"/>
    </row>
    <row r="159" spans="2:12" ht="15" customHeight="1">
      <c r="B159" s="157"/>
      <c r="C159" s="942">
        <f t="shared" ref="C159:H159" si="182">SUMIFS(profitLoss,dateLog,"&gt;="&amp;C158,dateLog,"&lt;"&amp;D158)</f>
        <v>0</v>
      </c>
      <c r="D159" s="942">
        <f t="shared" si="182"/>
        <v>0</v>
      </c>
      <c r="E159" s="942">
        <f t="shared" si="182"/>
        <v>0</v>
      </c>
      <c r="F159" s="942">
        <f t="shared" si="182"/>
        <v>0</v>
      </c>
      <c r="G159" s="942">
        <f t="shared" si="182"/>
        <v>0</v>
      </c>
      <c r="H159" s="942">
        <f t="shared" si="182"/>
        <v>0</v>
      </c>
      <c r="I159" s="942">
        <f>SUMIFS(profitLoss,dateLog,"&gt;="&amp;I158,dateLog,"&lt;"&amp;C161)</f>
        <v>0</v>
      </c>
      <c r="J159" s="157"/>
      <c r="K159" s="157"/>
      <c r="L159" s="157"/>
    </row>
    <row r="160" spans="2:12" ht="15" customHeight="1" thickBot="1">
      <c r="B160" s="157"/>
      <c r="C160" s="486">
        <f t="shared" ref="C160:I160" si="183">COUNTIFS(dateLog,"&gt;="&amp;C158,dateLog,"&lt;"&amp;D158,actionLog,"sell")+COUNTIFS(dateLog,"&gt;="&amp;C158,dateLog,"&lt;"&amp;D158,actionLog,"cover")</f>
        <v>0</v>
      </c>
      <c r="D160" s="486">
        <f t="shared" si="183"/>
        <v>0</v>
      </c>
      <c r="E160" s="486">
        <f t="shared" si="183"/>
        <v>0</v>
      </c>
      <c r="F160" s="486">
        <f t="shared" si="183"/>
        <v>0</v>
      </c>
      <c r="G160" s="486">
        <f t="shared" si="183"/>
        <v>0</v>
      </c>
      <c r="H160" s="486">
        <f t="shared" si="183"/>
        <v>0</v>
      </c>
      <c r="I160" s="486">
        <f t="shared" si="183"/>
        <v>0</v>
      </c>
      <c r="J160" s="157"/>
      <c r="K160" s="157"/>
      <c r="L160" s="157"/>
    </row>
    <row r="161" spans="2:12" ht="15" customHeight="1" thickTop="1">
      <c r="B161" s="157"/>
      <c r="C161" s="332">
        <f>I158+1</f>
        <v>43205</v>
      </c>
      <c r="D161" s="332">
        <f>C161+1</f>
        <v>43206</v>
      </c>
      <c r="E161" s="332">
        <f t="shared" ref="E161" si="184">D161+1</f>
        <v>43207</v>
      </c>
      <c r="F161" s="332">
        <f t="shared" ref="F161" si="185">E161+1</f>
        <v>43208</v>
      </c>
      <c r="G161" s="332">
        <f t="shared" ref="G161" si="186">F161+1</f>
        <v>43209</v>
      </c>
      <c r="H161" s="332">
        <f t="shared" ref="H161" si="187">G161+1</f>
        <v>43210</v>
      </c>
      <c r="I161" s="332">
        <f t="shared" ref="I161" si="188">H161+1</f>
        <v>43211</v>
      </c>
      <c r="J161" s="157"/>
      <c r="K161" s="157"/>
      <c r="L161" s="157"/>
    </row>
    <row r="162" spans="2:12" ht="15" customHeight="1">
      <c r="B162" s="157"/>
      <c r="C162" s="942">
        <f t="shared" ref="C162:H162" si="189">SUMIFS(profitLoss,dateLog,"&gt;="&amp;C161,dateLog,"&lt;"&amp;D161)</f>
        <v>0</v>
      </c>
      <c r="D162" s="942">
        <f t="shared" si="189"/>
        <v>0</v>
      </c>
      <c r="E162" s="942">
        <f t="shared" si="189"/>
        <v>0</v>
      </c>
      <c r="F162" s="942">
        <f t="shared" si="189"/>
        <v>0</v>
      </c>
      <c r="G162" s="942">
        <f t="shared" si="189"/>
        <v>0</v>
      </c>
      <c r="H162" s="942">
        <f t="shared" si="189"/>
        <v>0</v>
      </c>
      <c r="I162" s="942">
        <f>SUMIFS(profitLoss,dateLog,"&gt;="&amp;I161,dateLog,"&lt;"&amp;C164)</f>
        <v>0</v>
      </c>
      <c r="J162" s="157"/>
      <c r="K162" s="157"/>
      <c r="L162" s="157"/>
    </row>
    <row r="163" spans="2:12" ht="15" customHeight="1" thickBot="1">
      <c r="B163" s="180"/>
      <c r="C163" s="486">
        <f t="shared" ref="C163:I163" si="190">COUNTIFS(dateLog,"&gt;="&amp;C161,dateLog,"&lt;"&amp;D161,actionLog,"sell")+COUNTIFS(dateLog,"&gt;="&amp;C161,dateLog,"&lt;"&amp;D161,actionLog,"cover")</f>
        <v>0</v>
      </c>
      <c r="D163" s="486">
        <f t="shared" si="190"/>
        <v>0</v>
      </c>
      <c r="E163" s="486">
        <f t="shared" si="190"/>
        <v>0</v>
      </c>
      <c r="F163" s="486">
        <f t="shared" si="190"/>
        <v>0</v>
      </c>
      <c r="G163" s="486">
        <f t="shared" si="190"/>
        <v>0</v>
      </c>
      <c r="H163" s="486">
        <f t="shared" si="190"/>
        <v>0</v>
      </c>
      <c r="I163" s="486">
        <f t="shared" si="190"/>
        <v>0</v>
      </c>
      <c r="J163" s="180"/>
      <c r="K163" s="180"/>
      <c r="L163" s="157"/>
    </row>
    <row r="164" spans="2:12" ht="15" customHeight="1" thickTop="1">
      <c r="B164" s="157"/>
      <c r="C164" s="332">
        <f>I161+1</f>
        <v>43212</v>
      </c>
      <c r="D164" s="332">
        <f>C164+1</f>
        <v>43213</v>
      </c>
      <c r="E164" s="332">
        <f t="shared" ref="E164" si="191">D164+1</f>
        <v>43214</v>
      </c>
      <c r="F164" s="332">
        <f t="shared" ref="F164" si="192">E164+1</f>
        <v>43215</v>
      </c>
      <c r="G164" s="332">
        <f t="shared" ref="G164" si="193">F164+1</f>
        <v>43216</v>
      </c>
      <c r="H164" s="332">
        <f t="shared" ref="H164" si="194">G164+1</f>
        <v>43217</v>
      </c>
      <c r="I164" s="332">
        <f t="shared" ref="I164" si="195">H164+1</f>
        <v>43218</v>
      </c>
      <c r="J164" s="157"/>
      <c r="K164" s="157"/>
      <c r="L164" s="157"/>
    </row>
    <row r="165" spans="2:12" ht="15" customHeight="1">
      <c r="B165" s="157"/>
      <c r="C165" s="942">
        <f t="shared" ref="C165:H165" si="196">SUMIFS(profitLoss,dateLog,"&gt;="&amp;C164,dateLog,"&lt;"&amp;D164)</f>
        <v>0</v>
      </c>
      <c r="D165" s="942">
        <f t="shared" si="196"/>
        <v>0</v>
      </c>
      <c r="E165" s="942">
        <f t="shared" si="196"/>
        <v>0</v>
      </c>
      <c r="F165" s="942">
        <f t="shared" si="196"/>
        <v>0</v>
      </c>
      <c r="G165" s="942">
        <f t="shared" si="196"/>
        <v>0</v>
      </c>
      <c r="H165" s="942">
        <f t="shared" si="196"/>
        <v>0</v>
      </c>
      <c r="I165" s="942">
        <f>SUMIFS(profitLoss,dateLog,"&gt;="&amp;I164,dateLog,"&lt;"&amp;C167)</f>
        <v>0</v>
      </c>
      <c r="J165" s="157"/>
      <c r="K165" s="157"/>
      <c r="L165" s="157"/>
    </row>
    <row r="166" spans="2:12" ht="15" customHeight="1" thickBot="1">
      <c r="B166" s="157"/>
      <c r="C166" s="486">
        <f t="shared" ref="C166:I166" si="197">COUNTIFS(dateLog,"&gt;="&amp;C164,dateLog,"&lt;"&amp;D164,actionLog,"sell")+COUNTIFS(dateLog,"&gt;="&amp;C164,dateLog,"&lt;"&amp;D164,actionLog,"cover")</f>
        <v>0</v>
      </c>
      <c r="D166" s="486">
        <f t="shared" si="197"/>
        <v>0</v>
      </c>
      <c r="E166" s="486">
        <f t="shared" si="197"/>
        <v>0</v>
      </c>
      <c r="F166" s="486">
        <f t="shared" si="197"/>
        <v>0</v>
      </c>
      <c r="G166" s="486">
        <f t="shared" si="197"/>
        <v>0</v>
      </c>
      <c r="H166" s="486">
        <f t="shared" si="197"/>
        <v>0</v>
      </c>
      <c r="I166" s="486">
        <f t="shared" si="197"/>
        <v>0</v>
      </c>
      <c r="J166" s="157"/>
      <c r="K166" s="157"/>
      <c r="L166" s="157"/>
    </row>
    <row r="167" spans="2:12" ht="15" customHeight="1" thickTop="1">
      <c r="B167" s="157"/>
      <c r="C167" s="332">
        <f>IFERROR(IF(MONTH(C153)&lt;&gt;MONTH(I164+1),"",(I164+1)),"")</f>
        <v>43219</v>
      </c>
      <c r="D167" s="332">
        <f>IFERROR(IF(MONTH(C153)&lt;&gt;MONTH(C167+1),"",(C167+1)),"")</f>
        <v>43220</v>
      </c>
      <c r="E167" s="332" t="str">
        <f>IFERROR(IF(MONTH(C153)&lt;&gt;MONTH(D167+1),"",(D167+1)),"")</f>
        <v/>
      </c>
      <c r="F167" s="332" t="str">
        <f>IFERROR(IF(MONTH(C153)&lt;&gt;MONTH(E167+1),"",(E167+1)),"")</f>
        <v/>
      </c>
      <c r="G167" s="332" t="str">
        <f>IFERROR(IF(MONTH(C153)&lt;&gt;MONTH(F167+1),"",(F167+1)),"")</f>
        <v/>
      </c>
      <c r="H167" s="332" t="str">
        <f>IFERROR(IF(MONTH(C153)&lt;&gt;MONTH(G167+1),"",(G167+1)),"")</f>
        <v/>
      </c>
      <c r="I167" s="332" t="str">
        <f>IFERROR(IF(MONTH(C153)&lt;&gt;MONTH(H167+1),"",(H167+1)),"")</f>
        <v/>
      </c>
      <c r="J167" s="157"/>
      <c r="K167" s="157"/>
      <c r="L167" s="157"/>
    </row>
    <row r="168" spans="2:12" ht="15" customHeight="1">
      <c r="B168" s="157"/>
      <c r="C168" s="942">
        <f t="shared" ref="C168:H168" si="198">SUMIFS(profitLoss,dateLog,"&gt;="&amp;C167,dateLog,"&lt;"&amp;D167)</f>
        <v>0</v>
      </c>
      <c r="D168" s="942">
        <f t="shared" si="198"/>
        <v>0</v>
      </c>
      <c r="E168" s="942">
        <f t="shared" si="198"/>
        <v>0</v>
      </c>
      <c r="F168" s="942">
        <f t="shared" si="198"/>
        <v>0</v>
      </c>
      <c r="G168" s="942">
        <f t="shared" si="198"/>
        <v>0</v>
      </c>
      <c r="H168" s="942">
        <f t="shared" si="198"/>
        <v>0</v>
      </c>
      <c r="I168" s="942">
        <f>SUMIFS(profitLoss,dateLog,"&gt;="&amp;I167,dateLog,"&lt;"&amp;C170)</f>
        <v>0</v>
      </c>
      <c r="J168" s="157"/>
      <c r="K168" s="157"/>
      <c r="L168" s="157"/>
    </row>
    <row r="169" spans="2:12" ht="15" customHeight="1" thickBot="1">
      <c r="B169" s="157"/>
      <c r="C169" s="486">
        <f t="shared" ref="C169:I169" si="199">COUNTIFS(dateLog,"&gt;="&amp;C167,dateLog,"&lt;"&amp;D167,actionLog,"sell")+COUNTIFS(dateLog,"&gt;="&amp;C167,dateLog,"&lt;"&amp;D167,actionLog,"cover")</f>
        <v>0</v>
      </c>
      <c r="D169" s="486">
        <f t="shared" si="199"/>
        <v>0</v>
      </c>
      <c r="E169" s="486">
        <f t="shared" si="199"/>
        <v>0</v>
      </c>
      <c r="F169" s="486">
        <f t="shared" si="199"/>
        <v>0</v>
      </c>
      <c r="G169" s="486">
        <f t="shared" si="199"/>
        <v>0</v>
      </c>
      <c r="H169" s="486">
        <f t="shared" si="199"/>
        <v>0</v>
      </c>
      <c r="I169" s="486">
        <f t="shared" si="199"/>
        <v>0</v>
      </c>
      <c r="J169" s="157"/>
      <c r="K169" s="157"/>
      <c r="L169" s="157"/>
    </row>
    <row r="170" spans="2:12" ht="15" customHeight="1" thickTop="1">
      <c r="B170" s="157"/>
      <c r="C170" s="332" t="str">
        <f>IFERROR(IF(MONTH(C153)&lt;&gt;MONTH(I167+1),"",(I167+1)),"")</f>
        <v/>
      </c>
      <c r="D170" s="332" t="str">
        <f>IFERROR(IF(MONTH(C153)&lt;&gt;MONTH(C170+1),"",(C170+1)),"")</f>
        <v/>
      </c>
      <c r="E170" s="332" t="str">
        <f>IFERROR(IF(MONTH(C153)&lt;&gt;MONTH(D170+1),"",(D170+1)),"")</f>
        <v/>
      </c>
      <c r="F170" s="332" t="str">
        <f>IFERROR(IF(MONTH(C153)&lt;&gt;MONTH(E170+1),"",(E170+1)),"")</f>
        <v/>
      </c>
      <c r="G170" s="332" t="str">
        <f>IFERROR(IF(MONTH(C153)&lt;&gt;MONTH(F170+1),"",(F170+1)),"")</f>
        <v/>
      </c>
      <c r="H170" s="332" t="str">
        <f>IFERROR(IF(MONTH(C153)&lt;&gt;MONTH(G170+1),"",(G170+1)),"")</f>
        <v/>
      </c>
      <c r="I170" s="332" t="str">
        <f>IFERROR(IF(MONTH(C153)&lt;&gt;MONTH(H170+1),"",(H170+1)),"")</f>
        <v/>
      </c>
      <c r="J170" s="157"/>
      <c r="K170" s="157"/>
      <c r="L170" s="157"/>
    </row>
    <row r="171" spans="2:12" ht="15" customHeight="1">
      <c r="B171" s="157"/>
      <c r="C171" s="942">
        <f t="shared" ref="C171:H171" si="200">SUMIFS(profitLoss,dateLog,"&gt;="&amp;C170,dateLog,"&lt;"&amp;D170)</f>
        <v>0</v>
      </c>
      <c r="D171" s="942">
        <f t="shared" si="200"/>
        <v>0</v>
      </c>
      <c r="E171" s="942">
        <f t="shared" si="200"/>
        <v>0</v>
      </c>
      <c r="F171" s="942">
        <f t="shared" si="200"/>
        <v>0</v>
      </c>
      <c r="G171" s="942">
        <f t="shared" si="200"/>
        <v>0</v>
      </c>
      <c r="H171" s="942">
        <f t="shared" si="200"/>
        <v>0</v>
      </c>
      <c r="I171" s="942">
        <f>SUMIFS(profitLoss,dateLog,"&gt;="&amp;I170,dateLog,"&lt;"&amp;C173)</f>
        <v>0</v>
      </c>
      <c r="J171" s="157"/>
      <c r="K171" s="157"/>
      <c r="L171" s="157"/>
    </row>
    <row r="172" spans="2:12" ht="15" customHeight="1">
      <c r="B172" s="157"/>
      <c r="C172" s="487">
        <f t="shared" ref="C172:I172" si="201">COUNTIFS(dateLog,"&gt;="&amp;C170,dateLog,"&lt;"&amp;D170,actionLog,"sell")+COUNTIFS(dateLog,"&gt;="&amp;C170,dateLog,"&lt;"&amp;D170,actionLog,"cover")</f>
        <v>0</v>
      </c>
      <c r="D172" s="487">
        <f t="shared" si="201"/>
        <v>0</v>
      </c>
      <c r="E172" s="487">
        <f t="shared" si="201"/>
        <v>0</v>
      </c>
      <c r="F172" s="487">
        <f t="shared" si="201"/>
        <v>0</v>
      </c>
      <c r="G172" s="487">
        <f t="shared" si="201"/>
        <v>0</v>
      </c>
      <c r="H172" s="487">
        <f t="shared" si="201"/>
        <v>0</v>
      </c>
      <c r="I172" s="487">
        <f t="shared" si="201"/>
        <v>0</v>
      </c>
      <c r="J172" s="157"/>
      <c r="K172" s="157"/>
      <c r="L172" s="157"/>
    </row>
    <row r="173" spans="2:12" ht="18" customHeight="1" thickBot="1">
      <c r="B173" s="157"/>
      <c r="C173" s="183"/>
      <c r="D173" s="183"/>
      <c r="E173" s="183"/>
      <c r="F173" s="183"/>
      <c r="G173" s="183"/>
      <c r="H173" s="183"/>
      <c r="I173" s="183"/>
      <c r="J173" s="157"/>
      <c r="K173" s="157"/>
      <c r="L173" s="157"/>
    </row>
    <row r="174" spans="2:12" ht="21.95" customHeight="1">
      <c r="B174" s="157"/>
      <c r="C174" s="184">
        <f>EOMONTH(C153,0)+1</f>
        <v>43221</v>
      </c>
      <c r="D174" s="185"/>
      <c r="E174" s="186"/>
      <c r="F174" s="187"/>
      <c r="G174" s="188"/>
      <c r="H174" s="188"/>
      <c r="I174" s="188"/>
      <c r="J174" s="157"/>
      <c r="K174" s="157"/>
      <c r="L174" s="157"/>
    </row>
    <row r="175" spans="2:12" ht="24.95" customHeight="1" thickBot="1">
      <c r="B175" s="157"/>
      <c r="C175" s="334" t="s">
        <v>615</v>
      </c>
      <c r="D175" s="334" t="s">
        <v>616</v>
      </c>
      <c r="E175" s="334" t="s">
        <v>617</v>
      </c>
      <c r="F175" s="334" t="s">
        <v>618</v>
      </c>
      <c r="G175" s="334" t="s">
        <v>619</v>
      </c>
      <c r="H175" s="334" t="s">
        <v>620</v>
      </c>
      <c r="I175" s="334" t="s">
        <v>621</v>
      </c>
      <c r="J175" s="157"/>
      <c r="K175" s="157"/>
      <c r="L175" s="157"/>
    </row>
    <row r="176" spans="2:12" ht="15" customHeight="1" thickTop="1">
      <c r="B176" s="157"/>
      <c r="C176" s="332" t="str">
        <f>IF(MONTH(C174)&lt;&gt;MONTH((C174-WEEKDAY(C174,1)+1)),"",(C174-WEEKDAY(C174,1)+1))</f>
        <v/>
      </c>
      <c r="D176" s="332" t="str">
        <f>IF(MONTH(C174)&lt;&gt;MONTH((C174-WEEKDAY(C174,1)+2)),"",(C174-WEEKDAY(C174,1)+2))</f>
        <v/>
      </c>
      <c r="E176" s="332">
        <f>IF(MONTH(C174)&lt;&gt;MONTH((C174-WEEKDAY(C174,1)+3)),"",(C174-WEEKDAY(C174,1)+3))</f>
        <v>43221</v>
      </c>
      <c r="F176" s="332">
        <f>IF(MONTH(C174)&lt;&gt;MONTH((C174-WEEKDAY(C174,1)+4)),"",(C174-WEEKDAY(C174,1)+4))</f>
        <v>43222</v>
      </c>
      <c r="G176" s="332">
        <f>IF(MONTH(C174)&lt;&gt;MONTH((C174-WEEKDAY(C174,1)+5)),"",(C174-WEEKDAY(C174,1)+5))</f>
        <v>43223</v>
      </c>
      <c r="H176" s="332">
        <f>IF(MONTH(C174)&lt;&gt;MONTH((C174-WEEKDAY(C174,1)+6)),"",(C174-WEEKDAY(C174,1)+6))</f>
        <v>43224</v>
      </c>
      <c r="I176" s="332">
        <f>IF(MONTH(C174)&lt;&gt;MONTH((C174-WEEKDAY(C174,1)+7)),"",(C174-WEEKDAY(C174,1)+7))</f>
        <v>43225</v>
      </c>
      <c r="J176" s="157"/>
      <c r="K176" s="157"/>
      <c r="L176" s="157"/>
    </row>
    <row r="177" spans="2:12" ht="15" customHeight="1">
      <c r="B177" s="157"/>
      <c r="C177" s="179">
        <f t="shared" ref="C177:H177" si="202">SUMIFS(profitLoss,dateLog,"&gt;="&amp;C176,dateLog,"&lt;"&amp;D176)</f>
        <v>0</v>
      </c>
      <c r="D177" s="179">
        <f t="shared" si="202"/>
        <v>0</v>
      </c>
      <c r="E177" s="179">
        <f t="shared" si="202"/>
        <v>0</v>
      </c>
      <c r="F177" s="179">
        <f t="shared" si="202"/>
        <v>0</v>
      </c>
      <c r="G177" s="179">
        <f t="shared" si="202"/>
        <v>0</v>
      </c>
      <c r="H177" s="179">
        <f t="shared" si="202"/>
        <v>0</v>
      </c>
      <c r="I177" s="179">
        <f>SUMIFS(profitLoss,dateLog,"&gt;="&amp;I176,dateLog,"&lt;"&amp;C179)</f>
        <v>0</v>
      </c>
      <c r="J177" s="157"/>
      <c r="K177" s="157"/>
      <c r="L177" s="157"/>
    </row>
    <row r="178" spans="2:12" ht="15" customHeight="1" thickBot="1">
      <c r="B178" s="157"/>
      <c r="C178" s="486">
        <f t="shared" ref="C178:H178" si="203">COUNTIFS(dateLog,"&gt;="&amp;C176,dateLog,"&lt;"&amp;D176)</f>
        <v>0</v>
      </c>
      <c r="D178" s="486">
        <f t="shared" si="203"/>
        <v>0</v>
      </c>
      <c r="E178" s="486">
        <f t="shared" si="203"/>
        <v>0</v>
      </c>
      <c r="F178" s="486">
        <f t="shared" si="203"/>
        <v>0</v>
      </c>
      <c r="G178" s="486">
        <f t="shared" si="203"/>
        <v>0</v>
      </c>
      <c r="H178" s="486">
        <f t="shared" si="203"/>
        <v>0</v>
      </c>
      <c r="I178" s="486">
        <f>COUNTIFS(dateLog,"&gt;="&amp;I176,dateLog,"&lt;"&amp;(I176+1))</f>
        <v>0</v>
      </c>
      <c r="J178" s="157"/>
      <c r="K178" s="157"/>
      <c r="L178" s="157"/>
    </row>
    <row r="179" spans="2:12" ht="15" customHeight="1" thickTop="1">
      <c r="B179" s="157"/>
      <c r="C179" s="332">
        <f>I176+1</f>
        <v>43226</v>
      </c>
      <c r="D179" s="332">
        <f>C179+1</f>
        <v>43227</v>
      </c>
      <c r="E179" s="332">
        <f t="shared" ref="E179" si="204">D179+1</f>
        <v>43228</v>
      </c>
      <c r="F179" s="332">
        <f t="shared" ref="F179" si="205">E179+1</f>
        <v>43229</v>
      </c>
      <c r="G179" s="332">
        <f t="shared" ref="G179" si="206">F179+1</f>
        <v>43230</v>
      </c>
      <c r="H179" s="332">
        <f t="shared" ref="H179" si="207">G179+1</f>
        <v>43231</v>
      </c>
      <c r="I179" s="332">
        <f t="shared" ref="I179" si="208">H179+1</f>
        <v>43232</v>
      </c>
      <c r="J179" s="157"/>
      <c r="K179" s="157"/>
      <c r="L179" s="157"/>
    </row>
    <row r="180" spans="2:12" ht="15" customHeight="1">
      <c r="B180" s="157"/>
      <c r="C180" s="942">
        <f t="shared" ref="C180:H180" si="209">SUMIFS(profitLoss,dateLog,"&gt;="&amp;C179,dateLog,"&lt;"&amp;D179)</f>
        <v>0</v>
      </c>
      <c r="D180" s="942">
        <f t="shared" si="209"/>
        <v>0</v>
      </c>
      <c r="E180" s="942">
        <f t="shared" si="209"/>
        <v>0</v>
      </c>
      <c r="F180" s="942">
        <f t="shared" si="209"/>
        <v>0</v>
      </c>
      <c r="G180" s="942">
        <f t="shared" si="209"/>
        <v>0</v>
      </c>
      <c r="H180" s="942">
        <f t="shared" si="209"/>
        <v>0</v>
      </c>
      <c r="I180" s="942">
        <f>SUMIFS(profitLoss,dateLog,"&gt;="&amp;I179,dateLog,"&lt;"&amp;C182)</f>
        <v>0</v>
      </c>
      <c r="J180" s="157"/>
      <c r="K180" s="157"/>
      <c r="L180" s="157"/>
    </row>
    <row r="181" spans="2:12" ht="15" customHeight="1" thickBot="1">
      <c r="B181" s="157"/>
      <c r="C181" s="486">
        <f t="shared" ref="C181:I181" si="210">COUNTIFS(dateLog,"&gt;="&amp;C179,dateLog,"&lt;"&amp;D179,actionLog,"sell")+COUNTIFS(dateLog,"&gt;="&amp;C179,dateLog,"&lt;"&amp;D179,actionLog,"cover")</f>
        <v>0</v>
      </c>
      <c r="D181" s="486">
        <f t="shared" si="210"/>
        <v>0</v>
      </c>
      <c r="E181" s="486">
        <f t="shared" si="210"/>
        <v>0</v>
      </c>
      <c r="F181" s="486">
        <f t="shared" si="210"/>
        <v>0</v>
      </c>
      <c r="G181" s="486">
        <f t="shared" si="210"/>
        <v>0</v>
      </c>
      <c r="H181" s="486">
        <f t="shared" si="210"/>
        <v>0</v>
      </c>
      <c r="I181" s="486">
        <f t="shared" si="210"/>
        <v>0</v>
      </c>
      <c r="J181" s="157"/>
      <c r="K181" s="157"/>
      <c r="L181" s="157"/>
    </row>
    <row r="182" spans="2:12" ht="15" customHeight="1" thickTop="1">
      <c r="B182" s="157"/>
      <c r="C182" s="332">
        <f>I179+1</f>
        <v>43233</v>
      </c>
      <c r="D182" s="332">
        <f>C182+1</f>
        <v>43234</v>
      </c>
      <c r="E182" s="332">
        <f t="shared" ref="E182" si="211">D182+1</f>
        <v>43235</v>
      </c>
      <c r="F182" s="332">
        <f t="shared" ref="F182" si="212">E182+1</f>
        <v>43236</v>
      </c>
      <c r="G182" s="332">
        <f t="shared" ref="G182" si="213">F182+1</f>
        <v>43237</v>
      </c>
      <c r="H182" s="332">
        <f t="shared" ref="H182" si="214">G182+1</f>
        <v>43238</v>
      </c>
      <c r="I182" s="332">
        <f t="shared" ref="I182" si="215">H182+1</f>
        <v>43239</v>
      </c>
      <c r="J182" s="157"/>
      <c r="K182" s="157"/>
      <c r="L182" s="157"/>
    </row>
    <row r="183" spans="2:12" ht="15" customHeight="1">
      <c r="B183" s="157"/>
      <c r="C183" s="942">
        <f t="shared" ref="C183:H183" si="216">SUMIFS(profitLoss,dateLog,"&gt;="&amp;C182,dateLog,"&lt;"&amp;D182)</f>
        <v>0</v>
      </c>
      <c r="D183" s="942">
        <f t="shared" si="216"/>
        <v>0</v>
      </c>
      <c r="E183" s="942">
        <f t="shared" si="216"/>
        <v>0</v>
      </c>
      <c r="F183" s="942">
        <f t="shared" si="216"/>
        <v>0</v>
      </c>
      <c r="G183" s="942">
        <f t="shared" si="216"/>
        <v>0</v>
      </c>
      <c r="H183" s="942">
        <f t="shared" si="216"/>
        <v>0</v>
      </c>
      <c r="I183" s="942">
        <f>SUMIFS(profitLoss,dateLog,"&gt;="&amp;I182,dateLog,"&lt;"&amp;C185)</f>
        <v>0</v>
      </c>
      <c r="J183" s="157"/>
      <c r="K183" s="157"/>
      <c r="L183" s="157"/>
    </row>
    <row r="184" spans="2:12" ht="15" customHeight="1" thickBot="1">
      <c r="B184" s="157"/>
      <c r="C184" s="486">
        <f t="shared" ref="C184:I184" si="217">COUNTIFS(dateLog,"&gt;="&amp;C182,dateLog,"&lt;"&amp;D182,actionLog,"sell")+COUNTIFS(dateLog,"&gt;="&amp;C182,dateLog,"&lt;"&amp;D182,actionLog,"cover")</f>
        <v>0</v>
      </c>
      <c r="D184" s="486">
        <f t="shared" si="217"/>
        <v>0</v>
      </c>
      <c r="E184" s="486">
        <f t="shared" si="217"/>
        <v>0</v>
      </c>
      <c r="F184" s="486">
        <f t="shared" si="217"/>
        <v>0</v>
      </c>
      <c r="G184" s="486">
        <f t="shared" si="217"/>
        <v>0</v>
      </c>
      <c r="H184" s="486">
        <f t="shared" si="217"/>
        <v>0</v>
      </c>
      <c r="I184" s="486">
        <f t="shared" si="217"/>
        <v>0</v>
      </c>
      <c r="J184" s="157"/>
      <c r="K184" s="157"/>
      <c r="L184" s="157"/>
    </row>
    <row r="185" spans="2:12" ht="15" customHeight="1" thickTop="1">
      <c r="B185" s="157"/>
      <c r="C185" s="332">
        <f>I182+1</f>
        <v>43240</v>
      </c>
      <c r="D185" s="332">
        <f>C185+1</f>
        <v>43241</v>
      </c>
      <c r="E185" s="332">
        <f t="shared" ref="E185" si="218">D185+1</f>
        <v>43242</v>
      </c>
      <c r="F185" s="332">
        <f t="shared" ref="F185" si="219">E185+1</f>
        <v>43243</v>
      </c>
      <c r="G185" s="332">
        <f t="shared" ref="G185" si="220">F185+1</f>
        <v>43244</v>
      </c>
      <c r="H185" s="332">
        <f t="shared" ref="H185" si="221">G185+1</f>
        <v>43245</v>
      </c>
      <c r="I185" s="332">
        <f t="shared" ref="I185" si="222">H185+1</f>
        <v>43246</v>
      </c>
      <c r="J185" s="157"/>
      <c r="K185" s="157"/>
      <c r="L185" s="157"/>
    </row>
    <row r="186" spans="2:12" ht="15" customHeight="1">
      <c r="B186" s="157"/>
      <c r="C186" s="942">
        <f t="shared" ref="C186:H186" si="223">SUMIFS(profitLoss,dateLog,"&gt;="&amp;C185,dateLog,"&lt;"&amp;D185)</f>
        <v>0</v>
      </c>
      <c r="D186" s="942">
        <f t="shared" si="223"/>
        <v>0</v>
      </c>
      <c r="E186" s="942">
        <f t="shared" si="223"/>
        <v>0</v>
      </c>
      <c r="F186" s="942">
        <f t="shared" si="223"/>
        <v>0</v>
      </c>
      <c r="G186" s="942">
        <f t="shared" si="223"/>
        <v>0</v>
      </c>
      <c r="H186" s="942">
        <f t="shared" si="223"/>
        <v>0</v>
      </c>
      <c r="I186" s="942">
        <f>SUMIFS(profitLoss,dateLog,"&gt;="&amp;I185,dateLog,"&lt;"&amp;C188)</f>
        <v>0</v>
      </c>
      <c r="J186" s="157"/>
      <c r="K186" s="157"/>
      <c r="L186" s="157"/>
    </row>
    <row r="187" spans="2:12" ht="15" customHeight="1" thickBot="1">
      <c r="B187" s="157"/>
      <c r="C187" s="486">
        <f t="shared" ref="C187:I187" si="224">COUNTIFS(dateLog,"&gt;="&amp;C185,dateLog,"&lt;"&amp;D185,actionLog,"sell")+COUNTIFS(dateLog,"&gt;="&amp;C185,dateLog,"&lt;"&amp;D185,actionLog,"cover")</f>
        <v>0</v>
      </c>
      <c r="D187" s="486">
        <f t="shared" si="224"/>
        <v>0</v>
      </c>
      <c r="E187" s="486">
        <f t="shared" si="224"/>
        <v>0</v>
      </c>
      <c r="F187" s="486">
        <f t="shared" si="224"/>
        <v>0</v>
      </c>
      <c r="G187" s="486">
        <f t="shared" si="224"/>
        <v>0</v>
      </c>
      <c r="H187" s="486">
        <f t="shared" si="224"/>
        <v>0</v>
      </c>
      <c r="I187" s="486">
        <f t="shared" si="224"/>
        <v>0</v>
      </c>
      <c r="J187" s="157"/>
      <c r="K187" s="157"/>
      <c r="L187" s="157"/>
    </row>
    <row r="188" spans="2:12" ht="15" customHeight="1" thickTop="1">
      <c r="B188" s="157"/>
      <c r="C188" s="332">
        <f>IFERROR(IF(MONTH(C174)&lt;&gt;MONTH(I185+1),"",(I185+1)),"")</f>
        <v>43247</v>
      </c>
      <c r="D188" s="332">
        <f>IFERROR(IF(MONTH(C174)&lt;&gt;MONTH(C188+1),"",(C188+1)),"")</f>
        <v>43248</v>
      </c>
      <c r="E188" s="332">
        <f>IFERROR(IF(MONTH(C174)&lt;&gt;MONTH(D188+1),"",(D188+1)),"")</f>
        <v>43249</v>
      </c>
      <c r="F188" s="332">
        <f>IFERROR(IF(MONTH(C174)&lt;&gt;MONTH(E188+1),"",(E188+1)),"")</f>
        <v>43250</v>
      </c>
      <c r="G188" s="332">
        <f>IFERROR(IF(MONTH(C174)&lt;&gt;MONTH(F188+1),"",(F188+1)),"")</f>
        <v>43251</v>
      </c>
      <c r="H188" s="332" t="str">
        <f>IFERROR(IF(MONTH(C174)&lt;&gt;MONTH(G188+1),"",(G188+1)),"")</f>
        <v/>
      </c>
      <c r="I188" s="332" t="str">
        <f>IFERROR(IF(MONTH(C174)&lt;&gt;MONTH(H188+1),"",(H188+1)),"")</f>
        <v/>
      </c>
      <c r="J188" s="157"/>
      <c r="K188" s="157"/>
      <c r="L188" s="157"/>
    </row>
    <row r="189" spans="2:12" ht="15" customHeight="1">
      <c r="B189" s="157"/>
      <c r="C189" s="942">
        <f t="shared" ref="C189:H189" si="225">SUMIFS(profitLoss,dateLog,"&gt;="&amp;C188,dateLog,"&lt;"&amp;D188)</f>
        <v>0</v>
      </c>
      <c r="D189" s="942">
        <f t="shared" si="225"/>
        <v>0</v>
      </c>
      <c r="E189" s="942">
        <f t="shared" si="225"/>
        <v>0</v>
      </c>
      <c r="F189" s="942">
        <f t="shared" si="225"/>
        <v>0</v>
      </c>
      <c r="G189" s="942">
        <f t="shared" si="225"/>
        <v>0</v>
      </c>
      <c r="H189" s="942">
        <f t="shared" si="225"/>
        <v>0</v>
      </c>
      <c r="I189" s="942">
        <f>SUMIFS(profitLoss,dateLog,"&gt;="&amp;I188,dateLog,"&lt;"&amp;C191)</f>
        <v>0</v>
      </c>
      <c r="J189" s="157"/>
      <c r="K189" s="157"/>
      <c r="L189" s="157"/>
    </row>
    <row r="190" spans="2:12" ht="15" customHeight="1" thickBot="1">
      <c r="B190" s="157"/>
      <c r="C190" s="486">
        <f t="shared" ref="C190:I190" si="226">COUNTIFS(dateLog,"&gt;="&amp;C188,dateLog,"&lt;"&amp;D188,actionLog,"sell")+COUNTIFS(dateLog,"&gt;="&amp;C188,dateLog,"&lt;"&amp;D188,actionLog,"cover")</f>
        <v>0</v>
      </c>
      <c r="D190" s="486">
        <f t="shared" si="226"/>
        <v>0</v>
      </c>
      <c r="E190" s="486">
        <f t="shared" si="226"/>
        <v>0</v>
      </c>
      <c r="F190" s="486">
        <f t="shared" si="226"/>
        <v>0</v>
      </c>
      <c r="G190" s="486">
        <f t="shared" si="226"/>
        <v>0</v>
      </c>
      <c r="H190" s="486">
        <f t="shared" si="226"/>
        <v>0</v>
      </c>
      <c r="I190" s="486">
        <f t="shared" si="226"/>
        <v>0</v>
      </c>
      <c r="J190" s="157"/>
      <c r="K190" s="157"/>
      <c r="L190" s="157"/>
    </row>
    <row r="191" spans="2:12" ht="15" customHeight="1" thickTop="1">
      <c r="B191" s="157"/>
      <c r="C191" s="332" t="str">
        <f>IFERROR(IF(MONTH(C174)&lt;&gt;MONTH(I188+1),"",(I188+1)),"")</f>
        <v/>
      </c>
      <c r="D191" s="332" t="str">
        <f>IFERROR(IF(MONTH(C174)&lt;&gt;MONTH(C191+1),"",(C191+1)),"")</f>
        <v/>
      </c>
      <c r="E191" s="332" t="str">
        <f>IFERROR(IF(MONTH(C174)&lt;&gt;MONTH(D191+1),"",(D191+1)),"")</f>
        <v/>
      </c>
      <c r="F191" s="332" t="str">
        <f>IFERROR(IF(MONTH(C174)&lt;&gt;MONTH(E191+1),"",(E191+1)),"")</f>
        <v/>
      </c>
      <c r="G191" s="332" t="str">
        <f>IFERROR(IF(MONTH(C174)&lt;&gt;MONTH(F191+1),"",(F191+1)),"")</f>
        <v/>
      </c>
      <c r="H191" s="332" t="str">
        <f>IFERROR(IF(MONTH(C174)&lt;&gt;MONTH(G191+1),"",(G191+1)),"")</f>
        <v/>
      </c>
      <c r="I191" s="332" t="str">
        <f>IFERROR(IF(MONTH(C174)&lt;&gt;MONTH(H191+1),"",(H191+1)),"")</f>
        <v/>
      </c>
      <c r="J191" s="157"/>
      <c r="K191" s="157"/>
      <c r="L191" s="157"/>
    </row>
    <row r="192" spans="2:12" ht="15" customHeight="1">
      <c r="B192" s="157"/>
      <c r="C192" s="942">
        <f t="shared" ref="C192:H192" si="227">SUMIFS(profitLoss,dateLog,"&gt;="&amp;C191,dateLog,"&lt;"&amp;D191)</f>
        <v>0</v>
      </c>
      <c r="D192" s="942">
        <f t="shared" si="227"/>
        <v>0</v>
      </c>
      <c r="E192" s="942">
        <f t="shared" si="227"/>
        <v>0</v>
      </c>
      <c r="F192" s="942">
        <f t="shared" si="227"/>
        <v>0</v>
      </c>
      <c r="G192" s="942">
        <f t="shared" si="227"/>
        <v>0</v>
      </c>
      <c r="H192" s="942">
        <f t="shared" si="227"/>
        <v>0</v>
      </c>
      <c r="I192" s="942">
        <f>SUMIFS(profitLoss,dateLog,"&gt;="&amp;I191,dateLog,"&lt;"&amp;C194)</f>
        <v>0</v>
      </c>
      <c r="J192" s="157"/>
      <c r="K192" s="157"/>
      <c r="L192" s="157"/>
    </row>
    <row r="193" spans="2:12" ht="15" customHeight="1">
      <c r="B193" s="157"/>
      <c r="C193" s="487">
        <f t="shared" ref="C193:I193" si="228">COUNTIFS(dateLog,"&gt;="&amp;C191,dateLog,"&lt;"&amp;D191,actionLog,"sell")+COUNTIFS(dateLog,"&gt;="&amp;C191,dateLog,"&lt;"&amp;D191,actionLog,"cover")</f>
        <v>0</v>
      </c>
      <c r="D193" s="487">
        <f t="shared" si="228"/>
        <v>0</v>
      </c>
      <c r="E193" s="487">
        <f t="shared" si="228"/>
        <v>0</v>
      </c>
      <c r="F193" s="487">
        <f t="shared" si="228"/>
        <v>0</v>
      </c>
      <c r="G193" s="487">
        <f t="shared" si="228"/>
        <v>0</v>
      </c>
      <c r="H193" s="487">
        <f t="shared" si="228"/>
        <v>0</v>
      </c>
      <c r="I193" s="487">
        <f t="shared" si="228"/>
        <v>0</v>
      </c>
      <c r="J193" s="157"/>
      <c r="K193" s="157"/>
      <c r="L193" s="157"/>
    </row>
    <row r="194" spans="2:12" ht="18" customHeight="1" thickBot="1">
      <c r="B194" s="157"/>
      <c r="C194" s="183"/>
      <c r="D194" s="183"/>
      <c r="E194" s="183"/>
      <c r="F194" s="183"/>
      <c r="G194" s="183"/>
      <c r="H194" s="183"/>
      <c r="I194" s="183"/>
      <c r="J194" s="157"/>
      <c r="K194" s="157"/>
      <c r="L194" s="157"/>
    </row>
    <row r="195" spans="2:12" ht="21.95" customHeight="1">
      <c r="B195" s="157"/>
      <c r="C195" s="184">
        <f>EOMONTH(C174,0)+1</f>
        <v>43252</v>
      </c>
      <c r="D195" s="185"/>
      <c r="E195" s="186"/>
      <c r="F195" s="187"/>
      <c r="G195" s="188"/>
      <c r="H195" s="188"/>
      <c r="I195" s="188"/>
      <c r="J195" s="157"/>
      <c r="K195" s="157"/>
      <c r="L195" s="157"/>
    </row>
    <row r="196" spans="2:12" ht="24.95" customHeight="1" thickBot="1">
      <c r="B196" s="157"/>
      <c r="C196" s="334" t="s">
        <v>615</v>
      </c>
      <c r="D196" s="334" t="s">
        <v>616</v>
      </c>
      <c r="E196" s="334" t="s">
        <v>617</v>
      </c>
      <c r="F196" s="334" t="s">
        <v>618</v>
      </c>
      <c r="G196" s="334" t="s">
        <v>619</v>
      </c>
      <c r="H196" s="334" t="s">
        <v>620</v>
      </c>
      <c r="I196" s="334" t="s">
        <v>621</v>
      </c>
      <c r="J196" s="157"/>
      <c r="K196" s="157"/>
      <c r="L196" s="157"/>
    </row>
    <row r="197" spans="2:12" ht="15" customHeight="1" thickTop="1">
      <c r="B197" s="157"/>
      <c r="C197" s="332" t="str">
        <f>IF(MONTH(C195)&lt;&gt;MONTH((C195-WEEKDAY(C195,1)+1)),"",(C195-WEEKDAY(C195,1)+1))</f>
        <v/>
      </c>
      <c r="D197" s="332" t="str">
        <f>IF(MONTH(C195)&lt;&gt;MONTH((C195-WEEKDAY(C195,1)+2)),"",(C195-WEEKDAY(C195,1)+2))</f>
        <v/>
      </c>
      <c r="E197" s="332" t="str">
        <f>IF(MONTH(C195)&lt;&gt;MONTH((C195-WEEKDAY(C195,1)+3)),"",(C195-WEEKDAY(C195,1)+3))</f>
        <v/>
      </c>
      <c r="F197" s="332" t="str">
        <f>IF(MONTH(C195)&lt;&gt;MONTH((C195-WEEKDAY(C195,1)+4)),"",(C195-WEEKDAY(C195,1)+4))</f>
        <v/>
      </c>
      <c r="G197" s="332" t="str">
        <f>IF(MONTH(C195)&lt;&gt;MONTH((C195-WEEKDAY(C195,1)+5)),"",(C195-WEEKDAY(C195,1)+5))</f>
        <v/>
      </c>
      <c r="H197" s="332">
        <f>IF(MONTH(C195)&lt;&gt;MONTH((C195-WEEKDAY(C195,1)+6)),"",(C195-WEEKDAY(C195,1)+6))</f>
        <v>43252</v>
      </c>
      <c r="I197" s="332">
        <f>IF(MONTH(C195)&lt;&gt;MONTH((C195-WEEKDAY(C195,1)+7)),"",(C195-WEEKDAY(C195,1)+7))</f>
        <v>43253</v>
      </c>
      <c r="J197" s="157"/>
      <c r="K197" s="157"/>
      <c r="L197" s="157"/>
    </row>
    <row r="198" spans="2:12" ht="15" customHeight="1">
      <c r="B198" s="157"/>
      <c r="C198" s="179">
        <f t="shared" ref="C198:H198" si="229">SUMIFS(profitLoss,dateLog,"&gt;="&amp;C197,dateLog,"&lt;"&amp;D197)</f>
        <v>0</v>
      </c>
      <c r="D198" s="179">
        <f t="shared" si="229"/>
        <v>0</v>
      </c>
      <c r="E198" s="179">
        <f t="shared" si="229"/>
        <v>0</v>
      </c>
      <c r="F198" s="179">
        <f t="shared" si="229"/>
        <v>0</v>
      </c>
      <c r="G198" s="179">
        <f t="shared" si="229"/>
        <v>0</v>
      </c>
      <c r="H198" s="179">
        <f t="shared" si="229"/>
        <v>0</v>
      </c>
      <c r="I198" s="179">
        <f>SUMIFS(profitLoss,dateLog,"&gt;="&amp;I197,dateLog,"&lt;"&amp;C200)</f>
        <v>0</v>
      </c>
      <c r="J198" s="157"/>
      <c r="K198" s="157"/>
      <c r="L198" s="157"/>
    </row>
    <row r="199" spans="2:12" ht="15" customHeight="1" thickBot="1">
      <c r="B199" s="157"/>
      <c r="C199" s="486">
        <f t="shared" ref="C199:H199" si="230">COUNTIFS(dateLog,"&gt;="&amp;C197,dateLog,"&lt;"&amp;D197)</f>
        <v>0</v>
      </c>
      <c r="D199" s="486">
        <f t="shared" si="230"/>
        <v>0</v>
      </c>
      <c r="E199" s="486">
        <f t="shared" si="230"/>
        <v>0</v>
      </c>
      <c r="F199" s="486">
        <f t="shared" si="230"/>
        <v>0</v>
      </c>
      <c r="G199" s="486">
        <f t="shared" si="230"/>
        <v>0</v>
      </c>
      <c r="H199" s="486">
        <f t="shared" si="230"/>
        <v>0</v>
      </c>
      <c r="I199" s="486">
        <f>COUNTIFS(dateLog,"&gt;="&amp;I197,dateLog,"&lt;"&amp;(I197+1))</f>
        <v>0</v>
      </c>
      <c r="J199" s="157"/>
      <c r="K199" s="157"/>
      <c r="L199" s="157"/>
    </row>
    <row r="200" spans="2:12" ht="15" customHeight="1" thickTop="1">
      <c r="B200" s="157"/>
      <c r="C200" s="332">
        <f>I197+1</f>
        <v>43254</v>
      </c>
      <c r="D200" s="332">
        <f>C200+1</f>
        <v>43255</v>
      </c>
      <c r="E200" s="332">
        <f t="shared" ref="E200" si="231">D200+1</f>
        <v>43256</v>
      </c>
      <c r="F200" s="332">
        <f t="shared" ref="F200" si="232">E200+1</f>
        <v>43257</v>
      </c>
      <c r="G200" s="332">
        <f t="shared" ref="G200" si="233">F200+1</f>
        <v>43258</v>
      </c>
      <c r="H200" s="332">
        <f t="shared" ref="H200" si="234">G200+1</f>
        <v>43259</v>
      </c>
      <c r="I200" s="332">
        <f t="shared" ref="I200" si="235">H200+1</f>
        <v>43260</v>
      </c>
      <c r="J200" s="157"/>
      <c r="K200" s="157"/>
      <c r="L200" s="157"/>
    </row>
    <row r="201" spans="2:12" ht="15" customHeight="1">
      <c r="B201" s="157"/>
      <c r="C201" s="942">
        <f t="shared" ref="C201:H201" si="236">SUMIFS(profitLoss,dateLog,"&gt;="&amp;C200,dateLog,"&lt;"&amp;D200)</f>
        <v>0</v>
      </c>
      <c r="D201" s="942">
        <f t="shared" si="236"/>
        <v>0</v>
      </c>
      <c r="E201" s="942">
        <f t="shared" si="236"/>
        <v>0</v>
      </c>
      <c r="F201" s="942">
        <f t="shared" si="236"/>
        <v>0</v>
      </c>
      <c r="G201" s="942">
        <f t="shared" si="236"/>
        <v>0</v>
      </c>
      <c r="H201" s="942">
        <f t="shared" si="236"/>
        <v>0</v>
      </c>
      <c r="I201" s="942">
        <f>SUMIFS(profitLoss,dateLog,"&gt;="&amp;I200,dateLog,"&lt;"&amp;C203)</f>
        <v>0</v>
      </c>
      <c r="J201" s="157"/>
      <c r="K201" s="157"/>
      <c r="L201" s="157"/>
    </row>
    <row r="202" spans="2:12" ht="15" customHeight="1" thickBot="1">
      <c r="B202" s="157"/>
      <c r="C202" s="486">
        <f t="shared" ref="C202:I202" si="237">COUNTIFS(dateLog,"&gt;="&amp;C200,dateLog,"&lt;"&amp;D200,actionLog,"sell")+COUNTIFS(dateLog,"&gt;="&amp;C200,dateLog,"&lt;"&amp;D200,actionLog,"cover")</f>
        <v>0</v>
      </c>
      <c r="D202" s="486">
        <f t="shared" si="237"/>
        <v>0</v>
      </c>
      <c r="E202" s="486">
        <f t="shared" si="237"/>
        <v>0</v>
      </c>
      <c r="F202" s="486">
        <f t="shared" si="237"/>
        <v>0</v>
      </c>
      <c r="G202" s="486">
        <f t="shared" si="237"/>
        <v>0</v>
      </c>
      <c r="H202" s="486">
        <f t="shared" si="237"/>
        <v>0</v>
      </c>
      <c r="I202" s="486">
        <f t="shared" si="237"/>
        <v>0</v>
      </c>
      <c r="J202" s="157"/>
      <c r="K202" s="157"/>
      <c r="L202" s="157"/>
    </row>
    <row r="203" spans="2:12" ht="15" customHeight="1" thickTop="1">
      <c r="B203" s="157"/>
      <c r="C203" s="332">
        <f>I200+1</f>
        <v>43261</v>
      </c>
      <c r="D203" s="332">
        <f>C203+1</f>
        <v>43262</v>
      </c>
      <c r="E203" s="332">
        <f t="shared" ref="E203" si="238">D203+1</f>
        <v>43263</v>
      </c>
      <c r="F203" s="332">
        <f t="shared" ref="F203" si="239">E203+1</f>
        <v>43264</v>
      </c>
      <c r="G203" s="332">
        <f t="shared" ref="G203" si="240">F203+1</f>
        <v>43265</v>
      </c>
      <c r="H203" s="332">
        <f t="shared" ref="H203" si="241">G203+1</f>
        <v>43266</v>
      </c>
      <c r="I203" s="332">
        <f t="shared" ref="I203" si="242">H203+1</f>
        <v>43267</v>
      </c>
      <c r="J203" s="157"/>
      <c r="K203" s="157"/>
      <c r="L203" s="157"/>
    </row>
    <row r="204" spans="2:12" ht="15" customHeight="1">
      <c r="B204" s="157"/>
      <c r="C204" s="942">
        <f t="shared" ref="C204:H204" si="243">SUMIFS(profitLoss,dateLog,"&gt;="&amp;C203,dateLog,"&lt;"&amp;D203)</f>
        <v>0</v>
      </c>
      <c r="D204" s="942">
        <f t="shared" si="243"/>
        <v>0</v>
      </c>
      <c r="E204" s="942">
        <f t="shared" si="243"/>
        <v>0</v>
      </c>
      <c r="F204" s="942">
        <f t="shared" si="243"/>
        <v>0</v>
      </c>
      <c r="G204" s="942">
        <f t="shared" si="243"/>
        <v>0</v>
      </c>
      <c r="H204" s="942">
        <f t="shared" si="243"/>
        <v>0</v>
      </c>
      <c r="I204" s="942">
        <f>SUMIFS(profitLoss,dateLog,"&gt;="&amp;I203,dateLog,"&lt;"&amp;C206)</f>
        <v>0</v>
      </c>
      <c r="J204" s="157"/>
      <c r="K204" s="157"/>
      <c r="L204" s="157"/>
    </row>
    <row r="205" spans="2:12" ht="15" customHeight="1" thickBot="1">
      <c r="B205" s="180"/>
      <c r="C205" s="486">
        <f t="shared" ref="C205:I205" si="244">COUNTIFS(dateLog,"&gt;="&amp;C203,dateLog,"&lt;"&amp;D203,actionLog,"sell")+COUNTIFS(dateLog,"&gt;="&amp;C203,dateLog,"&lt;"&amp;D203,actionLog,"cover")</f>
        <v>0</v>
      </c>
      <c r="D205" s="486">
        <f t="shared" si="244"/>
        <v>0</v>
      </c>
      <c r="E205" s="486">
        <f t="shared" si="244"/>
        <v>0</v>
      </c>
      <c r="F205" s="486">
        <f t="shared" si="244"/>
        <v>0</v>
      </c>
      <c r="G205" s="486">
        <f t="shared" si="244"/>
        <v>0</v>
      </c>
      <c r="H205" s="486">
        <f t="shared" si="244"/>
        <v>0</v>
      </c>
      <c r="I205" s="486">
        <f t="shared" si="244"/>
        <v>0</v>
      </c>
      <c r="J205" s="180"/>
      <c r="K205" s="180"/>
      <c r="L205" s="157"/>
    </row>
    <row r="206" spans="2:12" ht="15" customHeight="1" thickTop="1">
      <c r="B206" s="157"/>
      <c r="C206" s="332">
        <f>I203+1</f>
        <v>43268</v>
      </c>
      <c r="D206" s="332">
        <f>C206+1</f>
        <v>43269</v>
      </c>
      <c r="E206" s="332">
        <f t="shared" ref="E206" si="245">D206+1</f>
        <v>43270</v>
      </c>
      <c r="F206" s="332">
        <f t="shared" ref="F206" si="246">E206+1</f>
        <v>43271</v>
      </c>
      <c r="G206" s="332">
        <f t="shared" ref="G206" si="247">F206+1</f>
        <v>43272</v>
      </c>
      <c r="H206" s="332">
        <f t="shared" ref="H206" si="248">G206+1</f>
        <v>43273</v>
      </c>
      <c r="I206" s="332">
        <f t="shared" ref="I206" si="249">H206+1</f>
        <v>43274</v>
      </c>
      <c r="J206" s="157"/>
      <c r="K206" s="157"/>
      <c r="L206" s="157"/>
    </row>
    <row r="207" spans="2:12" ht="15" customHeight="1">
      <c r="B207" s="157"/>
      <c r="C207" s="942">
        <f t="shared" ref="C207:H207" si="250">SUMIFS(profitLoss,dateLog,"&gt;="&amp;C206,dateLog,"&lt;"&amp;D206)</f>
        <v>0</v>
      </c>
      <c r="D207" s="942">
        <f t="shared" si="250"/>
        <v>0</v>
      </c>
      <c r="E207" s="942">
        <f t="shared" si="250"/>
        <v>0</v>
      </c>
      <c r="F207" s="942">
        <f t="shared" si="250"/>
        <v>0</v>
      </c>
      <c r="G207" s="942">
        <f t="shared" si="250"/>
        <v>0</v>
      </c>
      <c r="H207" s="942">
        <f t="shared" si="250"/>
        <v>0</v>
      </c>
      <c r="I207" s="942">
        <f>SUMIFS(profitLoss,dateLog,"&gt;="&amp;I206,dateLog,"&lt;"&amp;C209)</f>
        <v>0</v>
      </c>
      <c r="J207" s="157"/>
      <c r="K207" s="157"/>
      <c r="L207" s="157"/>
    </row>
    <row r="208" spans="2:12" ht="15" customHeight="1" thickBot="1">
      <c r="B208" s="157"/>
      <c r="C208" s="486">
        <f t="shared" ref="C208:I208" si="251">COUNTIFS(dateLog,"&gt;="&amp;C206,dateLog,"&lt;"&amp;D206,actionLog,"sell")+COUNTIFS(dateLog,"&gt;="&amp;C206,dateLog,"&lt;"&amp;D206,actionLog,"cover")</f>
        <v>0</v>
      </c>
      <c r="D208" s="486">
        <f t="shared" si="251"/>
        <v>0</v>
      </c>
      <c r="E208" s="486">
        <f t="shared" si="251"/>
        <v>0</v>
      </c>
      <c r="F208" s="486">
        <f t="shared" si="251"/>
        <v>0</v>
      </c>
      <c r="G208" s="486">
        <f t="shared" si="251"/>
        <v>0</v>
      </c>
      <c r="H208" s="486">
        <f t="shared" si="251"/>
        <v>0</v>
      </c>
      <c r="I208" s="486">
        <f t="shared" si="251"/>
        <v>0</v>
      </c>
      <c r="J208" s="157"/>
      <c r="K208" s="157"/>
      <c r="L208" s="157"/>
    </row>
    <row r="209" spans="2:12" ht="15" customHeight="1" thickTop="1">
      <c r="B209" s="157"/>
      <c r="C209" s="332">
        <f>IFERROR(IF(MONTH(C195)&lt;&gt;MONTH(I206+1),"",(I206+1)),"")</f>
        <v>43275</v>
      </c>
      <c r="D209" s="332">
        <f>IFERROR(IF(MONTH(C195)&lt;&gt;MONTH(C209+1),"",(C209+1)),"")</f>
        <v>43276</v>
      </c>
      <c r="E209" s="332">
        <f>IFERROR(IF(MONTH(C195)&lt;&gt;MONTH(D209+1),"",(D209+1)),"")</f>
        <v>43277</v>
      </c>
      <c r="F209" s="332">
        <f>IFERROR(IF(MONTH(C195)&lt;&gt;MONTH(E209+1),"",(E209+1)),"")</f>
        <v>43278</v>
      </c>
      <c r="G209" s="332">
        <f>IFERROR(IF(MONTH(C195)&lt;&gt;MONTH(F209+1),"",(F209+1)),"")</f>
        <v>43279</v>
      </c>
      <c r="H209" s="332">
        <f>IFERROR(IF(MONTH(C195)&lt;&gt;MONTH(G209+1),"",(G209+1)),"")</f>
        <v>43280</v>
      </c>
      <c r="I209" s="332">
        <f>IFERROR(IF(MONTH(C195)&lt;&gt;MONTH(H209+1),"",(H209+1)),"")</f>
        <v>43281</v>
      </c>
      <c r="J209" s="157"/>
      <c r="K209" s="157"/>
      <c r="L209" s="157"/>
    </row>
    <row r="210" spans="2:12" ht="15" customHeight="1">
      <c r="B210" s="157"/>
      <c r="C210" s="942">
        <f t="shared" ref="C210:H210" si="252">SUMIFS(profitLoss,dateLog,"&gt;="&amp;C209,dateLog,"&lt;"&amp;D209)</f>
        <v>0</v>
      </c>
      <c r="D210" s="942">
        <f t="shared" si="252"/>
        <v>0</v>
      </c>
      <c r="E210" s="942">
        <f t="shared" si="252"/>
        <v>0</v>
      </c>
      <c r="F210" s="942">
        <f t="shared" si="252"/>
        <v>0</v>
      </c>
      <c r="G210" s="942">
        <f t="shared" si="252"/>
        <v>0</v>
      </c>
      <c r="H210" s="942">
        <f t="shared" si="252"/>
        <v>0</v>
      </c>
      <c r="I210" s="942">
        <f>SUMIFS(profitLoss,dateLog,"&gt;="&amp;I209,dateLog,"&lt;"&amp;C212)</f>
        <v>0</v>
      </c>
      <c r="J210" s="157"/>
      <c r="K210" s="157"/>
      <c r="L210" s="157"/>
    </row>
    <row r="211" spans="2:12" ht="15" customHeight="1" thickBot="1">
      <c r="B211" s="157"/>
      <c r="C211" s="486">
        <f t="shared" ref="C211:I211" si="253">COUNTIFS(dateLog,"&gt;="&amp;C209,dateLog,"&lt;"&amp;D209,actionLog,"sell")+COUNTIFS(dateLog,"&gt;="&amp;C209,dateLog,"&lt;"&amp;D209,actionLog,"cover")</f>
        <v>0</v>
      </c>
      <c r="D211" s="486">
        <f t="shared" si="253"/>
        <v>0</v>
      </c>
      <c r="E211" s="486">
        <f t="shared" si="253"/>
        <v>0</v>
      </c>
      <c r="F211" s="486">
        <f t="shared" si="253"/>
        <v>0</v>
      </c>
      <c r="G211" s="486">
        <f t="shared" si="253"/>
        <v>0</v>
      </c>
      <c r="H211" s="486">
        <f t="shared" si="253"/>
        <v>0</v>
      </c>
      <c r="I211" s="486">
        <f t="shared" si="253"/>
        <v>0</v>
      </c>
      <c r="J211" s="157"/>
      <c r="K211" s="157"/>
      <c r="L211" s="157"/>
    </row>
    <row r="212" spans="2:12" ht="15" customHeight="1" thickTop="1">
      <c r="B212" s="157"/>
      <c r="C212" s="332" t="str">
        <f>IFERROR(IF(MONTH(C195)&lt;&gt;MONTH(I209+1),"",(I209+1)),"")</f>
        <v/>
      </c>
      <c r="D212" s="332" t="str">
        <f>IFERROR(IF(MONTH(C195)&lt;&gt;MONTH(C212+1),"",(C212+1)),"")</f>
        <v/>
      </c>
      <c r="E212" s="332" t="str">
        <f>IFERROR(IF(MONTH(C195)&lt;&gt;MONTH(D212+1),"",(D212+1)),"")</f>
        <v/>
      </c>
      <c r="F212" s="332" t="str">
        <f>IFERROR(IF(MONTH(C195)&lt;&gt;MONTH(E212+1),"",(E212+1)),"")</f>
        <v/>
      </c>
      <c r="G212" s="332" t="str">
        <f>IFERROR(IF(MONTH(C195)&lt;&gt;MONTH(F212+1),"",(F212+1)),"")</f>
        <v/>
      </c>
      <c r="H212" s="332" t="str">
        <f>IFERROR(IF(MONTH(C195)&lt;&gt;MONTH(G212+1),"",(G212+1)),"")</f>
        <v/>
      </c>
      <c r="I212" s="332" t="str">
        <f>IFERROR(IF(MONTH(C195)&lt;&gt;MONTH(H212+1),"",(H212+1)),"")</f>
        <v/>
      </c>
      <c r="J212" s="157"/>
      <c r="K212" s="157"/>
      <c r="L212" s="157"/>
    </row>
    <row r="213" spans="2:12" ht="15" customHeight="1">
      <c r="B213" s="157"/>
      <c r="C213" s="942">
        <f t="shared" ref="C213:H213" si="254">SUMIFS(profitLoss,dateLog,"&gt;="&amp;C212,dateLog,"&lt;"&amp;D212)</f>
        <v>0</v>
      </c>
      <c r="D213" s="942">
        <f t="shared" si="254"/>
        <v>0</v>
      </c>
      <c r="E213" s="942">
        <f t="shared" si="254"/>
        <v>0</v>
      </c>
      <c r="F213" s="942">
        <f t="shared" si="254"/>
        <v>0</v>
      </c>
      <c r="G213" s="942">
        <f t="shared" si="254"/>
        <v>0</v>
      </c>
      <c r="H213" s="942">
        <f t="shared" si="254"/>
        <v>0</v>
      </c>
      <c r="I213" s="942">
        <f>SUMIFS(profitLoss,dateLog,"&gt;="&amp;I212,dateLog,"&lt;"&amp;C215)</f>
        <v>0</v>
      </c>
      <c r="J213" s="157"/>
      <c r="K213" s="157"/>
      <c r="L213" s="157"/>
    </row>
    <row r="214" spans="2:12" ht="15" customHeight="1">
      <c r="B214" s="157"/>
      <c r="C214" s="487">
        <f t="shared" ref="C214:I214" si="255">COUNTIFS(dateLog,"&gt;="&amp;C212,dateLog,"&lt;"&amp;D212,actionLog,"sell")+COUNTIFS(dateLog,"&gt;="&amp;C212,dateLog,"&lt;"&amp;D212,actionLog,"cover")</f>
        <v>0</v>
      </c>
      <c r="D214" s="487">
        <f t="shared" si="255"/>
        <v>0</v>
      </c>
      <c r="E214" s="487">
        <f t="shared" si="255"/>
        <v>0</v>
      </c>
      <c r="F214" s="487">
        <f t="shared" si="255"/>
        <v>0</v>
      </c>
      <c r="G214" s="487">
        <f t="shared" si="255"/>
        <v>0</v>
      </c>
      <c r="H214" s="487">
        <f t="shared" si="255"/>
        <v>0</v>
      </c>
      <c r="I214" s="487">
        <f t="shared" si="255"/>
        <v>0</v>
      </c>
      <c r="J214" s="157"/>
      <c r="K214" s="157"/>
      <c r="L214" s="157"/>
    </row>
    <row r="215" spans="2:12" ht="18" customHeight="1" thickBot="1">
      <c r="B215" s="157"/>
      <c r="C215" s="183"/>
      <c r="D215" s="183"/>
      <c r="E215" s="183"/>
      <c r="F215" s="183"/>
      <c r="G215" s="183"/>
      <c r="H215" s="183"/>
      <c r="I215" s="183"/>
      <c r="J215" s="157"/>
      <c r="K215" s="157"/>
      <c r="L215" s="157"/>
    </row>
    <row r="216" spans="2:12" ht="21.95" customHeight="1">
      <c r="B216" s="157"/>
      <c r="C216" s="184">
        <f>EOMONTH(C195,0)+1</f>
        <v>43282</v>
      </c>
      <c r="D216" s="185"/>
      <c r="E216" s="186"/>
      <c r="F216" s="187"/>
      <c r="G216" s="188"/>
      <c r="H216" s="188"/>
      <c r="I216" s="188"/>
      <c r="J216" s="157"/>
      <c r="K216" s="157"/>
      <c r="L216" s="157"/>
    </row>
    <row r="217" spans="2:12" ht="24.95" customHeight="1" thickBot="1">
      <c r="B217" s="157"/>
      <c r="C217" s="334" t="s">
        <v>615</v>
      </c>
      <c r="D217" s="334" t="s">
        <v>616</v>
      </c>
      <c r="E217" s="334" t="s">
        <v>617</v>
      </c>
      <c r="F217" s="334" t="s">
        <v>618</v>
      </c>
      <c r="G217" s="334" t="s">
        <v>619</v>
      </c>
      <c r="H217" s="334" t="s">
        <v>620</v>
      </c>
      <c r="I217" s="334" t="s">
        <v>621</v>
      </c>
      <c r="J217" s="157"/>
      <c r="K217" s="157"/>
      <c r="L217" s="157"/>
    </row>
    <row r="218" spans="2:12" ht="15" customHeight="1" thickTop="1">
      <c r="B218" s="157"/>
      <c r="C218" s="332">
        <f>IF(MONTH(C216)&lt;&gt;MONTH((C216-WEEKDAY(C216,1)+1)),"",(C216-WEEKDAY(C216,1)+1))</f>
        <v>43282</v>
      </c>
      <c r="D218" s="332">
        <f>IF(MONTH(C216)&lt;&gt;MONTH((C216-WEEKDAY(C216,1)+2)),"",(C216-WEEKDAY(C216,1)+2))</f>
        <v>43283</v>
      </c>
      <c r="E218" s="332">
        <f>IF(MONTH(C216)&lt;&gt;MONTH((C216-WEEKDAY(C216,1)+3)),"",(C216-WEEKDAY(C216,1)+3))</f>
        <v>43284</v>
      </c>
      <c r="F218" s="332">
        <f>IF(MONTH(C216)&lt;&gt;MONTH((C216-WEEKDAY(C216,1)+4)),"",(C216-WEEKDAY(C216,1)+4))</f>
        <v>43285</v>
      </c>
      <c r="G218" s="332">
        <f>IF(MONTH(C216)&lt;&gt;MONTH((C216-WEEKDAY(C216,1)+5)),"",(C216-WEEKDAY(C216,1)+5))</f>
        <v>43286</v>
      </c>
      <c r="H218" s="332">
        <f>IF(MONTH(C216)&lt;&gt;MONTH((C216-WEEKDAY(C216,1)+6)),"",(C216-WEEKDAY(C216,1)+6))</f>
        <v>43287</v>
      </c>
      <c r="I218" s="332">
        <f>IF(MONTH(C216)&lt;&gt;MONTH((C216-WEEKDAY(C216,1)+7)),"",(C216-WEEKDAY(C216,1)+7))</f>
        <v>43288</v>
      </c>
      <c r="J218" s="157"/>
      <c r="K218" s="157"/>
      <c r="L218" s="157"/>
    </row>
    <row r="219" spans="2:12" ht="15" customHeight="1">
      <c r="B219" s="157"/>
      <c r="C219" s="179">
        <f t="shared" ref="C219:H219" si="256">SUMIFS(profitLoss,dateLog,"&gt;="&amp;C218,dateLog,"&lt;"&amp;D218)</f>
        <v>0</v>
      </c>
      <c r="D219" s="179">
        <f t="shared" si="256"/>
        <v>0</v>
      </c>
      <c r="E219" s="179">
        <f t="shared" si="256"/>
        <v>0</v>
      </c>
      <c r="F219" s="179">
        <f t="shared" si="256"/>
        <v>0</v>
      </c>
      <c r="G219" s="179">
        <f t="shared" si="256"/>
        <v>0</v>
      </c>
      <c r="H219" s="179">
        <f t="shared" si="256"/>
        <v>0</v>
      </c>
      <c r="I219" s="179">
        <f>SUMIFS(profitLoss,dateLog,"&gt;="&amp;I218,dateLog,"&lt;"&amp;C221)</f>
        <v>0</v>
      </c>
      <c r="J219" s="157"/>
      <c r="K219" s="157"/>
      <c r="L219" s="157"/>
    </row>
    <row r="220" spans="2:12" ht="15" customHeight="1" thickBot="1">
      <c r="B220" s="157"/>
      <c r="C220" s="486">
        <f t="shared" ref="C220:H220" si="257">COUNTIFS(dateLog,"&gt;="&amp;C218,dateLog,"&lt;"&amp;D218)</f>
        <v>0</v>
      </c>
      <c r="D220" s="486">
        <f t="shared" si="257"/>
        <v>0</v>
      </c>
      <c r="E220" s="486">
        <f t="shared" si="257"/>
        <v>0</v>
      </c>
      <c r="F220" s="486">
        <f t="shared" si="257"/>
        <v>0</v>
      </c>
      <c r="G220" s="486">
        <f t="shared" si="257"/>
        <v>0</v>
      </c>
      <c r="H220" s="486">
        <f t="shared" si="257"/>
        <v>0</v>
      </c>
      <c r="I220" s="486">
        <f>COUNTIFS(dateLog,"&gt;="&amp;I218,dateLog,"&lt;"&amp;(I218+1))</f>
        <v>0</v>
      </c>
      <c r="J220" s="157"/>
      <c r="K220" s="157"/>
      <c r="L220" s="157"/>
    </row>
    <row r="221" spans="2:12" ht="15" customHeight="1" thickTop="1">
      <c r="B221" s="157"/>
      <c r="C221" s="332">
        <f>I218+1</f>
        <v>43289</v>
      </c>
      <c r="D221" s="332">
        <f>C221+1</f>
        <v>43290</v>
      </c>
      <c r="E221" s="332">
        <f t="shared" ref="E221" si="258">D221+1</f>
        <v>43291</v>
      </c>
      <c r="F221" s="332">
        <f t="shared" ref="F221" si="259">E221+1</f>
        <v>43292</v>
      </c>
      <c r="G221" s="332">
        <f t="shared" ref="G221" si="260">F221+1</f>
        <v>43293</v>
      </c>
      <c r="H221" s="332">
        <f t="shared" ref="H221" si="261">G221+1</f>
        <v>43294</v>
      </c>
      <c r="I221" s="332">
        <f t="shared" ref="I221" si="262">H221+1</f>
        <v>43295</v>
      </c>
      <c r="J221" s="157"/>
      <c r="K221" s="157"/>
      <c r="L221" s="157"/>
    </row>
    <row r="222" spans="2:12" ht="15" customHeight="1">
      <c r="B222" s="157"/>
      <c r="C222" s="942">
        <f t="shared" ref="C222:H222" si="263">SUMIFS(profitLoss,dateLog,"&gt;="&amp;C221,dateLog,"&lt;"&amp;D221)</f>
        <v>0</v>
      </c>
      <c r="D222" s="942">
        <f t="shared" si="263"/>
        <v>0</v>
      </c>
      <c r="E222" s="942">
        <f t="shared" si="263"/>
        <v>0</v>
      </c>
      <c r="F222" s="942">
        <f t="shared" si="263"/>
        <v>0</v>
      </c>
      <c r="G222" s="942">
        <f t="shared" si="263"/>
        <v>0</v>
      </c>
      <c r="H222" s="942">
        <f t="shared" si="263"/>
        <v>0</v>
      </c>
      <c r="I222" s="942">
        <f>SUMIFS(profitLoss,dateLog,"&gt;="&amp;I221,dateLog,"&lt;"&amp;C224)</f>
        <v>0</v>
      </c>
      <c r="J222" s="157"/>
      <c r="K222" s="157"/>
      <c r="L222" s="157"/>
    </row>
    <row r="223" spans="2:12" ht="15" customHeight="1" thickBot="1">
      <c r="B223" s="157"/>
      <c r="C223" s="486">
        <f t="shared" ref="C223:I223" si="264">COUNTIFS(dateLog,"&gt;="&amp;C221,dateLog,"&lt;"&amp;D221,actionLog,"sell")+COUNTIFS(dateLog,"&gt;="&amp;C221,dateLog,"&lt;"&amp;D221,actionLog,"cover")</f>
        <v>0</v>
      </c>
      <c r="D223" s="486">
        <f t="shared" si="264"/>
        <v>0</v>
      </c>
      <c r="E223" s="486">
        <f t="shared" si="264"/>
        <v>0</v>
      </c>
      <c r="F223" s="486">
        <f t="shared" si="264"/>
        <v>0</v>
      </c>
      <c r="G223" s="486">
        <f t="shared" si="264"/>
        <v>0</v>
      </c>
      <c r="H223" s="486">
        <f t="shared" si="264"/>
        <v>0</v>
      </c>
      <c r="I223" s="486">
        <f t="shared" si="264"/>
        <v>0</v>
      </c>
      <c r="J223" s="157"/>
      <c r="K223" s="157"/>
      <c r="L223" s="157"/>
    </row>
    <row r="224" spans="2:12" ht="15" customHeight="1" thickTop="1">
      <c r="B224" s="157"/>
      <c r="C224" s="332">
        <f>I221+1</f>
        <v>43296</v>
      </c>
      <c r="D224" s="332">
        <f>C224+1</f>
        <v>43297</v>
      </c>
      <c r="E224" s="332">
        <f t="shared" ref="E224" si="265">D224+1</f>
        <v>43298</v>
      </c>
      <c r="F224" s="332">
        <f t="shared" ref="F224" si="266">E224+1</f>
        <v>43299</v>
      </c>
      <c r="G224" s="332">
        <f t="shared" ref="G224" si="267">F224+1</f>
        <v>43300</v>
      </c>
      <c r="H224" s="332">
        <f t="shared" ref="H224" si="268">G224+1</f>
        <v>43301</v>
      </c>
      <c r="I224" s="332">
        <f t="shared" ref="I224" si="269">H224+1</f>
        <v>43302</v>
      </c>
      <c r="J224" s="157"/>
      <c r="K224" s="157"/>
      <c r="L224" s="157"/>
    </row>
    <row r="225" spans="2:12" ht="15" customHeight="1">
      <c r="B225" s="157"/>
      <c r="C225" s="942">
        <f t="shared" ref="C225:H225" si="270">SUMIFS(profitLoss,dateLog,"&gt;="&amp;C224,dateLog,"&lt;"&amp;D224)</f>
        <v>0</v>
      </c>
      <c r="D225" s="942">
        <f t="shared" si="270"/>
        <v>0</v>
      </c>
      <c r="E225" s="942">
        <f t="shared" si="270"/>
        <v>0</v>
      </c>
      <c r="F225" s="942">
        <f t="shared" si="270"/>
        <v>0</v>
      </c>
      <c r="G225" s="942">
        <f t="shared" si="270"/>
        <v>0</v>
      </c>
      <c r="H225" s="942">
        <f t="shared" si="270"/>
        <v>0</v>
      </c>
      <c r="I225" s="942">
        <f>SUMIFS(profitLoss,dateLog,"&gt;="&amp;I224,dateLog,"&lt;"&amp;C227)</f>
        <v>0</v>
      </c>
      <c r="J225" s="157"/>
      <c r="K225" s="157"/>
      <c r="L225" s="157"/>
    </row>
    <row r="226" spans="2:12" ht="15" customHeight="1" thickBot="1">
      <c r="B226" s="157"/>
      <c r="C226" s="486">
        <f t="shared" ref="C226:I226" si="271">COUNTIFS(dateLog,"&gt;="&amp;C224,dateLog,"&lt;"&amp;D224,actionLog,"sell")+COUNTIFS(dateLog,"&gt;="&amp;C224,dateLog,"&lt;"&amp;D224,actionLog,"cover")</f>
        <v>0</v>
      </c>
      <c r="D226" s="486">
        <f t="shared" si="271"/>
        <v>0</v>
      </c>
      <c r="E226" s="486">
        <f t="shared" si="271"/>
        <v>0</v>
      </c>
      <c r="F226" s="486">
        <f t="shared" si="271"/>
        <v>0</v>
      </c>
      <c r="G226" s="486">
        <f t="shared" si="271"/>
        <v>0</v>
      </c>
      <c r="H226" s="486">
        <f t="shared" si="271"/>
        <v>0</v>
      </c>
      <c r="I226" s="486">
        <f t="shared" si="271"/>
        <v>0</v>
      </c>
      <c r="J226" s="157"/>
      <c r="K226" s="157"/>
      <c r="L226" s="157"/>
    </row>
    <row r="227" spans="2:12" ht="15" customHeight="1" thickTop="1">
      <c r="B227" s="157"/>
      <c r="C227" s="332">
        <f>I224+1</f>
        <v>43303</v>
      </c>
      <c r="D227" s="332">
        <f>C227+1</f>
        <v>43304</v>
      </c>
      <c r="E227" s="332">
        <f t="shared" ref="E227" si="272">D227+1</f>
        <v>43305</v>
      </c>
      <c r="F227" s="332">
        <f t="shared" ref="F227" si="273">E227+1</f>
        <v>43306</v>
      </c>
      <c r="G227" s="332">
        <f t="shared" ref="G227" si="274">F227+1</f>
        <v>43307</v>
      </c>
      <c r="H227" s="332">
        <f t="shared" ref="H227" si="275">G227+1</f>
        <v>43308</v>
      </c>
      <c r="I227" s="332">
        <f t="shared" ref="I227" si="276">H227+1</f>
        <v>43309</v>
      </c>
      <c r="J227" s="157"/>
      <c r="K227" s="157"/>
      <c r="L227" s="157"/>
    </row>
    <row r="228" spans="2:12" ht="15" customHeight="1">
      <c r="B228" s="157"/>
      <c r="C228" s="942">
        <f t="shared" ref="C228:H228" si="277">SUMIFS(profitLoss,dateLog,"&gt;="&amp;C227,dateLog,"&lt;"&amp;D227)</f>
        <v>0</v>
      </c>
      <c r="D228" s="942">
        <f t="shared" si="277"/>
        <v>0</v>
      </c>
      <c r="E228" s="942">
        <f t="shared" si="277"/>
        <v>0</v>
      </c>
      <c r="F228" s="942">
        <f t="shared" si="277"/>
        <v>0</v>
      </c>
      <c r="G228" s="942">
        <f t="shared" si="277"/>
        <v>0</v>
      </c>
      <c r="H228" s="942">
        <f t="shared" si="277"/>
        <v>0</v>
      </c>
      <c r="I228" s="942">
        <f>SUMIFS(profitLoss,dateLog,"&gt;="&amp;I227,dateLog,"&lt;"&amp;C230)</f>
        <v>0</v>
      </c>
      <c r="J228" s="157"/>
      <c r="K228" s="157"/>
      <c r="L228" s="157"/>
    </row>
    <row r="229" spans="2:12" ht="15" customHeight="1" thickBot="1">
      <c r="B229" s="157"/>
      <c r="C229" s="486">
        <f t="shared" ref="C229:I229" si="278">COUNTIFS(dateLog,"&gt;="&amp;C227,dateLog,"&lt;"&amp;D227,actionLog,"sell")+COUNTIFS(dateLog,"&gt;="&amp;C227,dateLog,"&lt;"&amp;D227,actionLog,"cover")</f>
        <v>0</v>
      </c>
      <c r="D229" s="486">
        <f t="shared" si="278"/>
        <v>0</v>
      </c>
      <c r="E229" s="486">
        <f t="shared" si="278"/>
        <v>0</v>
      </c>
      <c r="F229" s="486">
        <f t="shared" si="278"/>
        <v>0</v>
      </c>
      <c r="G229" s="486">
        <f t="shared" si="278"/>
        <v>0</v>
      </c>
      <c r="H229" s="486">
        <f t="shared" si="278"/>
        <v>0</v>
      </c>
      <c r="I229" s="486">
        <f t="shared" si="278"/>
        <v>0</v>
      </c>
      <c r="J229" s="157"/>
      <c r="K229" s="157"/>
      <c r="L229" s="157"/>
    </row>
    <row r="230" spans="2:12" ht="15" customHeight="1" thickTop="1">
      <c r="B230" s="157"/>
      <c r="C230" s="332">
        <f>IFERROR(IF(MONTH(C216)&lt;&gt;MONTH(I227+1),"",(I227+1)),"")</f>
        <v>43310</v>
      </c>
      <c r="D230" s="332">
        <f>IFERROR(IF(MONTH(C216)&lt;&gt;MONTH(C230+1),"",(C230+1)),"")</f>
        <v>43311</v>
      </c>
      <c r="E230" s="332">
        <f>IFERROR(IF(MONTH(C216)&lt;&gt;MONTH(D230+1),"",(D230+1)),"")</f>
        <v>43312</v>
      </c>
      <c r="F230" s="332" t="str">
        <f>IFERROR(IF(MONTH(C216)&lt;&gt;MONTH(E230+1),"",(E230+1)),"")</f>
        <v/>
      </c>
      <c r="G230" s="332" t="str">
        <f>IFERROR(IF(MONTH(C216)&lt;&gt;MONTH(F230+1),"",(F230+1)),"")</f>
        <v/>
      </c>
      <c r="H230" s="332" t="str">
        <f>IFERROR(IF(MONTH(C216)&lt;&gt;MONTH(G230+1),"",(G230+1)),"")</f>
        <v/>
      </c>
      <c r="I230" s="332" t="str">
        <f>IFERROR(IF(MONTH(C216)&lt;&gt;MONTH(H230+1),"",(H230+1)),"")</f>
        <v/>
      </c>
      <c r="J230" s="157"/>
      <c r="K230" s="157"/>
      <c r="L230" s="157"/>
    </row>
    <row r="231" spans="2:12" ht="15" customHeight="1">
      <c r="B231" s="157"/>
      <c r="C231" s="942">
        <f t="shared" ref="C231:H231" si="279">SUMIFS(profitLoss,dateLog,"&gt;="&amp;C230,dateLog,"&lt;"&amp;D230)</f>
        <v>0</v>
      </c>
      <c r="D231" s="942">
        <f t="shared" si="279"/>
        <v>0</v>
      </c>
      <c r="E231" s="942">
        <f t="shared" si="279"/>
        <v>0</v>
      </c>
      <c r="F231" s="942">
        <f t="shared" si="279"/>
        <v>0</v>
      </c>
      <c r="G231" s="942">
        <f t="shared" si="279"/>
        <v>0</v>
      </c>
      <c r="H231" s="942">
        <f t="shared" si="279"/>
        <v>0</v>
      </c>
      <c r="I231" s="942">
        <f>SUMIFS(profitLoss,dateLog,"&gt;="&amp;I230,dateLog,"&lt;"&amp;C233)</f>
        <v>0</v>
      </c>
      <c r="J231" s="157"/>
      <c r="K231" s="157"/>
      <c r="L231" s="157"/>
    </row>
    <row r="232" spans="2:12" ht="15" customHeight="1" thickBot="1">
      <c r="B232" s="157"/>
      <c r="C232" s="486">
        <f t="shared" ref="C232:I232" si="280">COUNTIFS(dateLog,"&gt;="&amp;C230,dateLog,"&lt;"&amp;D230,actionLog,"sell")+COUNTIFS(dateLog,"&gt;="&amp;C230,dateLog,"&lt;"&amp;D230,actionLog,"cover")</f>
        <v>0</v>
      </c>
      <c r="D232" s="486">
        <f t="shared" si="280"/>
        <v>0</v>
      </c>
      <c r="E232" s="486">
        <f t="shared" si="280"/>
        <v>0</v>
      </c>
      <c r="F232" s="486">
        <f t="shared" si="280"/>
        <v>0</v>
      </c>
      <c r="G232" s="486">
        <f t="shared" si="280"/>
        <v>0</v>
      </c>
      <c r="H232" s="486">
        <f t="shared" si="280"/>
        <v>0</v>
      </c>
      <c r="I232" s="486">
        <f t="shared" si="280"/>
        <v>0</v>
      </c>
      <c r="J232" s="157"/>
      <c r="K232" s="157"/>
      <c r="L232" s="157"/>
    </row>
    <row r="233" spans="2:12" ht="15" customHeight="1" thickTop="1">
      <c r="B233" s="157"/>
      <c r="C233" s="332" t="str">
        <f>IFERROR(IF(MONTH(C216)&lt;&gt;MONTH(I230+1),"",(I230+1)),"")</f>
        <v/>
      </c>
      <c r="D233" s="332" t="str">
        <f>IFERROR(IF(MONTH(C216)&lt;&gt;MONTH(C233+1),"",(C233+1)),"")</f>
        <v/>
      </c>
      <c r="E233" s="332" t="str">
        <f>IFERROR(IF(MONTH(C216)&lt;&gt;MONTH(D233+1),"",(D233+1)),"")</f>
        <v/>
      </c>
      <c r="F233" s="332" t="str">
        <f>IFERROR(IF(MONTH(C216)&lt;&gt;MONTH(E233+1),"",(E233+1)),"")</f>
        <v/>
      </c>
      <c r="G233" s="332" t="str">
        <f>IFERROR(IF(MONTH(C216)&lt;&gt;MONTH(F233+1),"",(F233+1)),"")</f>
        <v/>
      </c>
      <c r="H233" s="332" t="str">
        <f>IFERROR(IF(MONTH(C216)&lt;&gt;MONTH(G233+1),"",(G233+1)),"")</f>
        <v/>
      </c>
      <c r="I233" s="332" t="str">
        <f>IFERROR(IF(MONTH(C216)&lt;&gt;MONTH(H233+1),"",(H233+1)),"")</f>
        <v/>
      </c>
      <c r="J233" s="157"/>
      <c r="K233" s="157"/>
      <c r="L233" s="157"/>
    </row>
    <row r="234" spans="2:12" ht="15" customHeight="1">
      <c r="B234" s="157"/>
      <c r="C234" s="942">
        <f t="shared" ref="C234:H234" si="281">SUMIFS(profitLoss,dateLog,"&gt;="&amp;C233,dateLog,"&lt;"&amp;D233)</f>
        <v>0</v>
      </c>
      <c r="D234" s="942">
        <f t="shared" si="281"/>
        <v>0</v>
      </c>
      <c r="E234" s="942">
        <f t="shared" si="281"/>
        <v>0</v>
      </c>
      <c r="F234" s="942">
        <f t="shared" si="281"/>
        <v>0</v>
      </c>
      <c r="G234" s="942">
        <f t="shared" si="281"/>
        <v>0</v>
      </c>
      <c r="H234" s="942">
        <f t="shared" si="281"/>
        <v>0</v>
      </c>
      <c r="I234" s="942">
        <f>SUMIFS(profitLoss,dateLog,"&gt;="&amp;I233,dateLog,"&lt;"&amp;C236)</f>
        <v>0</v>
      </c>
      <c r="J234" s="157"/>
      <c r="K234" s="157"/>
      <c r="L234" s="157"/>
    </row>
    <row r="235" spans="2:12" ht="15" customHeight="1">
      <c r="B235" s="157"/>
      <c r="C235" s="487">
        <f t="shared" ref="C235:I235" si="282">COUNTIFS(dateLog,"&gt;="&amp;C233,dateLog,"&lt;"&amp;D233,actionLog,"sell")+COUNTIFS(dateLog,"&gt;="&amp;C233,dateLog,"&lt;"&amp;D233,actionLog,"cover")</f>
        <v>0</v>
      </c>
      <c r="D235" s="487">
        <f t="shared" si="282"/>
        <v>0</v>
      </c>
      <c r="E235" s="487">
        <f t="shared" si="282"/>
        <v>0</v>
      </c>
      <c r="F235" s="487">
        <f t="shared" si="282"/>
        <v>0</v>
      </c>
      <c r="G235" s="487">
        <f t="shared" si="282"/>
        <v>0</v>
      </c>
      <c r="H235" s="487">
        <f t="shared" si="282"/>
        <v>0</v>
      </c>
      <c r="I235" s="487">
        <f t="shared" si="282"/>
        <v>0</v>
      </c>
      <c r="J235" s="157"/>
      <c r="K235" s="157"/>
      <c r="L235" s="157"/>
    </row>
    <row r="236" spans="2:12" ht="18" customHeight="1" thickBot="1">
      <c r="B236" s="157"/>
      <c r="C236" s="183"/>
      <c r="D236" s="183"/>
      <c r="E236" s="183"/>
      <c r="F236" s="183"/>
      <c r="G236" s="183"/>
      <c r="H236" s="183"/>
      <c r="I236" s="183"/>
      <c r="J236" s="157"/>
      <c r="K236" s="157"/>
      <c r="L236" s="157"/>
    </row>
    <row r="237" spans="2:12" ht="21.95" customHeight="1">
      <c r="B237" s="157"/>
      <c r="C237" s="184">
        <f>EOMONTH(C216,0)+1</f>
        <v>43313</v>
      </c>
      <c r="D237" s="185"/>
      <c r="E237" s="186"/>
      <c r="F237" s="187"/>
      <c r="G237" s="188"/>
      <c r="H237" s="188"/>
      <c r="I237" s="188"/>
      <c r="J237" s="157"/>
      <c r="K237" s="157"/>
      <c r="L237" s="157"/>
    </row>
    <row r="238" spans="2:12" ht="24.95" customHeight="1" thickBot="1">
      <c r="B238" s="157"/>
      <c r="C238" s="334" t="s">
        <v>615</v>
      </c>
      <c r="D238" s="334" t="s">
        <v>616</v>
      </c>
      <c r="E238" s="334" t="s">
        <v>617</v>
      </c>
      <c r="F238" s="334" t="s">
        <v>618</v>
      </c>
      <c r="G238" s="334" t="s">
        <v>619</v>
      </c>
      <c r="H238" s="334" t="s">
        <v>620</v>
      </c>
      <c r="I238" s="334" t="s">
        <v>621</v>
      </c>
      <c r="J238" s="157"/>
      <c r="K238" s="157"/>
      <c r="L238" s="157"/>
    </row>
    <row r="239" spans="2:12" ht="15" customHeight="1" thickTop="1">
      <c r="B239" s="157"/>
      <c r="C239" s="332" t="str">
        <f>IF(MONTH(C237)&lt;&gt;MONTH((C237-WEEKDAY(C237,1)+1)),"",(C237-WEEKDAY(C237,1)+1))</f>
        <v/>
      </c>
      <c r="D239" s="332" t="str">
        <f>IF(MONTH(C237)&lt;&gt;MONTH((C237-WEEKDAY(C237,1)+2)),"",(C237-WEEKDAY(C237,1)+2))</f>
        <v/>
      </c>
      <c r="E239" s="332" t="str">
        <f>IF(MONTH(C237)&lt;&gt;MONTH((C237-WEEKDAY(C237,1)+3)),"",(C237-WEEKDAY(C237,1)+3))</f>
        <v/>
      </c>
      <c r="F239" s="332">
        <f>IF(MONTH(C237)&lt;&gt;MONTH((C237-WEEKDAY(C237,1)+4)),"",(C237-WEEKDAY(C237,1)+4))</f>
        <v>43313</v>
      </c>
      <c r="G239" s="332">
        <f>IF(MONTH(C237)&lt;&gt;MONTH((C237-WEEKDAY(C237,1)+5)),"",(C237-WEEKDAY(C237,1)+5))</f>
        <v>43314</v>
      </c>
      <c r="H239" s="332">
        <f>IF(MONTH(C237)&lt;&gt;MONTH((C237-WEEKDAY(C237,1)+6)),"",(C237-WEEKDAY(C237,1)+6))</f>
        <v>43315</v>
      </c>
      <c r="I239" s="332">
        <f>IF(MONTH(C237)&lt;&gt;MONTH((C237-WEEKDAY(C237,1)+7)),"",(C237-WEEKDAY(C237,1)+7))</f>
        <v>43316</v>
      </c>
      <c r="J239" s="157"/>
      <c r="K239" s="157"/>
      <c r="L239" s="157"/>
    </row>
    <row r="240" spans="2:12" ht="15" customHeight="1">
      <c r="B240" s="157"/>
      <c r="C240" s="179">
        <f t="shared" ref="C240:H240" si="283">SUMIFS(profitLoss,dateLog,"&gt;="&amp;C239,dateLog,"&lt;"&amp;D239)</f>
        <v>0</v>
      </c>
      <c r="D240" s="179">
        <f t="shared" si="283"/>
        <v>0</v>
      </c>
      <c r="E240" s="179">
        <f t="shared" si="283"/>
        <v>0</v>
      </c>
      <c r="F240" s="179">
        <f t="shared" si="283"/>
        <v>0</v>
      </c>
      <c r="G240" s="179">
        <f t="shared" si="283"/>
        <v>0</v>
      </c>
      <c r="H240" s="179">
        <f t="shared" si="283"/>
        <v>0</v>
      </c>
      <c r="I240" s="179">
        <f>SUMIFS(profitLoss,dateLog,"&gt;="&amp;I239,dateLog,"&lt;"&amp;C242)</f>
        <v>0</v>
      </c>
      <c r="J240" s="157"/>
      <c r="K240" s="157"/>
      <c r="L240" s="157"/>
    </row>
    <row r="241" spans="2:12" ht="15" customHeight="1" thickBot="1">
      <c r="B241" s="157"/>
      <c r="C241" s="486">
        <f t="shared" ref="C241:H241" si="284">COUNTIFS(dateLog,"&gt;="&amp;C239,dateLog,"&lt;"&amp;D239)</f>
        <v>0</v>
      </c>
      <c r="D241" s="486">
        <f t="shared" si="284"/>
        <v>0</v>
      </c>
      <c r="E241" s="486">
        <f t="shared" si="284"/>
        <v>0</v>
      </c>
      <c r="F241" s="486">
        <f t="shared" si="284"/>
        <v>0</v>
      </c>
      <c r="G241" s="486">
        <f t="shared" si="284"/>
        <v>0</v>
      </c>
      <c r="H241" s="486">
        <f t="shared" si="284"/>
        <v>0</v>
      </c>
      <c r="I241" s="486">
        <f>COUNTIFS(dateLog,"&gt;="&amp;I239,dateLog,"&lt;"&amp;(I239+1))</f>
        <v>0</v>
      </c>
      <c r="J241" s="157"/>
      <c r="K241" s="157"/>
      <c r="L241" s="157"/>
    </row>
    <row r="242" spans="2:12" ht="15" customHeight="1" thickTop="1">
      <c r="B242" s="157"/>
      <c r="C242" s="332">
        <f>I239+1</f>
        <v>43317</v>
      </c>
      <c r="D242" s="332">
        <f>C242+1</f>
        <v>43318</v>
      </c>
      <c r="E242" s="332">
        <f t="shared" ref="E242" si="285">D242+1</f>
        <v>43319</v>
      </c>
      <c r="F242" s="332">
        <f t="shared" ref="F242" si="286">E242+1</f>
        <v>43320</v>
      </c>
      <c r="G242" s="332">
        <f t="shared" ref="G242" si="287">F242+1</f>
        <v>43321</v>
      </c>
      <c r="H242" s="332">
        <f t="shared" ref="H242" si="288">G242+1</f>
        <v>43322</v>
      </c>
      <c r="I242" s="332">
        <f t="shared" ref="I242" si="289">H242+1</f>
        <v>43323</v>
      </c>
      <c r="J242" s="157"/>
      <c r="K242" s="157"/>
      <c r="L242" s="157"/>
    </row>
    <row r="243" spans="2:12" ht="15" customHeight="1">
      <c r="B243" s="157"/>
      <c r="C243" s="942">
        <f t="shared" ref="C243:H243" si="290">SUMIFS(profitLoss,dateLog,"&gt;="&amp;C242,dateLog,"&lt;"&amp;D242)</f>
        <v>0</v>
      </c>
      <c r="D243" s="942">
        <f t="shared" si="290"/>
        <v>0</v>
      </c>
      <c r="E243" s="942">
        <f t="shared" si="290"/>
        <v>0</v>
      </c>
      <c r="F243" s="942">
        <f t="shared" si="290"/>
        <v>0</v>
      </c>
      <c r="G243" s="942">
        <f t="shared" si="290"/>
        <v>0</v>
      </c>
      <c r="H243" s="942">
        <f t="shared" si="290"/>
        <v>0</v>
      </c>
      <c r="I243" s="942">
        <f>SUMIFS(profitLoss,dateLog,"&gt;="&amp;I242,dateLog,"&lt;"&amp;C245)</f>
        <v>0</v>
      </c>
      <c r="J243" s="157"/>
      <c r="K243" s="157"/>
      <c r="L243" s="157"/>
    </row>
    <row r="244" spans="2:12" ht="15" customHeight="1" thickBot="1">
      <c r="B244" s="157"/>
      <c r="C244" s="486">
        <f t="shared" ref="C244:I244" si="291">COUNTIFS(dateLog,"&gt;="&amp;C242,dateLog,"&lt;"&amp;D242,actionLog,"sell")+COUNTIFS(dateLog,"&gt;="&amp;C242,dateLog,"&lt;"&amp;D242,actionLog,"cover")</f>
        <v>0</v>
      </c>
      <c r="D244" s="486">
        <f t="shared" si="291"/>
        <v>0</v>
      </c>
      <c r="E244" s="486">
        <f t="shared" si="291"/>
        <v>0</v>
      </c>
      <c r="F244" s="486">
        <f t="shared" si="291"/>
        <v>0</v>
      </c>
      <c r="G244" s="486">
        <f t="shared" si="291"/>
        <v>0</v>
      </c>
      <c r="H244" s="486">
        <f t="shared" si="291"/>
        <v>0</v>
      </c>
      <c r="I244" s="486">
        <f t="shared" si="291"/>
        <v>0</v>
      </c>
      <c r="J244" s="157"/>
      <c r="K244" s="157"/>
      <c r="L244" s="157"/>
    </row>
    <row r="245" spans="2:12" ht="15" customHeight="1" thickTop="1">
      <c r="B245" s="157"/>
      <c r="C245" s="332">
        <f>I242+1</f>
        <v>43324</v>
      </c>
      <c r="D245" s="332">
        <f>C245+1</f>
        <v>43325</v>
      </c>
      <c r="E245" s="332">
        <f t="shared" ref="E245" si="292">D245+1</f>
        <v>43326</v>
      </c>
      <c r="F245" s="332">
        <f t="shared" ref="F245" si="293">E245+1</f>
        <v>43327</v>
      </c>
      <c r="G245" s="332">
        <f t="shared" ref="G245" si="294">F245+1</f>
        <v>43328</v>
      </c>
      <c r="H245" s="332">
        <f t="shared" ref="H245" si="295">G245+1</f>
        <v>43329</v>
      </c>
      <c r="I245" s="332">
        <f t="shared" ref="I245" si="296">H245+1</f>
        <v>43330</v>
      </c>
      <c r="J245" s="157"/>
      <c r="K245" s="157"/>
      <c r="L245" s="157"/>
    </row>
    <row r="246" spans="2:12" ht="15" customHeight="1">
      <c r="B246" s="157"/>
      <c r="C246" s="942">
        <f t="shared" ref="C246:H246" si="297">SUMIFS(profitLoss,dateLog,"&gt;="&amp;C245,dateLog,"&lt;"&amp;D245)</f>
        <v>0</v>
      </c>
      <c r="D246" s="942">
        <f t="shared" si="297"/>
        <v>0</v>
      </c>
      <c r="E246" s="942">
        <f t="shared" si="297"/>
        <v>0</v>
      </c>
      <c r="F246" s="942">
        <f t="shared" si="297"/>
        <v>0</v>
      </c>
      <c r="G246" s="942">
        <f t="shared" si="297"/>
        <v>0</v>
      </c>
      <c r="H246" s="942">
        <f t="shared" si="297"/>
        <v>0</v>
      </c>
      <c r="I246" s="942">
        <f>SUMIFS(profitLoss,dateLog,"&gt;="&amp;I245,dateLog,"&lt;"&amp;C248)</f>
        <v>0</v>
      </c>
      <c r="J246" s="157"/>
      <c r="K246" s="157"/>
      <c r="L246" s="157"/>
    </row>
    <row r="247" spans="2:12" ht="15" customHeight="1" thickBot="1">
      <c r="B247" s="180"/>
      <c r="C247" s="486">
        <f t="shared" ref="C247:I247" si="298">COUNTIFS(dateLog,"&gt;="&amp;C245,dateLog,"&lt;"&amp;D245,actionLog,"sell")+COUNTIFS(dateLog,"&gt;="&amp;C245,dateLog,"&lt;"&amp;D245,actionLog,"cover")</f>
        <v>0</v>
      </c>
      <c r="D247" s="486">
        <f t="shared" si="298"/>
        <v>0</v>
      </c>
      <c r="E247" s="486">
        <f t="shared" si="298"/>
        <v>0</v>
      </c>
      <c r="F247" s="486">
        <f t="shared" si="298"/>
        <v>0</v>
      </c>
      <c r="G247" s="486">
        <f t="shared" si="298"/>
        <v>0</v>
      </c>
      <c r="H247" s="486">
        <f t="shared" si="298"/>
        <v>0</v>
      </c>
      <c r="I247" s="486">
        <f t="shared" si="298"/>
        <v>0</v>
      </c>
      <c r="J247" s="180"/>
      <c r="K247" s="180"/>
      <c r="L247" s="157"/>
    </row>
    <row r="248" spans="2:12" ht="15" customHeight="1" thickTop="1">
      <c r="B248" s="157"/>
      <c r="C248" s="332">
        <f>I245+1</f>
        <v>43331</v>
      </c>
      <c r="D248" s="332">
        <f>C248+1</f>
        <v>43332</v>
      </c>
      <c r="E248" s="332">
        <f t="shared" ref="E248" si="299">D248+1</f>
        <v>43333</v>
      </c>
      <c r="F248" s="332">
        <f t="shared" ref="F248" si="300">E248+1</f>
        <v>43334</v>
      </c>
      <c r="G248" s="332">
        <f t="shared" ref="G248" si="301">F248+1</f>
        <v>43335</v>
      </c>
      <c r="H248" s="332">
        <f t="shared" ref="H248" si="302">G248+1</f>
        <v>43336</v>
      </c>
      <c r="I248" s="332">
        <f t="shared" ref="I248" si="303">H248+1</f>
        <v>43337</v>
      </c>
      <c r="J248" s="157"/>
      <c r="K248" s="157"/>
      <c r="L248" s="157"/>
    </row>
    <row r="249" spans="2:12" ht="15" customHeight="1">
      <c r="B249" s="157"/>
      <c r="C249" s="942">
        <f t="shared" ref="C249:H249" si="304">SUMIFS(profitLoss,dateLog,"&gt;="&amp;C248,dateLog,"&lt;"&amp;D248)</f>
        <v>0</v>
      </c>
      <c r="D249" s="942">
        <f t="shared" si="304"/>
        <v>0</v>
      </c>
      <c r="E249" s="942">
        <f t="shared" si="304"/>
        <v>0</v>
      </c>
      <c r="F249" s="942">
        <f t="shared" si="304"/>
        <v>0</v>
      </c>
      <c r="G249" s="942">
        <f t="shared" si="304"/>
        <v>0</v>
      </c>
      <c r="H249" s="942">
        <f t="shared" si="304"/>
        <v>0</v>
      </c>
      <c r="I249" s="942">
        <f>SUMIFS(profitLoss,dateLog,"&gt;="&amp;I248,dateLog,"&lt;"&amp;C251)</f>
        <v>0</v>
      </c>
      <c r="J249" s="157"/>
      <c r="K249" s="157"/>
      <c r="L249" s="157"/>
    </row>
    <row r="250" spans="2:12" ht="15" customHeight="1" thickBot="1">
      <c r="B250" s="157"/>
      <c r="C250" s="486">
        <f t="shared" ref="C250:I250" si="305">COUNTIFS(dateLog,"&gt;="&amp;C248,dateLog,"&lt;"&amp;D248,actionLog,"sell")+COUNTIFS(dateLog,"&gt;="&amp;C248,dateLog,"&lt;"&amp;D248,actionLog,"cover")</f>
        <v>0</v>
      </c>
      <c r="D250" s="486">
        <f t="shared" si="305"/>
        <v>0</v>
      </c>
      <c r="E250" s="486">
        <f t="shared" si="305"/>
        <v>0</v>
      </c>
      <c r="F250" s="486">
        <f t="shared" si="305"/>
        <v>0</v>
      </c>
      <c r="G250" s="486">
        <f t="shared" si="305"/>
        <v>0</v>
      </c>
      <c r="H250" s="486">
        <f t="shared" si="305"/>
        <v>0</v>
      </c>
      <c r="I250" s="486">
        <f t="shared" si="305"/>
        <v>0</v>
      </c>
      <c r="J250" s="157"/>
      <c r="K250" s="157"/>
      <c r="L250" s="157"/>
    </row>
    <row r="251" spans="2:12" ht="15" customHeight="1" thickTop="1">
      <c r="B251" s="157"/>
      <c r="C251" s="332">
        <f>IFERROR(IF(MONTH(C237)&lt;&gt;MONTH(I248+1),"",(I248+1)),"")</f>
        <v>43338</v>
      </c>
      <c r="D251" s="332">
        <f>IFERROR(IF(MONTH(C237)&lt;&gt;MONTH(C251+1),"",(C251+1)),"")</f>
        <v>43339</v>
      </c>
      <c r="E251" s="332">
        <f>IFERROR(IF(MONTH(C237)&lt;&gt;MONTH(D251+1),"",(D251+1)),"")</f>
        <v>43340</v>
      </c>
      <c r="F251" s="332">
        <f>IFERROR(IF(MONTH(C237)&lt;&gt;MONTH(E251+1),"",(E251+1)),"")</f>
        <v>43341</v>
      </c>
      <c r="G251" s="332">
        <f>IFERROR(IF(MONTH(C237)&lt;&gt;MONTH(F251+1),"",(F251+1)),"")</f>
        <v>43342</v>
      </c>
      <c r="H251" s="332">
        <f>IFERROR(IF(MONTH(C237)&lt;&gt;MONTH(G251+1),"",(G251+1)),"")</f>
        <v>43343</v>
      </c>
      <c r="I251" s="332" t="str">
        <f>IFERROR(IF(MONTH(C237)&lt;&gt;MONTH(H251+1),"",(H251+1)),"")</f>
        <v/>
      </c>
      <c r="J251" s="157"/>
      <c r="K251" s="157"/>
      <c r="L251" s="157"/>
    </row>
    <row r="252" spans="2:12" ht="15" customHeight="1">
      <c r="B252" s="157"/>
      <c r="C252" s="942">
        <f t="shared" ref="C252:H252" si="306">SUMIFS(profitLoss,dateLog,"&gt;="&amp;C251,dateLog,"&lt;"&amp;D251)</f>
        <v>0</v>
      </c>
      <c r="D252" s="942">
        <f t="shared" si="306"/>
        <v>0</v>
      </c>
      <c r="E252" s="942">
        <f t="shared" si="306"/>
        <v>0</v>
      </c>
      <c r="F252" s="942">
        <f t="shared" si="306"/>
        <v>0</v>
      </c>
      <c r="G252" s="942">
        <f t="shared" si="306"/>
        <v>0</v>
      </c>
      <c r="H252" s="942">
        <f t="shared" si="306"/>
        <v>0</v>
      </c>
      <c r="I252" s="942">
        <f>SUMIFS(profitLoss,dateLog,"&gt;="&amp;I251,dateLog,"&lt;"&amp;C254)</f>
        <v>0</v>
      </c>
      <c r="J252" s="157"/>
      <c r="K252" s="157"/>
      <c r="L252" s="157"/>
    </row>
    <row r="253" spans="2:12" ht="15" customHeight="1" thickBot="1">
      <c r="B253" s="157"/>
      <c r="C253" s="486">
        <f t="shared" ref="C253:I253" si="307">COUNTIFS(dateLog,"&gt;="&amp;C251,dateLog,"&lt;"&amp;D251,actionLog,"sell")+COUNTIFS(dateLog,"&gt;="&amp;C251,dateLog,"&lt;"&amp;D251,actionLog,"cover")</f>
        <v>0</v>
      </c>
      <c r="D253" s="486">
        <f t="shared" si="307"/>
        <v>0</v>
      </c>
      <c r="E253" s="486">
        <f t="shared" si="307"/>
        <v>0</v>
      </c>
      <c r="F253" s="486">
        <f t="shared" si="307"/>
        <v>0</v>
      </c>
      <c r="G253" s="486">
        <f t="shared" si="307"/>
        <v>0</v>
      </c>
      <c r="H253" s="486">
        <f t="shared" si="307"/>
        <v>0</v>
      </c>
      <c r="I253" s="486">
        <f t="shared" si="307"/>
        <v>0</v>
      </c>
      <c r="J253" s="157"/>
      <c r="K253" s="157"/>
      <c r="L253" s="157"/>
    </row>
    <row r="254" spans="2:12" ht="15" customHeight="1" thickTop="1">
      <c r="B254" s="157"/>
      <c r="C254" s="332" t="str">
        <f>IFERROR(IF(MONTH(C237)&lt;&gt;MONTH(I251+1),"",(I251+1)),"")</f>
        <v/>
      </c>
      <c r="D254" s="332" t="str">
        <f>IFERROR(IF(MONTH(C237)&lt;&gt;MONTH(C254+1),"",(C254+1)),"")</f>
        <v/>
      </c>
      <c r="E254" s="332" t="str">
        <f>IFERROR(IF(MONTH(C237)&lt;&gt;MONTH(D254+1),"",(D254+1)),"")</f>
        <v/>
      </c>
      <c r="F254" s="332" t="str">
        <f>IFERROR(IF(MONTH(C237)&lt;&gt;MONTH(E254+1),"",(E254+1)),"")</f>
        <v/>
      </c>
      <c r="G254" s="332" t="str">
        <f>IFERROR(IF(MONTH(C237)&lt;&gt;MONTH(F254+1),"",(F254+1)),"")</f>
        <v/>
      </c>
      <c r="H254" s="332" t="str">
        <f>IFERROR(IF(MONTH(C237)&lt;&gt;MONTH(G254+1),"",(G254+1)),"")</f>
        <v/>
      </c>
      <c r="I254" s="332" t="str">
        <f>IFERROR(IF(MONTH(C237)&lt;&gt;MONTH(H254+1),"",(H254+1)),"")</f>
        <v/>
      </c>
      <c r="J254" s="157"/>
      <c r="K254" s="157"/>
      <c r="L254" s="157"/>
    </row>
    <row r="255" spans="2:12" ht="15" customHeight="1">
      <c r="B255" s="157"/>
      <c r="C255" s="942">
        <f t="shared" ref="C255:H255" si="308">SUMIFS(profitLoss,dateLog,"&gt;="&amp;C254,dateLog,"&lt;"&amp;D254)</f>
        <v>0</v>
      </c>
      <c r="D255" s="942">
        <f t="shared" si="308"/>
        <v>0</v>
      </c>
      <c r="E255" s="942">
        <f t="shared" si="308"/>
        <v>0</v>
      </c>
      <c r="F255" s="942">
        <f t="shared" si="308"/>
        <v>0</v>
      </c>
      <c r="G255" s="942">
        <f t="shared" si="308"/>
        <v>0</v>
      </c>
      <c r="H255" s="942">
        <f t="shared" si="308"/>
        <v>0</v>
      </c>
      <c r="I255" s="942">
        <f>SUMIFS(profitLoss,dateLog,"&gt;="&amp;I254,dateLog,"&lt;"&amp;C257)</f>
        <v>0</v>
      </c>
      <c r="J255" s="157"/>
      <c r="K255" s="157"/>
      <c r="L255" s="157"/>
    </row>
    <row r="256" spans="2:12" ht="15" customHeight="1">
      <c r="B256" s="157"/>
      <c r="C256" s="487">
        <f t="shared" ref="C256:I256" si="309">COUNTIFS(dateLog,"&gt;="&amp;C254,dateLog,"&lt;"&amp;D254,actionLog,"sell")+COUNTIFS(dateLog,"&gt;="&amp;C254,dateLog,"&lt;"&amp;D254,actionLog,"cover")</f>
        <v>0</v>
      </c>
      <c r="D256" s="487">
        <f t="shared" si="309"/>
        <v>0</v>
      </c>
      <c r="E256" s="487">
        <f t="shared" si="309"/>
        <v>0</v>
      </c>
      <c r="F256" s="487">
        <f t="shared" si="309"/>
        <v>0</v>
      </c>
      <c r="G256" s="487">
        <f t="shared" si="309"/>
        <v>0</v>
      </c>
      <c r="H256" s="487">
        <f t="shared" si="309"/>
        <v>0</v>
      </c>
      <c r="I256" s="487">
        <f t="shared" si="309"/>
        <v>0</v>
      </c>
      <c r="J256" s="157"/>
      <c r="K256" s="157"/>
      <c r="L256" s="157"/>
    </row>
    <row r="257" spans="2:12" ht="15" customHeight="1">
      <c r="B257" s="157"/>
      <c r="C257" s="183"/>
      <c r="D257" s="183"/>
      <c r="E257" s="183"/>
      <c r="F257" s="183"/>
      <c r="G257" s="183"/>
      <c r="H257" s="183"/>
      <c r="I257" s="183"/>
      <c r="J257" s="157"/>
      <c r="K257" s="157"/>
      <c r="L257" s="157"/>
    </row>
    <row r="258" spans="2:12" ht="15" customHeight="1">
      <c r="B258" s="157"/>
      <c r="C258" s="335"/>
      <c r="D258" s="335"/>
      <c r="E258" s="335"/>
      <c r="F258" s="335"/>
      <c r="G258" s="335"/>
      <c r="H258" s="335"/>
      <c r="I258" s="335"/>
      <c r="J258" s="157"/>
      <c r="K258" s="157"/>
      <c r="L258" s="157"/>
    </row>
    <row r="259" spans="2:12" ht="15" customHeight="1">
      <c r="B259" s="157"/>
      <c r="C259" s="335"/>
      <c r="D259" s="335"/>
      <c r="E259" s="335"/>
      <c r="F259" s="335"/>
      <c r="G259" s="335"/>
      <c r="H259" s="335"/>
      <c r="I259" s="335"/>
      <c r="J259" s="157"/>
      <c r="K259" s="157"/>
      <c r="L259" s="157"/>
    </row>
    <row r="260" spans="2:12">
      <c r="B260" s="157"/>
      <c r="C260" s="335"/>
      <c r="D260" s="335"/>
      <c r="E260" s="335"/>
      <c r="F260" s="335"/>
      <c r="G260" s="335"/>
      <c r="H260" s="335"/>
      <c r="I260" s="335"/>
      <c r="J260" s="157"/>
      <c r="K260" s="157"/>
      <c r="L260" s="157"/>
    </row>
    <row r="261" spans="2:12">
      <c r="B261" s="157"/>
      <c r="C261" s="335"/>
      <c r="D261" s="335"/>
      <c r="E261" s="335"/>
      <c r="F261" s="335"/>
      <c r="G261" s="335"/>
      <c r="H261" s="335"/>
      <c r="I261" s="335"/>
      <c r="J261" s="157"/>
      <c r="K261" s="157"/>
      <c r="L261" s="157"/>
    </row>
    <row r="262" spans="2:12">
      <c r="B262" s="157"/>
      <c r="C262" s="335"/>
      <c r="D262" s="335"/>
      <c r="E262" s="335"/>
      <c r="F262" s="335"/>
      <c r="G262" s="335"/>
      <c r="H262" s="335"/>
      <c r="I262" s="335"/>
      <c r="J262" s="157"/>
      <c r="K262" s="157"/>
      <c r="L262" s="157"/>
    </row>
    <row r="263" spans="2:12">
      <c r="B263" s="157"/>
      <c r="C263" s="157"/>
      <c r="D263" s="157"/>
      <c r="E263" s="157"/>
      <c r="F263" s="157"/>
      <c r="G263" s="157"/>
      <c r="H263" s="157"/>
      <c r="I263" s="157"/>
      <c r="J263" s="157"/>
      <c r="K263" s="157"/>
      <c r="L263" s="157"/>
    </row>
    <row r="264" spans="2:12">
      <c r="B264" s="157"/>
      <c r="C264" s="157"/>
      <c r="D264" s="157"/>
      <c r="E264" s="157"/>
      <c r="F264" s="157"/>
      <c r="G264" s="157"/>
      <c r="H264" s="157"/>
      <c r="I264" s="157"/>
      <c r="J264" s="157"/>
      <c r="K264" s="157"/>
      <c r="L264" s="157"/>
    </row>
    <row r="265" spans="2:12">
      <c r="B265" s="157"/>
      <c r="C265" s="157"/>
      <c r="D265" s="157"/>
      <c r="E265" s="157"/>
      <c r="F265" s="157"/>
      <c r="G265" s="157"/>
      <c r="H265" s="157"/>
      <c r="I265" s="157"/>
      <c r="J265" s="157"/>
      <c r="K265" s="157"/>
      <c r="L265" s="157"/>
    </row>
    <row r="266" spans="2:12">
      <c r="B266" s="157"/>
      <c r="C266" s="157"/>
      <c r="D266" s="157"/>
      <c r="E266" s="157"/>
      <c r="F266" s="157"/>
      <c r="G266" s="157"/>
      <c r="H266" s="157"/>
      <c r="I266" s="157"/>
      <c r="J266" s="157"/>
      <c r="K266" s="157"/>
      <c r="L266" s="157"/>
    </row>
  </sheetData>
  <sheetProtection algorithmName="SHA-512" hashValue="TeBCupdJZBABu9QtT522VGwgAY/aMI5iAmaKmA2j48yWTj8ITlxkI+/KQrQNc2tjPqIMHolp8YL+66bTSnKzJw==" saltValue="N4Hbzi8jlPQ6vj0bmYIwPw==" spinCount="100000" sheet="1" objects="1" scenarios="1" formatCells="0"/>
  <protectedRanges>
    <protectedRange sqref="C3:D3" name="input"/>
  </protectedRanges>
  <conditionalFormatting sqref="C8:I8 C20:I20 C23:I23">
    <cfRule type="expression" dxfId="183" priority="1728">
      <formula>C8=""</formula>
    </cfRule>
  </conditionalFormatting>
  <conditionalFormatting sqref="C21:I21 C24:I24 C9:I9">
    <cfRule type="expression" dxfId="182" priority="1727">
      <formula>C8=""</formula>
    </cfRule>
  </conditionalFormatting>
  <conditionalFormatting sqref="C22:I22 C25:I25 C10:I10">
    <cfRule type="expression" dxfId="181" priority="1726">
      <formula>C8=""</formula>
    </cfRule>
  </conditionalFormatting>
  <conditionalFormatting sqref="C8:I8 C11:I11 C14:I14 C17:I17 C20:I20 C23:I23">
    <cfRule type="expression" dxfId="180" priority="1722">
      <formula>AND(C9&lt;0,C8&lt;&gt;"")</formula>
    </cfRule>
    <cfRule type="expression" dxfId="179" priority="1725">
      <formula>AND(C10=0,C8&lt;&gt;"")</formula>
    </cfRule>
  </conditionalFormatting>
  <conditionalFormatting sqref="C8:I8 C11:I11 C14:I14 C17:I17 C20:I20 C23:I23">
    <cfRule type="expression" dxfId="178" priority="1719">
      <formula>AND(C9&gt;0,C8&lt;&gt;"")</formula>
    </cfRule>
  </conditionalFormatting>
  <conditionalFormatting sqref="C21:I21 C24:I24 C18:I18 C15:I15 C12:I12 C9:I9">
    <cfRule type="expression" dxfId="177" priority="1718">
      <formula>AND(C9&gt;0,C8&lt;&gt;"")</formula>
    </cfRule>
    <cfRule type="expression" dxfId="176" priority="1721">
      <formula>AND(C9&lt;0,C8&lt;&gt;"")</formula>
    </cfRule>
    <cfRule type="expression" dxfId="175" priority="1724">
      <formula>AND(C10=0,C8&lt;&gt;"")</formula>
    </cfRule>
  </conditionalFormatting>
  <conditionalFormatting sqref="C22:I22 C25:I25 C19:I19 C16:I16 C13:I13 C10:I10">
    <cfRule type="expression" dxfId="174" priority="1717">
      <formula>AND(C9&gt;0,C8&lt;&gt;"")</formula>
    </cfRule>
    <cfRule type="expression" dxfId="173" priority="1720">
      <formula>AND(C9&lt;0,C8&lt;&gt;"")</formula>
    </cfRule>
    <cfRule type="expression" dxfId="172" priority="1723">
      <formula>AND(C10=0,C8&lt;&gt;"")</formula>
    </cfRule>
  </conditionalFormatting>
  <conditionalFormatting sqref="C29:I29 C41:I41 C44:I44">
    <cfRule type="expression" dxfId="171" priority="132">
      <formula>C29=""</formula>
    </cfRule>
  </conditionalFormatting>
  <conditionalFormatting sqref="C42:I42 C45:I45 C30:I30">
    <cfRule type="expression" dxfId="170" priority="131">
      <formula>C29=""</formula>
    </cfRule>
  </conditionalFormatting>
  <conditionalFormatting sqref="C43:I43 C46:I46 C31:I31">
    <cfRule type="expression" dxfId="169" priority="130">
      <formula>C29=""</formula>
    </cfRule>
  </conditionalFormatting>
  <conditionalFormatting sqref="C29:I29 C32:I32 C35:I35 C38:I38 C41:I41 C44:I44">
    <cfRule type="expression" dxfId="168" priority="126">
      <formula>AND(C30&lt;0,C29&lt;&gt;"")</formula>
    </cfRule>
    <cfRule type="expression" dxfId="167" priority="129">
      <formula>AND(C31=0,C29&lt;&gt;"")</formula>
    </cfRule>
  </conditionalFormatting>
  <conditionalFormatting sqref="C29:I29 C32:I32 C35:I35 C38:I38 C41:I41 C44:I44">
    <cfRule type="expression" dxfId="166" priority="123">
      <formula>AND(C30&gt;0,C29&lt;&gt;"")</formula>
    </cfRule>
  </conditionalFormatting>
  <conditionalFormatting sqref="C42:I42 C45:I45 C39:I39 C36:I36 C33:I33 C30:I30">
    <cfRule type="expression" dxfId="165" priority="122">
      <formula>AND(C30&gt;0,C29&lt;&gt;"")</formula>
    </cfRule>
    <cfRule type="expression" dxfId="164" priority="125">
      <formula>AND(C30&lt;0,C29&lt;&gt;"")</formula>
    </cfRule>
    <cfRule type="expression" dxfId="163" priority="128">
      <formula>AND(C31=0,C29&lt;&gt;"")</formula>
    </cfRule>
  </conditionalFormatting>
  <conditionalFormatting sqref="C43:I43 C46:I46 C40:I40 C37:I37 C34:I34 C31:I31">
    <cfRule type="expression" dxfId="162" priority="121">
      <formula>AND(C30&gt;0,C29&lt;&gt;"")</formula>
    </cfRule>
    <cfRule type="expression" dxfId="161" priority="124">
      <formula>AND(C30&lt;0,C29&lt;&gt;"")</formula>
    </cfRule>
    <cfRule type="expression" dxfId="160" priority="127">
      <formula>AND(C31=0,C29&lt;&gt;"")</formula>
    </cfRule>
  </conditionalFormatting>
  <conditionalFormatting sqref="C50:I50 C62:I62 C65:I65">
    <cfRule type="expression" dxfId="159" priority="120">
      <formula>C50=""</formula>
    </cfRule>
  </conditionalFormatting>
  <conditionalFormatting sqref="C63:I63 C66:I66 C51:I51">
    <cfRule type="expression" dxfId="158" priority="119">
      <formula>C50=""</formula>
    </cfRule>
  </conditionalFormatting>
  <conditionalFormatting sqref="C64:I64 C67:I67 C52:I52">
    <cfRule type="expression" dxfId="157" priority="118">
      <formula>C50=""</formula>
    </cfRule>
  </conditionalFormatting>
  <conditionalFormatting sqref="C50:I50 C53:I53 C56:I56 C59:I59 C62:I62 C65:I65">
    <cfRule type="expression" dxfId="156" priority="114">
      <formula>AND(C51&lt;0,C50&lt;&gt;"")</formula>
    </cfRule>
    <cfRule type="expression" dxfId="155" priority="117">
      <formula>AND(C52=0,C50&lt;&gt;"")</formula>
    </cfRule>
  </conditionalFormatting>
  <conditionalFormatting sqref="C50:I50 C53:I53 C56:I56 C59:I59 C62:I62 C65:I65">
    <cfRule type="expression" dxfId="154" priority="111">
      <formula>AND(C51&gt;0,C50&lt;&gt;"")</formula>
    </cfRule>
  </conditionalFormatting>
  <conditionalFormatting sqref="C63:I63 C66:I66 C60:I60 C57:I57 C54:I54 C51:I51">
    <cfRule type="expression" dxfId="153" priority="110">
      <formula>AND(C51&gt;0,C50&lt;&gt;"")</formula>
    </cfRule>
    <cfRule type="expression" dxfId="152" priority="113">
      <formula>AND(C51&lt;0,C50&lt;&gt;"")</formula>
    </cfRule>
    <cfRule type="expression" dxfId="151" priority="116">
      <formula>AND(C52=0,C50&lt;&gt;"")</formula>
    </cfRule>
  </conditionalFormatting>
  <conditionalFormatting sqref="C64:I64 C67:I67 C61:I61 C58:I58 C55:I55 C52:I52">
    <cfRule type="expression" dxfId="150" priority="109">
      <formula>AND(C51&gt;0,C50&lt;&gt;"")</formula>
    </cfRule>
    <cfRule type="expression" dxfId="149" priority="112">
      <formula>AND(C51&lt;0,C50&lt;&gt;"")</formula>
    </cfRule>
    <cfRule type="expression" dxfId="148" priority="115">
      <formula>AND(C52=0,C50&lt;&gt;"")</formula>
    </cfRule>
  </conditionalFormatting>
  <conditionalFormatting sqref="C71:I71 C83:I83 C86:I86">
    <cfRule type="expression" dxfId="147" priority="108">
      <formula>C71=""</formula>
    </cfRule>
  </conditionalFormatting>
  <conditionalFormatting sqref="C84:I84 C87:I87 C72:I72">
    <cfRule type="expression" dxfId="146" priority="107">
      <formula>C71=""</formula>
    </cfRule>
  </conditionalFormatting>
  <conditionalFormatting sqref="C85:I85 C88:I88 C73:I73">
    <cfRule type="expression" dxfId="145" priority="106">
      <formula>C71=""</formula>
    </cfRule>
  </conditionalFormatting>
  <conditionalFormatting sqref="C71:I71 C74:I74 C77:I77 C80:I80 C83:I83 C86:I86">
    <cfRule type="expression" dxfId="144" priority="102">
      <formula>AND(C72&lt;0,C71&lt;&gt;"")</formula>
    </cfRule>
    <cfRule type="expression" dxfId="143" priority="105">
      <formula>AND(C73=0,C71&lt;&gt;"")</formula>
    </cfRule>
  </conditionalFormatting>
  <conditionalFormatting sqref="C71:I71 C74:I74 C77:I77 C80:I80 C83:I83 C86:I86">
    <cfRule type="expression" dxfId="142" priority="99">
      <formula>AND(C72&gt;0,C71&lt;&gt;"")</formula>
    </cfRule>
  </conditionalFormatting>
  <conditionalFormatting sqref="C84:I84 C87:I87 C81:I81 C78:I78 C75:I75 C72:I72">
    <cfRule type="expression" dxfId="141" priority="98">
      <formula>AND(C72&gt;0,C71&lt;&gt;"")</formula>
    </cfRule>
    <cfRule type="expression" dxfId="140" priority="101">
      <formula>AND(C72&lt;0,C71&lt;&gt;"")</formula>
    </cfRule>
    <cfRule type="expression" dxfId="139" priority="104">
      <formula>AND(C73=0,C71&lt;&gt;"")</formula>
    </cfRule>
  </conditionalFormatting>
  <conditionalFormatting sqref="C85:I85 C88:I88 C82:I82 C79:I79 C76:I76 C73:I73">
    <cfRule type="expression" dxfId="138" priority="97">
      <formula>AND(C72&gt;0,C71&lt;&gt;"")</formula>
    </cfRule>
    <cfRule type="expression" dxfId="137" priority="100">
      <formula>AND(C72&lt;0,C71&lt;&gt;"")</formula>
    </cfRule>
    <cfRule type="expression" dxfId="136" priority="103">
      <formula>AND(C73=0,C71&lt;&gt;"")</formula>
    </cfRule>
  </conditionalFormatting>
  <conditionalFormatting sqref="C92:I92 C104:I104 C107:I107">
    <cfRule type="expression" dxfId="135" priority="96">
      <formula>C92=""</formula>
    </cfRule>
  </conditionalFormatting>
  <conditionalFormatting sqref="C105:I105 C108:I108 C93:I93">
    <cfRule type="expression" dxfId="134" priority="95">
      <formula>C92=""</formula>
    </cfRule>
  </conditionalFormatting>
  <conditionalFormatting sqref="C106:I106 C109:I109 C94:I94">
    <cfRule type="expression" dxfId="133" priority="94">
      <formula>C92=""</formula>
    </cfRule>
  </conditionalFormatting>
  <conditionalFormatting sqref="C92:I92 C95:I95 C98:I98 C101:I101 C104:I104 C107:I107">
    <cfRule type="expression" dxfId="132" priority="90">
      <formula>AND(C93&lt;0,C92&lt;&gt;"")</formula>
    </cfRule>
    <cfRule type="expression" dxfId="131" priority="93">
      <formula>AND(C94=0,C92&lt;&gt;"")</formula>
    </cfRule>
  </conditionalFormatting>
  <conditionalFormatting sqref="C92:I92 C95:I95 C98:I98 C101:I101 C104:I104 C107:I107">
    <cfRule type="expression" dxfId="130" priority="87">
      <formula>AND(C93&gt;0,C92&lt;&gt;"")</formula>
    </cfRule>
  </conditionalFormatting>
  <conditionalFormatting sqref="C105:I105 C108:I108 C102:I102 C99:I99 C96:I96 C93:I93">
    <cfRule type="expression" dxfId="129" priority="86">
      <formula>AND(C93&gt;0,C92&lt;&gt;"")</formula>
    </cfRule>
    <cfRule type="expression" dxfId="128" priority="89">
      <formula>AND(C93&lt;0,C92&lt;&gt;"")</formula>
    </cfRule>
    <cfRule type="expression" dxfId="127" priority="92">
      <formula>AND(C94=0,C92&lt;&gt;"")</formula>
    </cfRule>
  </conditionalFormatting>
  <conditionalFormatting sqref="C106:I106 C109:I109 C103:I103 C100:I100 C97:I97 C94:I94">
    <cfRule type="expression" dxfId="126" priority="85">
      <formula>AND(C93&gt;0,C92&lt;&gt;"")</formula>
    </cfRule>
    <cfRule type="expression" dxfId="125" priority="88">
      <formula>AND(C93&lt;0,C92&lt;&gt;"")</formula>
    </cfRule>
    <cfRule type="expression" dxfId="124" priority="91">
      <formula>AND(C94=0,C92&lt;&gt;"")</formula>
    </cfRule>
  </conditionalFormatting>
  <conditionalFormatting sqref="C113:I113 C125:I125 C128:I128">
    <cfRule type="expression" dxfId="123" priority="84">
      <formula>C113=""</formula>
    </cfRule>
  </conditionalFormatting>
  <conditionalFormatting sqref="C126:I126 C129:I129 C114:I114">
    <cfRule type="expression" dxfId="122" priority="83">
      <formula>C113=""</formula>
    </cfRule>
  </conditionalFormatting>
  <conditionalFormatting sqref="C127:I127 C130:I130 C115:I115">
    <cfRule type="expression" dxfId="121" priority="82">
      <formula>C113=""</formula>
    </cfRule>
  </conditionalFormatting>
  <conditionalFormatting sqref="C113:I113 C116:I116 C119:I119 C122:I122 C125:I125 C128:I128">
    <cfRule type="expression" dxfId="120" priority="78">
      <formula>AND(C114&lt;0,C113&lt;&gt;"")</formula>
    </cfRule>
    <cfRule type="expression" dxfId="119" priority="81">
      <formula>AND(C115=0,C113&lt;&gt;"")</formula>
    </cfRule>
  </conditionalFormatting>
  <conditionalFormatting sqref="C113:I113 C116:I116 C119:I119 C122:I122 C125:I125 C128:I128">
    <cfRule type="expression" dxfId="118" priority="75">
      <formula>AND(C114&gt;0,C113&lt;&gt;"")</formula>
    </cfRule>
  </conditionalFormatting>
  <conditionalFormatting sqref="C126:I126 C129:I129 C123:I123 C120:I120 C117:I117 C114:I114">
    <cfRule type="expression" dxfId="117" priority="74">
      <formula>AND(C114&gt;0,C113&lt;&gt;"")</formula>
    </cfRule>
    <cfRule type="expression" dxfId="116" priority="77">
      <formula>AND(C114&lt;0,C113&lt;&gt;"")</formula>
    </cfRule>
    <cfRule type="expression" dxfId="115" priority="80">
      <formula>AND(C115=0,C113&lt;&gt;"")</formula>
    </cfRule>
  </conditionalFormatting>
  <conditionalFormatting sqref="C127:I127 C130:I130 C124:I124 C121:I121 C118:I118 C115:I115">
    <cfRule type="expression" dxfId="114" priority="73">
      <formula>AND(C114&gt;0,C113&lt;&gt;"")</formula>
    </cfRule>
    <cfRule type="expression" dxfId="113" priority="76">
      <formula>AND(C114&lt;0,C113&lt;&gt;"")</formula>
    </cfRule>
    <cfRule type="expression" dxfId="112" priority="79">
      <formula>AND(C115=0,C113&lt;&gt;"")</formula>
    </cfRule>
  </conditionalFormatting>
  <conditionalFormatting sqref="C134:I134 C146:I146 C149:I149">
    <cfRule type="expression" dxfId="111" priority="72">
      <formula>C134=""</formula>
    </cfRule>
  </conditionalFormatting>
  <conditionalFormatting sqref="C147:I147 C150:I150 C135:I135">
    <cfRule type="expression" dxfId="110" priority="71">
      <formula>C134=""</formula>
    </cfRule>
  </conditionalFormatting>
  <conditionalFormatting sqref="C148:I148 C151:I151 C136:I136">
    <cfRule type="expression" dxfId="109" priority="70">
      <formula>C134=""</formula>
    </cfRule>
  </conditionalFormatting>
  <conditionalFormatting sqref="C134:I134 C137:I137 C140:I140 C143:I143 C146:I146 C149:I149">
    <cfRule type="expression" dxfId="108" priority="66">
      <formula>AND(C135&lt;0,C134&lt;&gt;"")</formula>
    </cfRule>
    <cfRule type="expression" dxfId="107" priority="69">
      <formula>AND(C136=0,C134&lt;&gt;"")</formula>
    </cfRule>
  </conditionalFormatting>
  <conditionalFormatting sqref="C134:I134 C137:I137 C140:I140 C143:I143 C146:I146 C149:I149">
    <cfRule type="expression" dxfId="106" priority="63">
      <formula>AND(C135&gt;0,C134&lt;&gt;"")</formula>
    </cfRule>
  </conditionalFormatting>
  <conditionalFormatting sqref="C147:I147 C150:I150 C144:I144 C141:I141 C138:I138 C135:I135">
    <cfRule type="expression" dxfId="105" priority="62">
      <formula>AND(C135&gt;0,C134&lt;&gt;"")</formula>
    </cfRule>
    <cfRule type="expression" dxfId="104" priority="65">
      <formula>AND(C135&lt;0,C134&lt;&gt;"")</formula>
    </cfRule>
    <cfRule type="expression" dxfId="103" priority="68">
      <formula>AND(C136=0,C134&lt;&gt;"")</formula>
    </cfRule>
  </conditionalFormatting>
  <conditionalFormatting sqref="C148:I148 C151:I151 C145:I145 C142:I142 C139:I139 C136:I136">
    <cfRule type="expression" dxfId="102" priority="61">
      <formula>AND(C135&gt;0,C134&lt;&gt;"")</formula>
    </cfRule>
    <cfRule type="expression" dxfId="101" priority="64">
      <formula>AND(C135&lt;0,C134&lt;&gt;"")</formula>
    </cfRule>
    <cfRule type="expression" dxfId="100" priority="67">
      <formula>AND(C136=0,C134&lt;&gt;"")</formula>
    </cfRule>
  </conditionalFormatting>
  <conditionalFormatting sqref="C155:I155 C167:I167 C170:I170">
    <cfRule type="expression" dxfId="99" priority="60">
      <formula>C155=""</formula>
    </cfRule>
  </conditionalFormatting>
  <conditionalFormatting sqref="C168:I168 C171:I171 C156:I156">
    <cfRule type="expression" dxfId="98" priority="59">
      <formula>C155=""</formula>
    </cfRule>
  </conditionalFormatting>
  <conditionalFormatting sqref="C169:I169 C172:I172 C157:I157">
    <cfRule type="expression" dxfId="97" priority="58">
      <formula>C155=""</formula>
    </cfRule>
  </conditionalFormatting>
  <conditionalFormatting sqref="C155:I155 C158:I158 C161:I161 C164:I164 C167:I167 C170:I170">
    <cfRule type="expression" dxfId="96" priority="54">
      <formula>AND(C156&lt;0,C155&lt;&gt;"")</formula>
    </cfRule>
    <cfRule type="expression" dxfId="95" priority="57">
      <formula>AND(C157=0,C155&lt;&gt;"")</formula>
    </cfRule>
  </conditionalFormatting>
  <conditionalFormatting sqref="C155:I155 C158:I158 C161:I161 C164:I164 C167:I167 C170:I170">
    <cfRule type="expression" dxfId="94" priority="51">
      <formula>AND(C156&gt;0,C155&lt;&gt;"")</formula>
    </cfRule>
  </conditionalFormatting>
  <conditionalFormatting sqref="C168:I168 C171:I171 C165:I165 C162:I162 C159:I159 C156:I156">
    <cfRule type="expression" dxfId="93" priority="50">
      <formula>AND(C156&gt;0,C155&lt;&gt;"")</formula>
    </cfRule>
    <cfRule type="expression" dxfId="92" priority="53">
      <formula>AND(C156&lt;0,C155&lt;&gt;"")</formula>
    </cfRule>
    <cfRule type="expression" dxfId="91" priority="56">
      <formula>AND(C157=0,C155&lt;&gt;"")</formula>
    </cfRule>
  </conditionalFormatting>
  <conditionalFormatting sqref="C169:I169 C172:I172 C166:I166 C163:I163 C160:I160 C157:I157">
    <cfRule type="expression" dxfId="90" priority="49">
      <formula>AND(C156&gt;0,C155&lt;&gt;"")</formula>
    </cfRule>
    <cfRule type="expression" dxfId="89" priority="52">
      <formula>AND(C156&lt;0,C155&lt;&gt;"")</formula>
    </cfRule>
    <cfRule type="expression" dxfId="88" priority="55">
      <formula>AND(C157=0,C155&lt;&gt;"")</formula>
    </cfRule>
  </conditionalFormatting>
  <conditionalFormatting sqref="C176:I176 C188:I188 C191:I191">
    <cfRule type="expression" dxfId="87" priority="48">
      <formula>C176=""</formula>
    </cfRule>
  </conditionalFormatting>
  <conditionalFormatting sqref="C189:I189 C192:I192 C177:I177">
    <cfRule type="expression" dxfId="86" priority="47">
      <formula>C176=""</formula>
    </cfRule>
  </conditionalFormatting>
  <conditionalFormatting sqref="C190:I190 C193:I193 C178:I178">
    <cfRule type="expression" dxfId="85" priority="46">
      <formula>C176=""</formula>
    </cfRule>
  </conditionalFormatting>
  <conditionalFormatting sqref="C176:I176 C179:I179 C182:I182 C185:I185 C188:I188 C191:I191">
    <cfRule type="expression" dxfId="84" priority="42">
      <formula>AND(C177&lt;0,C176&lt;&gt;"")</formula>
    </cfRule>
    <cfRule type="expression" dxfId="83" priority="45">
      <formula>AND(C178=0,C176&lt;&gt;"")</formula>
    </cfRule>
  </conditionalFormatting>
  <conditionalFormatting sqref="C176:I176 C179:I179 C182:I182 C185:I185 C188:I188 C191:I191">
    <cfRule type="expression" dxfId="82" priority="39">
      <formula>AND(C177&gt;0,C176&lt;&gt;"")</formula>
    </cfRule>
  </conditionalFormatting>
  <conditionalFormatting sqref="C189:I189 C192:I192 C186:I186 C183:I183 C180:I180 C177:I177">
    <cfRule type="expression" dxfId="81" priority="38">
      <formula>AND(C177&gt;0,C176&lt;&gt;"")</formula>
    </cfRule>
    <cfRule type="expression" dxfId="80" priority="41">
      <formula>AND(C177&lt;0,C176&lt;&gt;"")</formula>
    </cfRule>
    <cfRule type="expression" dxfId="79" priority="44">
      <formula>AND(C178=0,C176&lt;&gt;"")</formula>
    </cfRule>
  </conditionalFormatting>
  <conditionalFormatting sqref="C190:I190 C193:I193 C187:I187 C184:I184 C181:I181 C178:I178">
    <cfRule type="expression" dxfId="78" priority="37">
      <formula>AND(C177&gt;0,C176&lt;&gt;"")</formula>
    </cfRule>
    <cfRule type="expression" dxfId="77" priority="40">
      <formula>AND(C177&lt;0,C176&lt;&gt;"")</formula>
    </cfRule>
    <cfRule type="expression" dxfId="76" priority="43">
      <formula>AND(C178=0,C176&lt;&gt;"")</formula>
    </cfRule>
  </conditionalFormatting>
  <conditionalFormatting sqref="C197:I197 C209:I209 C212:I212">
    <cfRule type="expression" dxfId="75" priority="36">
      <formula>C197=""</formula>
    </cfRule>
  </conditionalFormatting>
  <conditionalFormatting sqref="C210:I210 C213:I213 C198:I198">
    <cfRule type="expression" dxfId="74" priority="35">
      <formula>C197=""</formula>
    </cfRule>
  </conditionalFormatting>
  <conditionalFormatting sqref="C211:I211 C214:I214 C199:I199">
    <cfRule type="expression" dxfId="73" priority="34">
      <formula>C197=""</formula>
    </cfRule>
  </conditionalFormatting>
  <conditionalFormatting sqref="C197:I197 C200:I200 C203:I203 C206:I206 C209:I209 C212:I212">
    <cfRule type="expression" dxfId="72" priority="30">
      <formula>AND(C198&lt;0,C197&lt;&gt;"")</formula>
    </cfRule>
    <cfRule type="expression" dxfId="71" priority="33">
      <formula>AND(C199=0,C197&lt;&gt;"")</formula>
    </cfRule>
  </conditionalFormatting>
  <conditionalFormatting sqref="C197:I197 C200:I200 C203:I203 C206:I206 C209:I209 C212:I212">
    <cfRule type="expression" dxfId="70" priority="27">
      <formula>AND(C198&gt;0,C197&lt;&gt;"")</formula>
    </cfRule>
  </conditionalFormatting>
  <conditionalFormatting sqref="C210:I210 C213:I213 C207:I207 C204:I204 C201:I201 C198:I198">
    <cfRule type="expression" dxfId="69" priority="26">
      <formula>AND(C198&gt;0,C197&lt;&gt;"")</formula>
    </cfRule>
    <cfRule type="expression" dxfId="68" priority="29">
      <formula>AND(C198&lt;0,C197&lt;&gt;"")</formula>
    </cfRule>
    <cfRule type="expression" dxfId="67" priority="32">
      <formula>AND(C199=0,C197&lt;&gt;"")</formula>
    </cfRule>
  </conditionalFormatting>
  <conditionalFormatting sqref="C211:I211 C214:I214 C208:I208 C205:I205 C202:I202 C199:I199">
    <cfRule type="expression" dxfId="66" priority="25">
      <formula>AND(C198&gt;0,C197&lt;&gt;"")</formula>
    </cfRule>
    <cfRule type="expression" dxfId="65" priority="28">
      <formula>AND(C198&lt;0,C197&lt;&gt;"")</formula>
    </cfRule>
    <cfRule type="expression" dxfId="64" priority="31">
      <formula>AND(C199=0,C197&lt;&gt;"")</formula>
    </cfRule>
  </conditionalFormatting>
  <conditionalFormatting sqref="C218:I218 C230:I230 C233:I233">
    <cfRule type="expression" dxfId="63" priority="24">
      <formula>C218=""</formula>
    </cfRule>
  </conditionalFormatting>
  <conditionalFormatting sqref="C231:I231 C234:I234 C219:I219">
    <cfRule type="expression" dxfId="62" priority="23">
      <formula>C218=""</formula>
    </cfRule>
  </conditionalFormatting>
  <conditionalFormatting sqref="C232:I232 C235:I235 C220:I220">
    <cfRule type="expression" dxfId="61" priority="22">
      <formula>C218=""</formula>
    </cfRule>
  </conditionalFormatting>
  <conditionalFormatting sqref="C218:I218 C221:I221 C224:I224 C227:I227 C230:I230 C233:I233">
    <cfRule type="expression" dxfId="60" priority="18">
      <formula>AND(C219&lt;0,C218&lt;&gt;"")</formula>
    </cfRule>
    <cfRule type="expression" dxfId="59" priority="21">
      <formula>AND(C220=0,C218&lt;&gt;"")</formula>
    </cfRule>
  </conditionalFormatting>
  <conditionalFormatting sqref="C218:I218 C221:I221 C224:I224 C227:I227 C230:I230 C233:I233">
    <cfRule type="expression" dxfId="58" priority="15">
      <formula>AND(C219&gt;0,C218&lt;&gt;"")</formula>
    </cfRule>
  </conditionalFormatting>
  <conditionalFormatting sqref="C231:I231 C234:I234 C228:I228 C225:I225 C222:I222 C219:I219">
    <cfRule type="expression" dxfId="57" priority="14">
      <formula>AND(C219&gt;0,C218&lt;&gt;"")</formula>
    </cfRule>
    <cfRule type="expression" dxfId="56" priority="17">
      <formula>AND(C219&lt;0,C218&lt;&gt;"")</formula>
    </cfRule>
    <cfRule type="expression" dxfId="55" priority="20">
      <formula>AND(C220=0,C218&lt;&gt;"")</formula>
    </cfRule>
  </conditionalFormatting>
  <conditionalFormatting sqref="C232:I232 C235:I235 C229:I229 C226:I226 C223:I223 C220:I220">
    <cfRule type="expression" dxfId="54" priority="13">
      <formula>AND(C219&gt;0,C218&lt;&gt;"")</formula>
    </cfRule>
    <cfRule type="expression" dxfId="53" priority="16">
      <formula>AND(C219&lt;0,C218&lt;&gt;"")</formula>
    </cfRule>
    <cfRule type="expression" dxfId="52" priority="19">
      <formula>AND(C220=0,C218&lt;&gt;"")</formula>
    </cfRule>
  </conditionalFormatting>
  <conditionalFormatting sqref="C239:I239 C251:I251 C254:I254">
    <cfRule type="expression" dxfId="51" priority="12">
      <formula>C239=""</formula>
    </cfRule>
  </conditionalFormatting>
  <conditionalFormatting sqref="C252:I252 C255:I255 C240:I240">
    <cfRule type="expression" dxfId="50" priority="11">
      <formula>C239=""</formula>
    </cfRule>
  </conditionalFormatting>
  <conditionalFormatting sqref="C253:I253 C256:I256 C241:I241">
    <cfRule type="expression" dxfId="49" priority="10">
      <formula>C239=""</formula>
    </cfRule>
  </conditionalFormatting>
  <conditionalFormatting sqref="C239:I239 C242:I242 C245:I245 C248:I248 C251:I251 C254:I254">
    <cfRule type="expression" dxfId="48" priority="6">
      <formula>AND(C240&lt;0,C239&lt;&gt;"")</formula>
    </cfRule>
    <cfRule type="expression" dxfId="47" priority="9">
      <formula>AND(C241=0,C239&lt;&gt;"")</formula>
    </cfRule>
  </conditionalFormatting>
  <conditionalFormatting sqref="C239:I239 C242:I242 C245:I245 C248:I248 C251:I251 C254:I254">
    <cfRule type="expression" dxfId="46" priority="3">
      <formula>AND(C240&gt;0,C239&lt;&gt;"")</formula>
    </cfRule>
  </conditionalFormatting>
  <conditionalFormatting sqref="C252:I252 C255:I255 C249:I249 C246:I246 C243:I243 C240:I240">
    <cfRule type="expression" dxfId="45" priority="2">
      <formula>AND(C240&gt;0,C239&lt;&gt;"")</formula>
    </cfRule>
    <cfRule type="expression" dxfId="44" priority="5">
      <formula>AND(C240&lt;0,C239&lt;&gt;"")</formula>
    </cfRule>
    <cfRule type="expression" dxfId="43" priority="8">
      <formula>AND(C241=0,C239&lt;&gt;"")</formula>
    </cfRule>
  </conditionalFormatting>
  <conditionalFormatting sqref="C253:I253 C256:I256 C250:I250 C247:I247 C244:I244 C241:I241">
    <cfRule type="expression" dxfId="42" priority="1">
      <formula>AND(C240&gt;0,C239&lt;&gt;"")</formula>
    </cfRule>
    <cfRule type="expression" dxfId="41" priority="4">
      <formula>AND(C240&lt;0,C239&lt;&gt;"")</formula>
    </cfRule>
    <cfRule type="expression" dxfId="40" priority="7">
      <formula>AND(C241=0,C239&lt;&gt;"")</formula>
    </cfRule>
  </conditionalFormatting>
  <dataValidations disablePrompts="1" count="1">
    <dataValidation type="list" allowBlank="1" showInputMessage="1" showErrorMessage="1" sqref="C3" xr:uid="{B4ABE381-AC54-4294-8C97-A0CAD103B339}">
      <formula1>"January,February,March,April,May,June,July,August,September,October,November,December"</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radePlan">
    <tabColor theme="6"/>
  </sheetPr>
  <dimension ref="A1:BK67"/>
  <sheetViews>
    <sheetView showGridLines="0" showRowColHeaders="0" topLeftCell="C1" zoomScaleNormal="100" workbookViewId="0">
      <pane ySplit="14" topLeftCell="A15" activePane="bottomLeft" state="frozen"/>
      <selection activeCell="B1" sqref="B1"/>
      <selection pane="bottomLeft" activeCell="V14" activeCellId="5" sqref="D4:E9 I4:I9 P4:P9 V4:Z4 D13:M14 V13:AA14"/>
    </sheetView>
  </sheetViews>
  <sheetFormatPr defaultColWidth="0" defaultRowHeight="15"/>
  <cols>
    <col min="1" max="2" width="2.140625" hidden="1" customWidth="1"/>
    <col min="3" max="3" width="3.42578125" customWidth="1"/>
    <col min="4" max="4" width="5.42578125" customWidth="1"/>
    <col min="5" max="5" width="6" customWidth="1"/>
    <col min="6" max="6" width="9.85546875" customWidth="1"/>
    <col min="7" max="8" width="10.5703125" customWidth="1"/>
    <col min="9" max="9" width="13.7109375" customWidth="1"/>
    <col min="10" max="10" width="5.7109375" customWidth="1"/>
    <col min="11" max="11" width="13.7109375" customWidth="1"/>
    <col min="12" max="12" width="12.7109375" customWidth="1"/>
    <col min="13" max="13" width="9.85546875" customWidth="1"/>
    <col min="14" max="17" width="10.5703125" customWidth="1"/>
    <col min="18" max="18" width="10" hidden="1" customWidth="1"/>
    <col min="19" max="19" width="9.85546875" hidden="1" customWidth="1"/>
    <col min="20" max="20" width="7.5703125" hidden="1" customWidth="1"/>
    <col min="21" max="21" width="6" hidden="1" customWidth="1"/>
    <col min="22" max="22" width="12.7109375" customWidth="1"/>
    <col min="23" max="23" width="9.85546875" customWidth="1"/>
    <col min="24" max="24" width="8" hidden="1" customWidth="1"/>
    <col min="25" max="25" width="12.7109375" customWidth="1"/>
    <col min="26" max="26" width="10.42578125" customWidth="1"/>
    <col min="27" max="27" width="90.7109375" customWidth="1"/>
    <col min="28" max="29" width="17" hidden="1" customWidth="1"/>
    <col min="30" max="30" width="3.140625" hidden="1" customWidth="1"/>
    <col min="31" max="31" width="5.5703125" hidden="1" customWidth="1"/>
    <col min="32" max="36" width="3.140625" hidden="1" customWidth="1"/>
    <col min="37" max="37" width="6.5703125" hidden="1" customWidth="1"/>
    <col min="38" max="38" width="8.5703125" hidden="1" customWidth="1"/>
    <col min="39" max="39" width="12.7109375" hidden="1" customWidth="1"/>
    <col min="40" max="40" width="9.85546875" hidden="1" customWidth="1"/>
    <col min="41" max="41" width="10" hidden="1" customWidth="1"/>
    <col min="42" max="42" width="8.140625" hidden="1" customWidth="1"/>
    <col min="43" max="43" width="12.28515625" hidden="1" customWidth="1"/>
    <col min="44" max="44" width="12" hidden="1" customWidth="1"/>
    <col min="45" max="45" width="11" hidden="1" customWidth="1"/>
    <col min="46" max="46" width="12" hidden="1" customWidth="1"/>
    <col min="47" max="47" width="11" hidden="1" customWidth="1"/>
    <col min="48" max="48" width="12" hidden="1" customWidth="1"/>
    <col min="49" max="49" width="12.7109375" hidden="1" customWidth="1"/>
    <col min="50" max="50" width="12" hidden="1" customWidth="1"/>
    <col min="51" max="54" width="8" hidden="1" customWidth="1"/>
    <col min="55" max="55" width="10.28515625" hidden="1" customWidth="1"/>
    <col min="56" max="57" width="8" hidden="1" customWidth="1"/>
    <col min="58" max="58" width="8.42578125" hidden="1" customWidth="1"/>
    <col min="59" max="63" width="0" hidden="1" customWidth="1"/>
    <col min="64" max="16384" width="8" hidden="1"/>
  </cols>
  <sheetData>
    <row r="1" spans="1:63" ht="24.95" customHeight="1">
      <c r="C1" s="268" t="s">
        <v>260</v>
      </c>
      <c r="D1" s="862"/>
      <c r="E1" s="863"/>
      <c r="F1" s="862"/>
      <c r="G1" s="864"/>
      <c r="H1" s="864"/>
      <c r="I1" s="865"/>
      <c r="J1" s="157"/>
      <c r="K1" s="865"/>
      <c r="L1" s="866"/>
      <c r="M1" s="865"/>
      <c r="N1" s="865"/>
      <c r="O1" s="865"/>
      <c r="P1" s="865"/>
      <c r="Q1" s="865"/>
      <c r="R1" s="157"/>
      <c r="S1" s="157"/>
      <c r="T1" s="157"/>
      <c r="U1" s="157"/>
      <c r="V1" s="864"/>
      <c r="W1" s="864"/>
      <c r="X1" s="157"/>
      <c r="Y1" s="865"/>
      <c r="Z1" s="865"/>
      <c r="AA1" s="852" t="str">
        <f>Settings!T3</f>
        <v>Php</v>
      </c>
      <c r="AB1">
        <v>5058451</v>
      </c>
      <c r="AK1">
        <v>-1.2386537067085872</v>
      </c>
    </row>
    <row r="2" spans="1:63" ht="3.75" customHeight="1">
      <c r="C2" s="389"/>
      <c r="D2" s="388"/>
      <c r="E2" s="389"/>
      <c r="F2" s="388"/>
      <c r="G2" s="390"/>
      <c r="H2" s="387"/>
      <c r="I2" s="388"/>
      <c r="J2" s="289"/>
      <c r="K2" s="289"/>
      <c r="L2" s="289"/>
      <c r="M2" s="206"/>
      <c r="N2" s="391"/>
      <c r="O2" s="388"/>
      <c r="P2" s="388"/>
      <c r="Q2" s="388"/>
      <c r="R2" s="289"/>
      <c r="S2" s="289"/>
      <c r="T2" s="289"/>
      <c r="U2" s="289"/>
      <c r="V2" s="289"/>
      <c r="W2" s="289"/>
      <c r="X2" s="289"/>
      <c r="Y2" s="289"/>
      <c r="Z2" s="388"/>
      <c r="AA2" s="852"/>
    </row>
    <row r="3" spans="1:63" ht="0.75" customHeight="1">
      <c r="C3" s="392"/>
      <c r="D3" s="289"/>
      <c r="E3" s="392"/>
      <c r="F3" s="289"/>
      <c r="G3" s="289"/>
      <c r="H3" s="289"/>
      <c r="I3" s="289"/>
      <c r="J3" s="289"/>
      <c r="K3" s="289"/>
      <c r="L3" s="206"/>
      <c r="M3" s="289"/>
      <c r="N3" s="393"/>
      <c r="O3" s="393"/>
      <c r="P3" s="393"/>
      <c r="Q3" s="394"/>
      <c r="R3" s="289"/>
      <c r="S3" s="289"/>
      <c r="T3" s="289"/>
      <c r="U3" s="289"/>
      <c r="V3" s="206"/>
      <c r="W3" s="206"/>
      <c r="X3" s="289"/>
      <c r="Y3" s="206"/>
      <c r="Z3" s="206"/>
      <c r="AA3" s="852"/>
    </row>
    <row r="4" spans="1:63" ht="18" customHeight="1">
      <c r="C4" s="392"/>
      <c r="D4" s="1009" t="s">
        <v>5</v>
      </c>
      <c r="E4" s="395"/>
      <c r="F4" s="289"/>
      <c r="G4" s="1082" t="str">
        <f>'Trade Log'!F3</f>
        <v>Rocketsheets</v>
      </c>
      <c r="H4" s="1082"/>
      <c r="I4" s="418" t="s">
        <v>435</v>
      </c>
      <c r="J4" s="289"/>
      <c r="K4" s="289"/>
      <c r="L4" s="396"/>
      <c r="M4" s="396"/>
      <c r="N4" s="393"/>
      <c r="O4" s="393"/>
      <c r="P4" s="418" t="s">
        <v>436</v>
      </c>
      <c r="Q4" s="394"/>
      <c r="R4" s="289"/>
      <c r="S4" s="289"/>
      <c r="T4" s="289"/>
      <c r="U4" s="289"/>
      <c r="V4" s="1090" t="s">
        <v>698</v>
      </c>
      <c r="W4" s="1090"/>
      <c r="X4" s="644"/>
      <c r="Y4" s="1090" t="s">
        <v>697</v>
      </c>
      <c r="Z4" s="1090"/>
      <c r="AA4" s="852"/>
      <c r="AB4">
        <f>N12</f>
        <v>0</v>
      </c>
      <c r="AI4" t="s">
        <v>111</v>
      </c>
    </row>
    <row r="5" spans="1:63" ht="18" customHeight="1">
      <c r="C5" s="392"/>
      <c r="D5" s="1006" t="s">
        <v>75</v>
      </c>
      <c r="E5" s="397"/>
      <c r="F5" s="289"/>
      <c r="G5" s="1083">
        <f>'Trade Log'!F9</f>
        <v>164486.53485</v>
      </c>
      <c r="H5" s="1084"/>
      <c r="I5" s="1007" t="s">
        <v>424</v>
      </c>
      <c r="J5" s="289"/>
      <c r="K5" s="398"/>
      <c r="L5" s="1085">
        <f>IF(SUM(R15:R44)=0,"No Stock Position",SUM(R15:R44))</f>
        <v>46366.378499999999</v>
      </c>
      <c r="M5" s="1086"/>
      <c r="N5" s="391"/>
      <c r="O5" s="399"/>
      <c r="P5" s="1008" t="s">
        <v>43</v>
      </c>
      <c r="Q5" s="400"/>
      <c r="R5" s="289"/>
      <c r="S5" s="289"/>
      <c r="T5" s="289"/>
      <c r="U5" s="289"/>
      <c r="V5" s="1085">
        <f>L5</f>
        <v>46366.378499999999</v>
      </c>
      <c r="W5" s="1085"/>
      <c r="X5" s="897"/>
      <c r="Y5" s="1085">
        <f>L5</f>
        <v>46366.378499999999</v>
      </c>
      <c r="Z5" s="1086"/>
      <c r="AA5" s="852"/>
      <c r="AB5">
        <f>P12</f>
        <v>0</v>
      </c>
      <c r="AI5" t="s">
        <v>41</v>
      </c>
      <c r="AJ5" t="s">
        <v>115</v>
      </c>
      <c r="AK5" t="s">
        <v>116</v>
      </c>
      <c r="AL5" t="s">
        <v>117</v>
      </c>
      <c r="AM5" t="s">
        <v>115</v>
      </c>
      <c r="AN5" t="s">
        <v>118</v>
      </c>
      <c r="AQ5">
        <f>(SUM(AM15:AM44))</f>
        <v>1501.3364999999976</v>
      </c>
      <c r="AR5" t="str">
        <f>TEXT(AQ5/$G$7,"0.00 R")</f>
        <v>0.91 R</v>
      </c>
      <c r="AV5">
        <f>1500*6</f>
        <v>9000</v>
      </c>
    </row>
    <row r="6" spans="1:63" ht="18" customHeight="1">
      <c r="C6" s="392"/>
      <c r="D6" s="1006" t="s">
        <v>444</v>
      </c>
      <c r="E6" s="395"/>
      <c r="F6" s="289"/>
      <c r="G6" s="1089">
        <v>0.01</v>
      </c>
      <c r="H6" s="1089"/>
      <c r="I6" s="1007" t="s">
        <v>427</v>
      </c>
      <c r="J6" s="289"/>
      <c r="K6" s="398"/>
      <c r="L6" s="1085">
        <f>IFERROR(SUM(K15:K44),0)</f>
        <v>47867.714999999997</v>
      </c>
      <c r="M6" s="1086"/>
      <c r="N6" s="391"/>
      <c r="O6" s="399"/>
      <c r="P6" s="1008" t="s">
        <v>44</v>
      </c>
      <c r="Q6" s="401"/>
      <c r="R6" s="289"/>
      <c r="S6" s="289"/>
      <c r="T6" s="289"/>
      <c r="U6" s="289"/>
      <c r="V6" s="1085">
        <f>IFERROR(V5+AQ6,0)</f>
        <v>44721.513151499996</v>
      </c>
      <c r="W6" s="1085"/>
      <c r="X6" s="897"/>
      <c r="Y6" s="1085">
        <f>IFERROR(Y5+AQ7,0)</f>
        <v>51300.974545500001</v>
      </c>
      <c r="Z6" s="1086"/>
      <c r="AA6" s="852"/>
      <c r="AI6" t="str">
        <f>Settings!V3</f>
        <v>Commission</v>
      </c>
      <c r="AJ6" t="str">
        <f>Settings!W3</f>
        <v>Amount</v>
      </c>
      <c r="AK6">
        <f>Settings!X3</f>
        <v>2.5000000000000001E-3</v>
      </c>
      <c r="AL6">
        <f>Settings!Y3</f>
        <v>20</v>
      </c>
      <c r="AM6" t="str">
        <f>Settings!Z3</f>
        <v>Amount</v>
      </c>
      <c r="AN6">
        <f>Settings!AA3</f>
        <v>0</v>
      </c>
      <c r="AQ6">
        <f>SUM(AO15:AO44)</f>
        <v>-1644.8653485000032</v>
      </c>
      <c r="AR6" t="str">
        <f>TEXT(AQ6/$G$7,"0.00 R")</f>
        <v>-1.00 R</v>
      </c>
      <c r="AV6">
        <v>6000</v>
      </c>
      <c r="AW6">
        <f>AV5-AV6</f>
        <v>3000</v>
      </c>
      <c r="AX6">
        <f>AW6/AV5</f>
        <v>0.33333333333333331</v>
      </c>
    </row>
    <row r="7" spans="1:63" ht="18" customHeight="1">
      <c r="C7" s="392"/>
      <c r="D7" s="1006" t="s">
        <v>445</v>
      </c>
      <c r="E7" s="397"/>
      <c r="F7" s="289"/>
      <c r="G7" s="1087">
        <f>G5*G6</f>
        <v>1644.8653485</v>
      </c>
      <c r="H7" s="1088"/>
      <c r="I7" s="1007" t="s">
        <v>425</v>
      </c>
      <c r="J7" s="289"/>
      <c r="K7" s="398"/>
      <c r="L7" s="1091">
        <f>IFERROR(IF(G9="R-Multiple",AR5,AQ5),"")</f>
        <v>1501.3364999999976</v>
      </c>
      <c r="M7" s="1092"/>
      <c r="N7" s="391"/>
      <c r="O7" s="399"/>
      <c r="P7" s="1008" t="s">
        <v>45</v>
      </c>
      <c r="Q7" s="401"/>
      <c r="R7" s="289"/>
      <c r="S7" s="289"/>
      <c r="T7" s="289"/>
      <c r="U7" s="289"/>
      <c r="V7" s="1093">
        <f>IFERROR(IF(G9="R-Multiple",AR6,AQ6),"")</f>
        <v>-1644.8653485000032</v>
      </c>
      <c r="W7" s="1093"/>
      <c r="X7" s="897"/>
      <c r="Y7" s="1091">
        <f>IFERROR(IF(G9="R-Multiple",AR7,AQ7),"")</f>
        <v>4934.5960455000022</v>
      </c>
      <c r="Z7" s="1094"/>
      <c r="AA7" s="852" t="s">
        <v>48</v>
      </c>
      <c r="AI7" t="str">
        <f>Settings!V4</f>
        <v>VAT</v>
      </c>
      <c r="AJ7" t="str">
        <f>Settings!W4</f>
        <v>Amount</v>
      </c>
      <c r="AK7">
        <f>Settings!X4</f>
        <v>2.9999999999999997E-4</v>
      </c>
      <c r="AL7">
        <f>Settings!Y4</f>
        <v>2.4</v>
      </c>
      <c r="AM7" t="str">
        <f>Settings!Z4</f>
        <v>Amount</v>
      </c>
      <c r="AN7">
        <f>Settings!AA4</f>
        <v>0</v>
      </c>
      <c r="AQ7">
        <f>SUM(AQ15:AQ44)</f>
        <v>4934.5960455000022</v>
      </c>
      <c r="AR7" t="str">
        <f>TEXT(AQ7/$G$7,"0.00 R")</f>
        <v>3.00 R</v>
      </c>
      <c r="AV7">
        <v>3000</v>
      </c>
      <c r="AW7">
        <v>2000</v>
      </c>
      <c r="AX7">
        <f>1000/AV7</f>
        <v>0.33333333333333331</v>
      </c>
    </row>
    <row r="8" spans="1:63" ht="18" customHeight="1">
      <c r="C8" s="392"/>
      <c r="D8" s="1006" t="s">
        <v>10</v>
      </c>
      <c r="E8" s="395"/>
      <c r="F8" s="289"/>
      <c r="G8" s="1104">
        <f>'Trade Log'!F10</f>
        <v>118120.15635</v>
      </c>
      <c r="H8" s="1105"/>
      <c r="I8" s="1007" t="s">
        <v>434</v>
      </c>
      <c r="J8" s="289"/>
      <c r="K8" s="289"/>
      <c r="L8" s="641"/>
      <c r="M8" s="632">
        <f>IFERROR(AQ5/L5,0)</f>
        <v>3.2379852569249024E-2</v>
      </c>
      <c r="N8" s="391"/>
      <c r="O8" s="403"/>
      <c r="P8" s="1008" t="s">
        <v>552</v>
      </c>
      <c r="Q8" s="401"/>
      <c r="R8" s="289"/>
      <c r="S8" s="289"/>
      <c r="T8" s="289"/>
      <c r="U8" s="289"/>
      <c r="V8" s="404"/>
      <c r="W8" s="402">
        <f>IFERROR(AQ6/V5,0)</f>
        <v>-3.5475389748198756E-2</v>
      </c>
      <c r="X8" s="289"/>
      <c r="Y8" s="631"/>
      <c r="Z8" s="632">
        <f>IFERROR(AQ7/Y5,0)</f>
        <v>0.10642616924459611</v>
      </c>
      <c r="AA8" s="853" t="s">
        <v>8</v>
      </c>
      <c r="AI8" t="str">
        <f>Settings!V5</f>
        <v>Tax</v>
      </c>
      <c r="AJ8" t="str">
        <f>Settings!W5</f>
        <v>Amount</v>
      </c>
      <c r="AK8">
        <f>Settings!X5</f>
        <v>1.4999999999999999E-4</v>
      </c>
      <c r="AL8">
        <f>Settings!Y5</f>
        <v>0</v>
      </c>
      <c r="AM8" t="str">
        <f>Settings!Z5</f>
        <v>Amount</v>
      </c>
      <c r="AN8">
        <f>Settings!AA5</f>
        <v>0</v>
      </c>
      <c r="AV8">
        <v>3800</v>
      </c>
      <c r="AW8">
        <v>2500</v>
      </c>
      <c r="AX8">
        <f>AW8/AV8</f>
        <v>0.65789473684210531</v>
      </c>
    </row>
    <row r="9" spans="1:63" ht="18" customHeight="1">
      <c r="C9" s="392"/>
      <c r="D9" s="1005" t="s">
        <v>181</v>
      </c>
      <c r="E9" s="395"/>
      <c r="F9" s="289"/>
      <c r="G9" s="1106" t="s">
        <v>2</v>
      </c>
      <c r="H9" s="1106"/>
      <c r="I9" s="1007" t="s">
        <v>426</v>
      </c>
      <c r="J9" s="289"/>
      <c r="K9" s="398"/>
      <c r="L9" s="1100">
        <f>IFERROR(L6+G8,"")</f>
        <v>165987.87135</v>
      </c>
      <c r="M9" s="1107"/>
      <c r="N9" s="391"/>
      <c r="O9" s="405"/>
      <c r="P9" s="1008" t="s">
        <v>46</v>
      </c>
      <c r="Q9" s="401"/>
      <c r="R9" s="289"/>
      <c r="S9" s="289"/>
      <c r="T9" s="289"/>
      <c r="U9" s="289"/>
      <c r="V9" s="1100">
        <f>IFERROR(V6+G8,0)</f>
        <v>162841.6695015</v>
      </c>
      <c r="W9" s="1100"/>
      <c r="X9" s="904"/>
      <c r="Y9" s="1100">
        <f>Y6+G8</f>
        <v>169421.13089550001</v>
      </c>
      <c r="Z9" s="1101"/>
      <c r="AA9" s="854"/>
      <c r="AB9" t="s">
        <v>156</v>
      </c>
      <c r="AI9" t="str">
        <f>Settings!V6</f>
        <v>Sales Tax</v>
      </c>
      <c r="AJ9" t="str">
        <f>Settings!W6</f>
        <v>Amount</v>
      </c>
      <c r="AK9">
        <f>Settings!X6</f>
        <v>6.0000000000000001E-3</v>
      </c>
      <c r="AL9">
        <f>Settings!Y6</f>
        <v>0</v>
      </c>
      <c r="AM9" t="str">
        <f>Settings!Z6</f>
        <v>Amount</v>
      </c>
      <c r="AN9">
        <f>Settings!AA6</f>
        <v>0</v>
      </c>
    </row>
    <row r="10" spans="1:63" ht="14.1" hidden="1" customHeight="1">
      <c r="C10" s="392"/>
      <c r="D10" s="417"/>
      <c r="E10" s="392"/>
      <c r="F10" s="406"/>
      <c r="G10" s="405"/>
      <c r="H10" s="407"/>
      <c r="I10" s="408"/>
      <c r="J10" s="289"/>
      <c r="K10" s="408"/>
      <c r="L10" s="408"/>
      <c r="M10" s="408"/>
      <c r="N10" s="391"/>
      <c r="O10" s="409"/>
      <c r="P10" s="410"/>
      <c r="Q10" s="206"/>
      <c r="R10" s="289"/>
      <c r="S10" s="289"/>
      <c r="T10" s="289"/>
      <c r="U10" s="289"/>
      <c r="V10" s="206"/>
      <c r="W10" s="206"/>
      <c r="X10" s="289"/>
      <c r="Y10" s="206"/>
      <c r="Z10" s="206"/>
      <c r="AA10" s="854"/>
      <c r="AB10" t="s">
        <v>110</v>
      </c>
    </row>
    <row r="11" spans="1:63" ht="6.75" customHeight="1">
      <c r="C11" s="389"/>
      <c r="D11" s="417"/>
      <c r="E11" s="389"/>
      <c r="F11" s="406"/>
      <c r="G11" s="206"/>
      <c r="H11" s="206"/>
      <c r="I11" s="408"/>
      <c r="J11" s="289"/>
      <c r="K11" s="289"/>
      <c r="L11" s="411"/>
      <c r="M11" s="411"/>
      <c r="N11" s="412"/>
      <c r="O11" s="412"/>
      <c r="P11" s="412"/>
      <c r="Q11" s="413"/>
      <c r="R11" s="289"/>
      <c r="S11" s="289"/>
      <c r="T11" s="289"/>
      <c r="U11" s="289"/>
      <c r="V11" s="411"/>
      <c r="W11" s="411"/>
      <c r="X11" s="289"/>
      <c r="Y11" s="411"/>
      <c r="Z11" s="411"/>
      <c r="AA11" s="854"/>
      <c r="AB11" t="s">
        <v>2</v>
      </c>
    </row>
    <row r="12" spans="1:63" ht="7.5" customHeight="1">
      <c r="A12" s="57"/>
      <c r="B12" s="57"/>
      <c r="C12" s="574"/>
      <c r="D12" s="414"/>
      <c r="E12" s="414"/>
      <c r="F12" s="415"/>
      <c r="G12" s="415"/>
      <c r="H12" s="415"/>
      <c r="I12" s="416"/>
      <c r="J12" s="416"/>
      <c r="K12" s="416"/>
      <c r="L12" s="416"/>
      <c r="M12" s="416"/>
      <c r="N12" s="1102"/>
      <c r="O12" s="1102"/>
      <c r="P12" s="1102"/>
      <c r="Q12" s="1102"/>
      <c r="R12" s="289"/>
      <c r="S12" s="289"/>
      <c r="T12" s="289"/>
      <c r="U12" s="289"/>
      <c r="V12" s="411"/>
      <c r="W12" s="411"/>
      <c r="X12" s="289"/>
      <c r="Y12" s="411"/>
      <c r="Z12" s="411"/>
      <c r="AA12" s="855"/>
      <c r="AB12" t="s">
        <v>158</v>
      </c>
      <c r="AC12" t="s">
        <v>47</v>
      </c>
    </row>
    <row r="13" spans="1:63" ht="20.100000000000001" customHeight="1" thickBot="1">
      <c r="C13" s="1108"/>
      <c r="D13" s="1109" t="s">
        <v>419</v>
      </c>
      <c r="E13" s="1103" t="s">
        <v>418</v>
      </c>
      <c r="F13" s="1109" t="s">
        <v>371</v>
      </c>
      <c r="G13" s="1103" t="s">
        <v>159</v>
      </c>
      <c r="H13" s="1103" t="s">
        <v>420</v>
      </c>
      <c r="I13" s="1103" t="s">
        <v>421</v>
      </c>
      <c r="J13" s="1103" t="s">
        <v>540</v>
      </c>
      <c r="K13" s="1099" t="s">
        <v>157</v>
      </c>
      <c r="L13" s="1099"/>
      <c r="M13" s="1099"/>
      <c r="N13" s="1095" t="s">
        <v>414</v>
      </c>
      <c r="O13" s="1097" t="s">
        <v>231</v>
      </c>
      <c r="P13" s="643" t="s">
        <v>183</v>
      </c>
      <c r="Q13" s="642" t="s">
        <v>184</v>
      </c>
      <c r="V13" s="981" t="s">
        <v>182</v>
      </c>
      <c r="W13" s="981"/>
      <c r="X13" s="998"/>
      <c r="Y13" s="982"/>
      <c r="Z13" s="982"/>
      <c r="AA13" s="1010"/>
      <c r="AB13" t="s">
        <v>49</v>
      </c>
      <c r="BB13" t="s">
        <v>541</v>
      </c>
    </row>
    <row r="14" spans="1:63" ht="15" customHeight="1" thickBot="1">
      <c r="C14" s="1108"/>
      <c r="D14" s="1109"/>
      <c r="E14" s="1103"/>
      <c r="F14" s="1109"/>
      <c r="G14" s="1103"/>
      <c r="H14" s="1103"/>
      <c r="I14" s="1103"/>
      <c r="J14" s="1103"/>
      <c r="K14" s="980" t="s">
        <v>422</v>
      </c>
      <c r="L14" s="980" t="s">
        <v>125</v>
      </c>
      <c r="M14" s="980" t="s">
        <v>160</v>
      </c>
      <c r="N14" s="1096"/>
      <c r="O14" s="1098"/>
      <c r="P14" s="640">
        <v>1</v>
      </c>
      <c r="Q14" s="639">
        <v>3</v>
      </c>
      <c r="R14" t="s">
        <v>172</v>
      </c>
      <c r="T14" t="s">
        <v>422</v>
      </c>
      <c r="V14" s="980" t="s">
        <v>125</v>
      </c>
      <c r="W14" s="980" t="s">
        <v>160</v>
      </c>
      <c r="X14" s="998"/>
      <c r="Y14" s="980" t="s">
        <v>125</v>
      </c>
      <c r="Z14" s="980" t="s">
        <v>160</v>
      </c>
      <c r="AA14" s="983" t="s">
        <v>423</v>
      </c>
      <c r="AB14" t="s">
        <v>246</v>
      </c>
      <c r="AC14" t="s">
        <v>245</v>
      </c>
      <c r="AG14" t="s">
        <v>174</v>
      </c>
      <c r="AH14" t="s">
        <v>174</v>
      </c>
      <c r="AI14" t="s">
        <v>174</v>
      </c>
      <c r="AJ14" t="s">
        <v>174</v>
      </c>
      <c r="AK14" t="s">
        <v>171</v>
      </c>
      <c r="AL14" t="s">
        <v>170</v>
      </c>
      <c r="AM14" t="s">
        <v>81</v>
      </c>
      <c r="AN14" t="s">
        <v>244</v>
      </c>
      <c r="AO14" t="s">
        <v>248</v>
      </c>
      <c r="AP14" t="s">
        <v>244</v>
      </c>
      <c r="AQ14" t="s">
        <v>247</v>
      </c>
      <c r="AR14" t="s">
        <v>174</v>
      </c>
      <c r="AS14" t="s">
        <v>174</v>
      </c>
      <c r="AT14" t="s">
        <v>174</v>
      </c>
      <c r="AU14" t="s">
        <v>174</v>
      </c>
      <c r="AV14" t="s">
        <v>173</v>
      </c>
      <c r="AY14" t="s">
        <v>176</v>
      </c>
      <c r="AZ14" t="s">
        <v>177</v>
      </c>
      <c r="BA14" t="s">
        <v>143</v>
      </c>
      <c r="BB14" t="s">
        <v>178</v>
      </c>
      <c r="BC14" t="s">
        <v>179</v>
      </c>
      <c r="BD14" t="s">
        <v>542</v>
      </c>
      <c r="BE14" t="s">
        <v>543</v>
      </c>
      <c r="BF14" t="s">
        <v>180</v>
      </c>
      <c r="BG14" t="s">
        <v>180</v>
      </c>
      <c r="BH14" t="s">
        <v>214</v>
      </c>
      <c r="BI14" t="s">
        <v>214</v>
      </c>
      <c r="BJ14" t="s">
        <v>543</v>
      </c>
    </row>
    <row r="15" spans="1:63" ht="21.95" customHeight="1">
      <c r="C15" s="575">
        <v>1</v>
      </c>
      <c r="D15" s="419">
        <f>IFERROR((R15/$L$5)*100,"")</f>
        <v>100</v>
      </c>
      <c r="E15" s="508" t="s">
        <v>156</v>
      </c>
      <c r="F15" s="627" t="s">
        <v>591</v>
      </c>
      <c r="G15" s="624">
        <v>7</v>
      </c>
      <c r="H15" s="625">
        <v>6.7197649999999998</v>
      </c>
      <c r="I15" s="626">
        <v>6900</v>
      </c>
      <c r="J15" s="590">
        <f>IFERROR(IF(F15="","",calc!BO15),"")</f>
        <v>27</v>
      </c>
      <c r="K15" s="591">
        <f t="shared" ref="K15:K20" si="0">IF(I15=0,"",IF((G15=""),"",IF(E15="Short",T15+AK15,T15-AK15)))</f>
        <v>47867.714999999997</v>
      </c>
      <c r="L15" s="592">
        <f t="shared" ref="L15:L20" si="1">IFERROR(IF($G$9="R-Multiple",AL15,AM15),"")</f>
        <v>1501.3364999999976</v>
      </c>
      <c r="M15" s="593">
        <f>IFERROR(S15/R15,"")</f>
        <v>3.2379852569249024E-2</v>
      </c>
      <c r="N15" s="618"/>
      <c r="O15" s="619"/>
      <c r="P15" s="628">
        <f t="shared" ref="P15:P20" si="2">IFERROR(IF(AE15="L",(R15-($G$7*$P$14)+AV15)/I15,((R15+($G$7*$P$14)+AV15)/I15)),"")</f>
        <v>6.5415206143586948</v>
      </c>
      <c r="Q15" s="628">
        <f t="shared" ref="Q15:Q20" si="3">IFERROR(IF(AE15="L",(R15+($G$7*$Q$14)+AV15)/I15,((R15-($G$7*$Q$14)+AV15)/I15)),"")</f>
        <v>7.495065743923913</v>
      </c>
      <c r="R15" s="513">
        <f t="shared" ref="R15:R20" si="4">H15*I15</f>
        <v>46366.378499999999</v>
      </c>
      <c r="S15" s="513">
        <f>K15-R15</f>
        <v>1501.3364999999976</v>
      </c>
      <c r="T15" s="513">
        <f t="shared" ref="T15:T20" si="5">G15*I15</f>
        <v>48300</v>
      </c>
      <c r="U15" s="513" t="str">
        <f>IFERROR(IF(F15="","",IF(INDEX('Stock Position'!$Z$252:$Z$1015,MATCH(F15,'Trade Log'!$CV$55:$CV$1172,0))="L","LONG","SHORT")),"LONG")</f>
        <v>LONG</v>
      </c>
      <c r="V15" s="609">
        <f>AW15</f>
        <v>-1644.8653485000032</v>
      </c>
      <c r="W15" s="610">
        <f t="shared" ref="W15:W20" si="6">IFERROR(AO15/R15,"")</f>
        <v>-3.5475389748198756E-2</v>
      </c>
      <c r="X15" s="611"/>
      <c r="Y15" s="633">
        <f>AX15</f>
        <v>4934.5960455000022</v>
      </c>
      <c r="Z15" s="634">
        <f t="shared" ref="Z15:Z20" si="7">IFERROR(AQ15/R15,"")</f>
        <v>0.10642616924459611</v>
      </c>
      <c r="AA15" s="602"/>
      <c r="AB15">
        <f t="shared" ref="AB15:AB44" si="8">IF(N15="",P15,N15)</f>
        <v>6.5415206143586948</v>
      </c>
      <c r="AC15">
        <f t="shared" ref="AC15:AC44" si="9">IF(O15="",Q15,O15)</f>
        <v>7.495065743923913</v>
      </c>
      <c r="AE15" t="str">
        <f t="shared" ref="AE15:AE44" si="10">IFERROR(IF(E15="SHORT","s","L"),"L")</f>
        <v>L</v>
      </c>
      <c r="AG15">
        <f t="shared" ref="AG15:AG44" si="11">IF(I15="","",IF(IF($AM$6="Amount",$AN$6*T15,IF($AM$6="Total Shares",$AN$6*I15,$AN$6))=0,MAX(IF($AJ$6="amount",(T15*$AK$6),IF($AJ$6="Total Shares",($AK$6*I15),$AK$6)),$AL$6),MIN(IF($AM$6="Amount",$AN$6*T15,IF($AM$6="Total Shares",$AN$6*I15,$AN$6)),MAX(IF($AJ$6="amount",(T15*$AK$6),IF($AJ$6="Total Shares",($AK$6*I15),$AK$6)),$AL$6))))</f>
        <v>120.75</v>
      </c>
      <c r="AH15">
        <f t="shared" ref="AH15:AH44" si="12">IF(I15="","",IF(IF($AM$7="Amount",$AN$7*T15,IF($AM$7="Total Shares",$AN$7*I15,$AN$7))=0,MAX(IF($AJ$7="amount",(T15*$AK$7),IF($AJ$7="Total Shares",($AK$7*I15),$AK$7)),$AL$7),MIN(IF($AM$7="Amount",$AN$7*T15,IF($AM$7="Total Shares",$AN$7*I15,$AN$7)),MAX(IF($AJ$7="amount",(T15*$AK$7),IF($AJ$7="Total Shares",($AK$7*I15),$AK$7)),$AL$7))))</f>
        <v>14.489999999999998</v>
      </c>
      <c r="AI15">
        <f t="shared" ref="AI15:AI44" si="13">IF(IF($AM$8="Amount",$AN$8*T15,IF($AM$8="Total Shares",$AN$8*I15,$AN$8))=0,MAX(IF($AJ$8="amount",(T15*$AK$8),IF($AJ$8="Total Shares",($AK$8*I15),$AK$8)),$AL$8),MIN(IF($AM$8="Amount",$AN$8*T15,IF($AM$8="Total Shares",$AN$8*I15,$AN$8)),MAX(IF($AJ$8="amount",(T15*$AK$8),IF($AJ$8="Total Shares",($AK$8*I15),$AK$8)),$AL$8)))</f>
        <v>7.2449999999999992</v>
      </c>
      <c r="AJ15">
        <f t="shared" ref="AJ15:AJ44" si="14">IF(IF($AM$9="Amount",$AN$9*T15,IF($AM$9="Total Shares",$AN$9*I15,$AN$9))=0,MAX(IF($AJ$9="amount",(T15*$AK$9),IF($AJ$9="Total Shares",($AK$9*I15),$AK$9)),$AL$9),MIN(IF($AM$9="Amount",$AN$9*T15,IF($AM$9="Total Shares",$AN$9*I15,$AN$9)),MAX(IF($AJ$9="amount",(T15*$AK$9),IF($AJ$9="Total Shares",($AK$9*I15),$AK$9)),$AL$9)))</f>
        <v>289.8</v>
      </c>
      <c r="AK15">
        <f>SUM(AG15:AJ15)</f>
        <v>432.28500000000003</v>
      </c>
      <c r="AL15" t="str">
        <f t="shared" ref="AL15:AL44" si="15">TEXT((AM15/$G$7),"0.00R")</f>
        <v>0.91R</v>
      </c>
      <c r="AM15">
        <f t="shared" ref="AM15:AM44" si="16">IFERROR(IF(R15=0,"",IF(AE15="L",K15-R15,(R15-K15)-AJ15)),0)</f>
        <v>1501.3364999999976</v>
      </c>
      <c r="AN15" t="str">
        <f t="shared" ref="AN15:AN44" si="17">TEXT((AO15/$G$7),"0.00R")</f>
        <v>-1.00R</v>
      </c>
      <c r="AO15">
        <f t="shared" ref="AO15:AO44" si="18">IFERROR(IF(AB15=0,"",IF(AE15="L",(((AB15*I15)-AV15)-R15),(R15-((AB15*I15)-AU15)))),"")</f>
        <v>-1644.8653485000032</v>
      </c>
      <c r="AP15" t="str">
        <f t="shared" ref="AP15:AP44" si="19">IF(F15="","",TEXT((AQ15/$G$7),"0.00R"))</f>
        <v>3.00R</v>
      </c>
      <c r="AQ15">
        <f t="shared" ref="AQ15:AQ44" si="20">IF(AC15=0,"",IFERROR(IF(AE15="L",(((AC15*I15)-AV15)-R15),(R15-((AC15*I15)-AU15))),""))</f>
        <v>4934.5960455000022</v>
      </c>
      <c r="AR15">
        <f t="shared" ref="AR15:AR44" si="21">IF(I15="","",IF(IF($AM$6="Amount",$AN$6*R15,IF($AM$6="Total Shares",$AN$6*I15,$AN$6))=0,MAX(IF($AJ$6="amount",(R15*$AK$6),IF($AJ$6="Total Shares",($AK$6*I15),$AK$6)),$AL$6),MIN(IF($AM$6="Amount",$AN$6*R15,IF($AM$6="Total Shares",$AN$6*I15,$AN$6)),MAX(IF($AJ$6="amount",(R15*$AK$6),IF($AJ$6="Total Shares",($AK$6*I15),$AK$6)),$AL$6))))</f>
        <v>115.91594625</v>
      </c>
      <c r="AS15">
        <f t="shared" ref="AS15:AS44" si="22">IF(I15="","",IF(IF($AM$7="Amount",$AN$7*R15,IF($AM$7="Total Shares",$AN$7*I15,$AN$7))=0,MAX(IF($AJ$7="amount",(R15*$AK$7),IF($AJ$7="Total Shares",($AK$7*I15),$AK$7)),$AL$7),MIN(IF($AM$7="Amount",$AN$7*R15,IF($AM$7="Total Shares",$AN$7*I15,$AN$7)),MAX(IF($AJ$7="amount",(R15*$AK$7),IF($AJ$7="Total Shares",($AK$7*I15),$AK$7)),$AL$7))))</f>
        <v>13.909913549999999</v>
      </c>
      <c r="AT15">
        <f t="shared" ref="AT15:AT44" si="23">IF(IF($AM$8="Amount",$AN$8*R15,IF($AM$8="Total Shares",$AN$8*I15,$AN$8))=0,MAX(IF($AJ$8="amount",(R15*$AK$8),IF($AJ$8="Total Shares",($AK$8*I15),$AK$8)),$AL$8),MIN(IF($AM$8="Amount",$AN$8*R15,IF($AM$8="Total Shares",$AN$8*I15,$AN$8)),MAX(IF($AJ$8="amount",(R15*$AK$8),IF($AJ$8="Total Shares",($AK$8*I15),$AK$8)),$AL$8)))</f>
        <v>6.9549567749999994</v>
      </c>
      <c r="AU15">
        <f t="shared" ref="AU15:AU44" si="24">IF(IF($AM$9="Amount",$AN$9*R15,IF($AM$9="Total Shares",$AN$9*I15,$AN$9))=0,MAX(IF($AJ$9="amount",(R15*$AK$9),IF($AJ$9="Total Shares",($AK$9*I15),$AK$9)),$AL$9),MIN(IF($AM$9="Amount",$AN$9*R15,IF($AM$9="Total Shares",$AN$9*I15,$AN$9)),MAX(IF($AJ$9="amount",(R15*$AK$9),IF($AJ$9="Total Shares",($AK$9*I15),$AK$9)),$AL$9)))</f>
        <v>278.19827099999998</v>
      </c>
      <c r="AV15">
        <f>SUM(AR15:AU15)</f>
        <v>414.97908757499999</v>
      </c>
      <c r="AW15">
        <f t="shared" ref="AW15:AW44" si="25">IF(I15="","",IFERROR(IF($G$9="R-Multiple",AN15,AO15),""))</f>
        <v>-1644.8653485000032</v>
      </c>
      <c r="AX15">
        <f t="shared" ref="AX15:AX44" si="26">IF(I15="","",IFERROR(IF($G$9="R-Multiple",AP15,AQ15),""))</f>
        <v>4934.5960455000022</v>
      </c>
      <c r="AY15" t="str">
        <f>calc!BI15</f>
        <v>PXP</v>
      </c>
      <c r="AZ15">
        <f>IF(calc!BK15=0,"",calc!BK15)</f>
        <v>6.7197649999999998</v>
      </c>
      <c r="BA15">
        <f>IF(calc!BJ15=0,"",calc!BJ15)</f>
        <v>6900</v>
      </c>
      <c r="BD15" t="s">
        <v>599</v>
      </c>
      <c r="BE15">
        <v>80</v>
      </c>
      <c r="BF15" t="str">
        <f>IFERROR(INDEX($BB$15:$BB$44,MATCH(AY15,$BD$15:$BD$44,0)),"")</f>
        <v/>
      </c>
      <c r="BG15" t="str">
        <f>IFERROR(INDEX($BC$15:$BC$44,MATCH(AY15,$BD$15:$BD$44,0)),"")</f>
        <v/>
      </c>
      <c r="BH15" t="str">
        <f>IF(BF15=0,"",BF15)</f>
        <v/>
      </c>
      <c r="BI15" t="str">
        <f>IF(BG15=0,"",BG15)</f>
        <v/>
      </c>
      <c r="BJ15" t="str">
        <f>IF(BK15=0,"",BK15)</f>
        <v/>
      </c>
      <c r="BK15" t="str">
        <f>IFERROR(INDEX($BE$15:$BE$44,MATCH(AY15,$BD$15:$BD$44,0)),"")</f>
        <v/>
      </c>
    </row>
    <row r="16" spans="1:63" ht="21.95" customHeight="1">
      <c r="A16" s="88"/>
      <c r="B16" s="88"/>
      <c r="C16" s="575">
        <f>C15+1</f>
        <v>2</v>
      </c>
      <c r="D16" s="420">
        <f t="shared" ref="D16:D20" si="27">IFERROR((R16/$L$5)*100,"")</f>
        <v>0</v>
      </c>
      <c r="E16" s="508"/>
      <c r="F16" s="627"/>
      <c r="G16" s="624"/>
      <c r="H16" s="625"/>
      <c r="I16" s="626"/>
      <c r="J16" s="594" t="str">
        <f>IFERROR(IF(F16="","",calc!BO16),"")</f>
        <v/>
      </c>
      <c r="K16" s="595" t="str">
        <f t="shared" si="0"/>
        <v/>
      </c>
      <c r="L16" s="596" t="str">
        <f t="shared" si="1"/>
        <v/>
      </c>
      <c r="M16" s="597" t="str">
        <f t="shared" ref="M16:M20" si="28">IFERROR(S16/R16,"")</f>
        <v/>
      </c>
      <c r="N16" s="620"/>
      <c r="O16" s="621"/>
      <c r="P16" s="629" t="str">
        <f t="shared" si="2"/>
        <v/>
      </c>
      <c r="Q16" s="629" t="str">
        <f t="shared" si="3"/>
        <v/>
      </c>
      <c r="R16" s="517">
        <f t="shared" si="4"/>
        <v>0</v>
      </c>
      <c r="S16" s="517" t="e">
        <f t="shared" ref="S16:S20" si="29">K16-R16</f>
        <v>#VALUE!</v>
      </c>
      <c r="T16" s="517">
        <f t="shared" si="5"/>
        <v>0</v>
      </c>
      <c r="U16" s="517" t="str">
        <f>IFERROR(IF(F16="","",IF(INDEX('Stock Position'!$Z$252:$Z$1015,MATCH(F16,'Trade Log'!$CV$55:$CV$1172,0))="L","LONG","SHORT")),"LONG")</f>
        <v/>
      </c>
      <c r="V16" s="612" t="str">
        <f t="shared" ref="V16:V20" si="30">AW16</f>
        <v/>
      </c>
      <c r="W16" s="613" t="str">
        <f t="shared" si="6"/>
        <v/>
      </c>
      <c r="X16" s="614"/>
      <c r="Y16" s="635" t="str">
        <f t="shared" ref="Y16:Y20" si="31">AX16</f>
        <v/>
      </c>
      <c r="Z16" s="636" t="str">
        <f t="shared" si="7"/>
        <v/>
      </c>
      <c r="AA16" s="602"/>
      <c r="AB16" t="str">
        <f t="shared" si="8"/>
        <v/>
      </c>
      <c r="AC16" t="str">
        <f t="shared" si="9"/>
        <v/>
      </c>
      <c r="AE16" t="str">
        <f t="shared" si="10"/>
        <v>L</v>
      </c>
      <c r="AG16" t="str">
        <f t="shared" si="11"/>
        <v/>
      </c>
      <c r="AH16" t="str">
        <f t="shared" si="12"/>
        <v/>
      </c>
      <c r="AI16">
        <f t="shared" si="13"/>
        <v>0</v>
      </c>
      <c r="AJ16">
        <f t="shared" si="14"/>
        <v>0</v>
      </c>
      <c r="AK16">
        <f>SUM(AG16:AJ16)</f>
        <v>0</v>
      </c>
      <c r="AL16" t="e">
        <f t="shared" si="15"/>
        <v>#VALUE!</v>
      </c>
      <c r="AM16" t="str">
        <f t="shared" si="16"/>
        <v/>
      </c>
      <c r="AN16" t="e">
        <f t="shared" si="17"/>
        <v>#VALUE!</v>
      </c>
      <c r="AO16" t="str">
        <f t="shared" si="18"/>
        <v/>
      </c>
      <c r="AP16" t="str">
        <f t="shared" si="19"/>
        <v/>
      </c>
      <c r="AQ16" t="str">
        <f t="shared" si="20"/>
        <v/>
      </c>
      <c r="AR16" t="str">
        <f t="shared" si="21"/>
        <v/>
      </c>
      <c r="AS16" t="str">
        <f t="shared" si="22"/>
        <v/>
      </c>
      <c r="AT16">
        <f t="shared" si="23"/>
        <v>0</v>
      </c>
      <c r="AU16">
        <f t="shared" si="24"/>
        <v>0</v>
      </c>
      <c r="AV16">
        <f t="shared" ref="AV16:AV44" si="32">SUM(AR16:AU16)</f>
        <v>0</v>
      </c>
      <c r="AW16" t="str">
        <f t="shared" si="25"/>
        <v/>
      </c>
      <c r="AX16" t="str">
        <f t="shared" si="26"/>
        <v/>
      </c>
      <c r="AY16" t="str">
        <f>calc!BI16</f>
        <v/>
      </c>
      <c r="AZ16" t="str">
        <f>IF(calc!BK16=0,"",calc!BK16)</f>
        <v/>
      </c>
      <c r="BA16" t="str">
        <f>IF(calc!BJ16=0,"",calc!BJ16)</f>
        <v/>
      </c>
      <c r="BD16" t="s">
        <v>588</v>
      </c>
      <c r="BE16">
        <v>16.2</v>
      </c>
      <c r="BF16" t="str">
        <f>IFERROR(INDEX($BB$15:$BB$44,MATCH(AY16,$BD$15:$BD$44,0)),"")</f>
        <v/>
      </c>
      <c r="BG16" t="str">
        <f>IFERROR(INDEX($BC$15:$BC$44,MATCH(AY16,$BD$15:$BD$44,0)),"")</f>
        <v/>
      </c>
      <c r="BH16" t="str">
        <f t="shared" ref="BH16:BH44" si="33">IF(BF16=0,"",BF16)</f>
        <v/>
      </c>
      <c r="BI16" t="str">
        <f t="shared" ref="BI16:BI44" si="34">IF(BG16=0,"",BG16)</f>
        <v/>
      </c>
      <c r="BJ16" t="str">
        <f t="shared" ref="BJ16:BJ44" si="35">IF(BK16=0,"",BK16)</f>
        <v/>
      </c>
      <c r="BK16" t="str">
        <f t="shared" ref="BK16:BK44" si="36">IFERROR(INDEX($BE$15:$BE$44,MATCH(AY16,$BD$15:$BD$44,0)),"")</f>
        <v/>
      </c>
    </row>
    <row r="17" spans="1:63" ht="21.95" customHeight="1">
      <c r="A17" s="88"/>
      <c r="B17" s="88"/>
      <c r="C17" s="575">
        <f t="shared" ref="C17:C20" si="37">C16+1</f>
        <v>3</v>
      </c>
      <c r="D17" s="420">
        <f t="shared" si="27"/>
        <v>0</v>
      </c>
      <c r="E17" s="508"/>
      <c r="F17" s="627"/>
      <c r="G17" s="624"/>
      <c r="H17" s="625"/>
      <c r="I17" s="626"/>
      <c r="J17" s="594" t="str">
        <f>IFERROR(IF(F17="","",calc!BO17),"")</f>
        <v/>
      </c>
      <c r="K17" s="595" t="str">
        <f t="shared" si="0"/>
        <v/>
      </c>
      <c r="L17" s="596" t="str">
        <f t="shared" si="1"/>
        <v/>
      </c>
      <c r="M17" s="597" t="str">
        <f t="shared" si="28"/>
        <v/>
      </c>
      <c r="N17" s="620"/>
      <c r="O17" s="621"/>
      <c r="P17" s="629" t="str">
        <f t="shared" si="2"/>
        <v/>
      </c>
      <c r="Q17" s="629" t="str">
        <f t="shared" si="3"/>
        <v/>
      </c>
      <c r="R17" s="517">
        <f t="shared" si="4"/>
        <v>0</v>
      </c>
      <c r="S17" s="517" t="e">
        <f t="shared" si="29"/>
        <v>#VALUE!</v>
      </c>
      <c r="T17" s="517">
        <f t="shared" si="5"/>
        <v>0</v>
      </c>
      <c r="U17" s="517" t="str">
        <f>IFERROR(IF(F17="","",IF(INDEX('Stock Position'!$Z$252:$Z$1015,MATCH(F17,'Trade Log'!$CV$55:$CV$1172,0))="L","LONG","SHORT")),"LONG")</f>
        <v/>
      </c>
      <c r="V17" s="612" t="str">
        <f t="shared" si="30"/>
        <v/>
      </c>
      <c r="W17" s="613" t="str">
        <f t="shared" si="6"/>
        <v/>
      </c>
      <c r="X17" s="614"/>
      <c r="Y17" s="635" t="str">
        <f t="shared" si="31"/>
        <v/>
      </c>
      <c r="Z17" s="636" t="str">
        <f t="shared" si="7"/>
        <v/>
      </c>
      <c r="AA17" s="602"/>
      <c r="AB17" t="str">
        <f t="shared" si="8"/>
        <v/>
      </c>
      <c r="AC17" t="str">
        <f t="shared" si="9"/>
        <v/>
      </c>
      <c r="AE17" t="str">
        <f t="shared" si="10"/>
        <v>L</v>
      </c>
      <c r="AG17" t="str">
        <f t="shared" si="11"/>
        <v/>
      </c>
      <c r="AH17" t="str">
        <f t="shared" si="12"/>
        <v/>
      </c>
      <c r="AI17">
        <f t="shared" si="13"/>
        <v>0</v>
      </c>
      <c r="AJ17">
        <f t="shared" si="14"/>
        <v>0</v>
      </c>
      <c r="AK17">
        <f t="shared" ref="AK17:AK44" si="38">SUM(AG17:AJ17)</f>
        <v>0</v>
      </c>
      <c r="AL17" t="e">
        <f t="shared" si="15"/>
        <v>#VALUE!</v>
      </c>
      <c r="AM17" t="str">
        <f t="shared" si="16"/>
        <v/>
      </c>
      <c r="AN17" t="e">
        <f t="shared" si="17"/>
        <v>#VALUE!</v>
      </c>
      <c r="AO17" t="str">
        <f t="shared" si="18"/>
        <v/>
      </c>
      <c r="AP17" t="str">
        <f t="shared" si="19"/>
        <v/>
      </c>
      <c r="AQ17" t="str">
        <f t="shared" si="20"/>
        <v/>
      </c>
      <c r="AR17" t="str">
        <f t="shared" si="21"/>
        <v/>
      </c>
      <c r="AS17" t="str">
        <f t="shared" si="22"/>
        <v/>
      </c>
      <c r="AT17">
        <f t="shared" si="23"/>
        <v>0</v>
      </c>
      <c r="AU17">
        <f t="shared" si="24"/>
        <v>0</v>
      </c>
      <c r="AV17">
        <f t="shared" si="32"/>
        <v>0</v>
      </c>
      <c r="AW17" t="str">
        <f t="shared" si="25"/>
        <v/>
      </c>
      <c r="AX17" t="str">
        <f t="shared" si="26"/>
        <v/>
      </c>
      <c r="AY17" t="str">
        <f>calc!BI17</f>
        <v/>
      </c>
      <c r="AZ17" t="str">
        <f>IF(calc!BK17=0,"",calc!BK17)</f>
        <v/>
      </c>
      <c r="BA17" t="str">
        <f>IF(calc!BJ17=0,"",calc!BJ17)</f>
        <v/>
      </c>
      <c r="BD17" t="s">
        <v>600</v>
      </c>
      <c r="BE17">
        <v>3.2</v>
      </c>
      <c r="BF17" t="str">
        <f t="shared" ref="BF17:BF44" si="39">IFERROR(INDEX($BB$15:$BB$44,MATCH(AY17,$BD$15:$BD$44,0)),"")</f>
        <v/>
      </c>
      <c r="BG17" t="str">
        <f t="shared" ref="BG17:BG44" si="40">IFERROR(INDEX($BC$15:$BC$44,MATCH(AY17,$BD$15:$BD$44,0)),"")</f>
        <v/>
      </c>
      <c r="BH17" t="str">
        <f t="shared" si="33"/>
        <v/>
      </c>
      <c r="BI17" t="str">
        <f t="shared" si="34"/>
        <v/>
      </c>
      <c r="BJ17" t="str">
        <f t="shared" si="35"/>
        <v/>
      </c>
      <c r="BK17" t="str">
        <f t="shared" si="36"/>
        <v/>
      </c>
    </row>
    <row r="18" spans="1:63" ht="21.95" customHeight="1">
      <c r="A18" s="88"/>
      <c r="B18" s="88"/>
      <c r="C18" s="575">
        <f t="shared" si="37"/>
        <v>4</v>
      </c>
      <c r="D18" s="420">
        <f t="shared" si="27"/>
        <v>0</v>
      </c>
      <c r="E18" s="508"/>
      <c r="F18" s="627"/>
      <c r="G18" s="624"/>
      <c r="H18" s="625"/>
      <c r="I18" s="626"/>
      <c r="J18" s="594" t="str">
        <f>IFERROR(IF(F18="","",calc!BO18),"")</f>
        <v/>
      </c>
      <c r="K18" s="595" t="str">
        <f t="shared" si="0"/>
        <v/>
      </c>
      <c r="L18" s="596" t="str">
        <f t="shared" si="1"/>
        <v/>
      </c>
      <c r="M18" s="597" t="str">
        <f t="shared" si="28"/>
        <v/>
      </c>
      <c r="N18" s="620"/>
      <c r="O18" s="621"/>
      <c r="P18" s="629" t="str">
        <f t="shared" si="2"/>
        <v/>
      </c>
      <c r="Q18" s="629" t="str">
        <f t="shared" si="3"/>
        <v/>
      </c>
      <c r="R18" s="517">
        <f t="shared" si="4"/>
        <v>0</v>
      </c>
      <c r="S18" s="517" t="e">
        <f t="shared" si="29"/>
        <v>#VALUE!</v>
      </c>
      <c r="T18" s="517">
        <f t="shared" si="5"/>
        <v>0</v>
      </c>
      <c r="U18" s="517" t="str">
        <f>IFERROR(IF(F18="","",IF(INDEX('Stock Position'!$Z$252:$Z$1015,MATCH(F18,'Trade Log'!$CV$55:$CV$1172,0))="L","LONG","SHORT")),"LONG")</f>
        <v/>
      </c>
      <c r="V18" s="612" t="str">
        <f t="shared" si="30"/>
        <v/>
      </c>
      <c r="W18" s="613" t="str">
        <f t="shared" si="6"/>
        <v/>
      </c>
      <c r="X18" s="614"/>
      <c r="Y18" s="635" t="str">
        <f t="shared" si="31"/>
        <v/>
      </c>
      <c r="Z18" s="636" t="str">
        <f t="shared" si="7"/>
        <v/>
      </c>
      <c r="AA18" s="602"/>
      <c r="AB18" t="str">
        <f t="shared" si="8"/>
        <v/>
      </c>
      <c r="AC18" t="str">
        <f t="shared" si="9"/>
        <v/>
      </c>
      <c r="AE18" t="str">
        <f t="shared" si="10"/>
        <v>L</v>
      </c>
      <c r="AG18" t="str">
        <f t="shared" si="11"/>
        <v/>
      </c>
      <c r="AH18" t="str">
        <f t="shared" si="12"/>
        <v/>
      </c>
      <c r="AI18">
        <f t="shared" si="13"/>
        <v>0</v>
      </c>
      <c r="AJ18">
        <f t="shared" si="14"/>
        <v>0</v>
      </c>
      <c r="AK18">
        <f t="shared" si="38"/>
        <v>0</v>
      </c>
      <c r="AL18" t="e">
        <f t="shared" si="15"/>
        <v>#VALUE!</v>
      </c>
      <c r="AM18" t="str">
        <f t="shared" si="16"/>
        <v/>
      </c>
      <c r="AN18" t="e">
        <f t="shared" si="17"/>
        <v>#VALUE!</v>
      </c>
      <c r="AO18" t="str">
        <f t="shared" si="18"/>
        <v/>
      </c>
      <c r="AP18" t="str">
        <f t="shared" si="19"/>
        <v/>
      </c>
      <c r="AQ18" t="str">
        <f t="shared" si="20"/>
        <v/>
      </c>
      <c r="AR18" t="str">
        <f t="shared" si="21"/>
        <v/>
      </c>
      <c r="AS18" t="str">
        <f t="shared" si="22"/>
        <v/>
      </c>
      <c r="AT18">
        <f t="shared" si="23"/>
        <v>0</v>
      </c>
      <c r="AU18">
        <f t="shared" si="24"/>
        <v>0</v>
      </c>
      <c r="AV18">
        <f t="shared" si="32"/>
        <v>0</v>
      </c>
      <c r="AW18" t="str">
        <f t="shared" si="25"/>
        <v/>
      </c>
      <c r="AX18" t="str">
        <f t="shared" si="26"/>
        <v/>
      </c>
      <c r="AY18" t="str">
        <f>calc!BI18</f>
        <v/>
      </c>
      <c r="AZ18" t="str">
        <f>IF(calc!BK18=0,"",calc!BK18)</f>
        <v/>
      </c>
      <c r="BA18" t="str">
        <f>IF(calc!BJ18=0,"",calc!BJ18)</f>
        <v/>
      </c>
      <c r="BD18" t="s">
        <v>601</v>
      </c>
      <c r="BE18">
        <v>40</v>
      </c>
      <c r="BF18" t="str">
        <f t="shared" si="39"/>
        <v/>
      </c>
      <c r="BG18" t="str">
        <f t="shared" si="40"/>
        <v/>
      </c>
      <c r="BH18" t="str">
        <f t="shared" si="33"/>
        <v/>
      </c>
      <c r="BI18" t="str">
        <f t="shared" si="34"/>
        <v/>
      </c>
      <c r="BJ18" t="str">
        <f t="shared" si="35"/>
        <v/>
      </c>
      <c r="BK18" t="str">
        <f t="shared" si="36"/>
        <v/>
      </c>
    </row>
    <row r="19" spans="1:63" ht="21.95" customHeight="1">
      <c r="A19" s="88"/>
      <c r="B19" s="88"/>
      <c r="C19" s="575">
        <f t="shared" si="37"/>
        <v>5</v>
      </c>
      <c r="D19" s="420">
        <f t="shared" si="27"/>
        <v>0</v>
      </c>
      <c r="E19" s="508"/>
      <c r="F19" s="627"/>
      <c r="G19" s="624"/>
      <c r="H19" s="625"/>
      <c r="I19" s="626"/>
      <c r="J19" s="594" t="str">
        <f>IFERROR(IF(F19="","",calc!BO19),"")</f>
        <v/>
      </c>
      <c r="K19" s="595" t="str">
        <f t="shared" si="0"/>
        <v/>
      </c>
      <c r="L19" s="596" t="str">
        <f t="shared" si="1"/>
        <v/>
      </c>
      <c r="M19" s="597" t="str">
        <f t="shared" si="28"/>
        <v/>
      </c>
      <c r="N19" s="620"/>
      <c r="O19" s="621"/>
      <c r="P19" s="629" t="str">
        <f t="shared" si="2"/>
        <v/>
      </c>
      <c r="Q19" s="629" t="str">
        <f t="shared" si="3"/>
        <v/>
      </c>
      <c r="R19" s="517">
        <f t="shared" si="4"/>
        <v>0</v>
      </c>
      <c r="S19" s="517" t="e">
        <f t="shared" si="29"/>
        <v>#VALUE!</v>
      </c>
      <c r="T19" s="517">
        <f t="shared" si="5"/>
        <v>0</v>
      </c>
      <c r="U19" s="517" t="str">
        <f>IFERROR(IF(F19="","",IF(INDEX('Stock Position'!$Z$252:$Z$1015,MATCH(F19,'Trade Log'!$CV$55:$CV$1172,0))="L","LONG","SHORT")),"LONG")</f>
        <v/>
      </c>
      <c r="V19" s="612" t="str">
        <f t="shared" si="30"/>
        <v/>
      </c>
      <c r="W19" s="613" t="str">
        <f t="shared" si="6"/>
        <v/>
      </c>
      <c r="X19" s="614"/>
      <c r="Y19" s="635" t="str">
        <f t="shared" si="31"/>
        <v/>
      </c>
      <c r="Z19" s="636" t="str">
        <f t="shared" si="7"/>
        <v/>
      </c>
      <c r="AA19" s="602"/>
      <c r="AB19" t="str">
        <f t="shared" si="8"/>
        <v/>
      </c>
      <c r="AC19" t="str">
        <f t="shared" si="9"/>
        <v/>
      </c>
      <c r="AE19" t="str">
        <f t="shared" si="10"/>
        <v>L</v>
      </c>
      <c r="AG19" t="str">
        <f t="shared" si="11"/>
        <v/>
      </c>
      <c r="AH19" t="str">
        <f t="shared" si="12"/>
        <v/>
      </c>
      <c r="AI19">
        <f t="shared" si="13"/>
        <v>0</v>
      </c>
      <c r="AJ19">
        <f t="shared" si="14"/>
        <v>0</v>
      </c>
      <c r="AK19">
        <f t="shared" si="38"/>
        <v>0</v>
      </c>
      <c r="AL19" t="e">
        <f t="shared" si="15"/>
        <v>#VALUE!</v>
      </c>
      <c r="AM19" t="str">
        <f t="shared" si="16"/>
        <v/>
      </c>
      <c r="AN19" t="e">
        <f t="shared" si="17"/>
        <v>#VALUE!</v>
      </c>
      <c r="AO19" t="str">
        <f t="shared" si="18"/>
        <v/>
      </c>
      <c r="AP19" t="str">
        <f t="shared" si="19"/>
        <v/>
      </c>
      <c r="AQ19" t="str">
        <f t="shared" si="20"/>
        <v/>
      </c>
      <c r="AR19" t="str">
        <f t="shared" si="21"/>
        <v/>
      </c>
      <c r="AS19" t="str">
        <f t="shared" si="22"/>
        <v/>
      </c>
      <c r="AT19">
        <f t="shared" si="23"/>
        <v>0</v>
      </c>
      <c r="AU19">
        <f t="shared" si="24"/>
        <v>0</v>
      </c>
      <c r="AV19">
        <f t="shared" si="32"/>
        <v>0</v>
      </c>
      <c r="AW19" t="str">
        <f t="shared" si="25"/>
        <v/>
      </c>
      <c r="AX19" t="str">
        <f t="shared" si="26"/>
        <v/>
      </c>
      <c r="AY19" t="str">
        <f>calc!BI19</f>
        <v/>
      </c>
      <c r="AZ19" t="str">
        <f>IF(calc!BK19=0,"",calc!BK19)</f>
        <v/>
      </c>
      <c r="BA19" t="str">
        <f>IF(calc!BJ19=0,"",calc!BJ19)</f>
        <v/>
      </c>
      <c r="BF19" t="str">
        <f t="shared" si="39"/>
        <v/>
      </c>
      <c r="BG19" t="str">
        <f t="shared" si="40"/>
        <v/>
      </c>
      <c r="BH19" t="str">
        <f t="shared" si="33"/>
        <v/>
      </c>
      <c r="BI19" t="str">
        <f t="shared" si="34"/>
        <v/>
      </c>
      <c r="BJ19" t="str">
        <f t="shared" si="35"/>
        <v/>
      </c>
      <c r="BK19" t="str">
        <f t="shared" si="36"/>
        <v/>
      </c>
    </row>
    <row r="20" spans="1:63" ht="21.95" customHeight="1">
      <c r="A20" s="88"/>
      <c r="B20" s="88"/>
      <c r="C20" s="575">
        <f t="shared" si="37"/>
        <v>6</v>
      </c>
      <c r="D20" s="420">
        <f t="shared" si="27"/>
        <v>0</v>
      </c>
      <c r="E20" s="508"/>
      <c r="F20" s="627"/>
      <c r="G20" s="624"/>
      <c r="H20" s="625"/>
      <c r="I20" s="626"/>
      <c r="J20" s="594" t="str">
        <f>IFERROR(IF(F20="","",calc!BO20),"")</f>
        <v/>
      </c>
      <c r="K20" s="595" t="str">
        <f t="shared" si="0"/>
        <v/>
      </c>
      <c r="L20" s="596" t="str">
        <f t="shared" si="1"/>
        <v/>
      </c>
      <c r="M20" s="597" t="str">
        <f t="shared" si="28"/>
        <v/>
      </c>
      <c r="N20" s="620"/>
      <c r="O20" s="621"/>
      <c r="P20" s="629" t="str">
        <f t="shared" si="2"/>
        <v/>
      </c>
      <c r="Q20" s="629" t="str">
        <f t="shared" si="3"/>
        <v/>
      </c>
      <c r="R20" s="517">
        <f t="shared" si="4"/>
        <v>0</v>
      </c>
      <c r="S20" s="517" t="e">
        <f t="shared" si="29"/>
        <v>#VALUE!</v>
      </c>
      <c r="T20" s="517">
        <f t="shared" si="5"/>
        <v>0</v>
      </c>
      <c r="U20" s="517" t="str">
        <f>IFERROR(IF(F20="","",IF(INDEX('Stock Position'!$Z$252:$Z$1015,MATCH(F20,'Trade Log'!$CV$55:$CV$1172,0))="L","LONG","SHORT")),"LONG")</f>
        <v/>
      </c>
      <c r="V20" s="612" t="str">
        <f t="shared" si="30"/>
        <v/>
      </c>
      <c r="W20" s="613" t="str">
        <f t="shared" si="6"/>
        <v/>
      </c>
      <c r="X20" s="614"/>
      <c r="Y20" s="635" t="str">
        <f t="shared" si="31"/>
        <v/>
      </c>
      <c r="Z20" s="636" t="str">
        <f t="shared" si="7"/>
        <v/>
      </c>
      <c r="AA20" s="602"/>
      <c r="AB20" t="str">
        <f t="shared" si="8"/>
        <v/>
      </c>
      <c r="AC20" t="str">
        <f t="shared" si="9"/>
        <v/>
      </c>
      <c r="AE20" t="str">
        <f t="shared" si="10"/>
        <v>L</v>
      </c>
      <c r="AG20" t="str">
        <f t="shared" si="11"/>
        <v/>
      </c>
      <c r="AH20" t="str">
        <f t="shared" si="12"/>
        <v/>
      </c>
      <c r="AI20">
        <f t="shared" si="13"/>
        <v>0</v>
      </c>
      <c r="AJ20">
        <f t="shared" si="14"/>
        <v>0</v>
      </c>
      <c r="AK20">
        <f t="shared" si="38"/>
        <v>0</v>
      </c>
      <c r="AL20" t="e">
        <f t="shared" si="15"/>
        <v>#VALUE!</v>
      </c>
      <c r="AM20" t="str">
        <f t="shared" si="16"/>
        <v/>
      </c>
      <c r="AN20" t="e">
        <f t="shared" si="17"/>
        <v>#VALUE!</v>
      </c>
      <c r="AO20" t="str">
        <f t="shared" si="18"/>
        <v/>
      </c>
      <c r="AP20" t="str">
        <f t="shared" si="19"/>
        <v/>
      </c>
      <c r="AQ20" t="str">
        <f t="shared" si="20"/>
        <v/>
      </c>
      <c r="AR20" t="str">
        <f t="shared" si="21"/>
        <v/>
      </c>
      <c r="AS20" t="str">
        <f t="shared" si="22"/>
        <v/>
      </c>
      <c r="AT20">
        <f t="shared" si="23"/>
        <v>0</v>
      </c>
      <c r="AU20">
        <f t="shared" si="24"/>
        <v>0</v>
      </c>
      <c r="AV20">
        <f t="shared" si="32"/>
        <v>0</v>
      </c>
      <c r="AW20" t="str">
        <f t="shared" si="25"/>
        <v/>
      </c>
      <c r="AX20" t="str">
        <f t="shared" si="26"/>
        <v/>
      </c>
      <c r="AY20" t="str">
        <f>calc!BI20</f>
        <v/>
      </c>
      <c r="AZ20" t="str">
        <f>IF(calc!BK20=0,"",calc!BK20)</f>
        <v/>
      </c>
      <c r="BA20" t="str">
        <f>IF(calc!BJ20=0,"",calc!BJ20)</f>
        <v/>
      </c>
      <c r="BF20" t="str">
        <f t="shared" si="39"/>
        <v/>
      </c>
      <c r="BG20" t="str">
        <f t="shared" si="40"/>
        <v/>
      </c>
      <c r="BH20" t="str">
        <f t="shared" si="33"/>
        <v/>
      </c>
      <c r="BI20" t="str">
        <f t="shared" si="34"/>
        <v/>
      </c>
      <c r="BJ20" t="str">
        <f t="shared" si="35"/>
        <v/>
      </c>
      <c r="BK20" t="str">
        <f t="shared" si="36"/>
        <v/>
      </c>
    </row>
    <row r="21" spans="1:63" ht="21.95" customHeight="1">
      <c r="C21" s="575"/>
      <c r="D21" s="420"/>
      <c r="E21" s="508"/>
      <c r="F21" s="627"/>
      <c r="G21" s="624"/>
      <c r="H21" s="625"/>
      <c r="I21" s="626"/>
      <c r="J21" s="594"/>
      <c r="K21" s="595"/>
      <c r="L21" s="596"/>
      <c r="M21" s="597"/>
      <c r="N21" s="620"/>
      <c r="O21" s="621"/>
      <c r="P21" s="629"/>
      <c r="Q21" s="629"/>
      <c r="R21" s="517"/>
      <c r="S21" s="517"/>
      <c r="T21" s="517"/>
      <c r="U21" s="517"/>
      <c r="V21" s="612"/>
      <c r="W21" s="613"/>
      <c r="X21" s="614"/>
      <c r="Y21" s="635"/>
      <c r="Z21" s="636"/>
      <c r="AA21" s="602"/>
      <c r="AB21">
        <f t="shared" si="8"/>
        <v>0</v>
      </c>
      <c r="AC21">
        <f t="shared" si="9"/>
        <v>0</v>
      </c>
      <c r="AE21" t="str">
        <f t="shared" si="10"/>
        <v>L</v>
      </c>
      <c r="AG21" t="str">
        <f t="shared" si="11"/>
        <v/>
      </c>
      <c r="AH21" t="str">
        <f t="shared" si="12"/>
        <v/>
      </c>
      <c r="AI21">
        <f t="shared" si="13"/>
        <v>0</v>
      </c>
      <c r="AJ21">
        <f t="shared" si="14"/>
        <v>0</v>
      </c>
      <c r="AK21">
        <f t="shared" si="38"/>
        <v>0</v>
      </c>
      <c r="AL21" t="e">
        <f t="shared" si="15"/>
        <v>#VALUE!</v>
      </c>
      <c r="AM21" t="str">
        <f t="shared" si="16"/>
        <v/>
      </c>
      <c r="AN21" t="e">
        <f t="shared" si="17"/>
        <v>#VALUE!</v>
      </c>
      <c r="AO21" t="str">
        <f t="shared" si="18"/>
        <v/>
      </c>
      <c r="AP21" t="str">
        <f t="shared" si="19"/>
        <v/>
      </c>
      <c r="AQ21" t="str">
        <f t="shared" si="20"/>
        <v/>
      </c>
      <c r="AR21" t="str">
        <f t="shared" si="21"/>
        <v/>
      </c>
      <c r="AS21" t="str">
        <f t="shared" si="22"/>
        <v/>
      </c>
      <c r="AT21">
        <f t="shared" si="23"/>
        <v>0</v>
      </c>
      <c r="AU21">
        <f t="shared" si="24"/>
        <v>0</v>
      </c>
      <c r="AV21">
        <f t="shared" si="32"/>
        <v>0</v>
      </c>
      <c r="AW21" t="str">
        <f t="shared" si="25"/>
        <v/>
      </c>
      <c r="AX21" t="str">
        <f t="shared" si="26"/>
        <v/>
      </c>
      <c r="AY21" t="str">
        <f>calc!BI21</f>
        <v/>
      </c>
      <c r="AZ21" t="str">
        <f>IF(calc!BK21=0,"",calc!BK21)</f>
        <v/>
      </c>
      <c r="BA21" t="str">
        <f>IF(calc!BJ21=0,"",calc!BJ21)</f>
        <v/>
      </c>
      <c r="BF21" t="str">
        <f t="shared" si="39"/>
        <v/>
      </c>
      <c r="BG21" t="str">
        <f t="shared" si="40"/>
        <v/>
      </c>
      <c r="BH21" t="str">
        <f t="shared" si="33"/>
        <v/>
      </c>
      <c r="BI21" t="str">
        <f t="shared" si="34"/>
        <v/>
      </c>
      <c r="BJ21" t="str">
        <f t="shared" si="35"/>
        <v/>
      </c>
      <c r="BK21" t="str">
        <f t="shared" si="36"/>
        <v/>
      </c>
    </row>
    <row r="22" spans="1:63" ht="21.95" customHeight="1">
      <c r="C22" s="575"/>
      <c r="D22" s="420"/>
      <c r="E22" s="508"/>
      <c r="F22" s="627"/>
      <c r="G22" s="624"/>
      <c r="H22" s="625"/>
      <c r="I22" s="626"/>
      <c r="J22" s="594"/>
      <c r="K22" s="595"/>
      <c r="L22" s="596"/>
      <c r="M22" s="597"/>
      <c r="N22" s="620"/>
      <c r="O22" s="621"/>
      <c r="P22" s="629"/>
      <c r="Q22" s="629"/>
      <c r="R22" s="517"/>
      <c r="S22" s="517"/>
      <c r="T22" s="517"/>
      <c r="U22" s="517"/>
      <c r="V22" s="612"/>
      <c r="W22" s="613"/>
      <c r="X22" s="614"/>
      <c r="Y22" s="635"/>
      <c r="Z22" s="636"/>
      <c r="AA22" s="602"/>
      <c r="AB22">
        <f t="shared" si="8"/>
        <v>0</v>
      </c>
      <c r="AC22">
        <f t="shared" si="9"/>
        <v>0</v>
      </c>
      <c r="AE22" t="str">
        <f t="shared" si="10"/>
        <v>L</v>
      </c>
      <c r="AG22" t="str">
        <f t="shared" si="11"/>
        <v/>
      </c>
      <c r="AH22" t="str">
        <f t="shared" si="12"/>
        <v/>
      </c>
      <c r="AI22">
        <f t="shared" si="13"/>
        <v>0</v>
      </c>
      <c r="AJ22">
        <f t="shared" si="14"/>
        <v>0</v>
      </c>
      <c r="AK22">
        <f t="shared" si="38"/>
        <v>0</v>
      </c>
      <c r="AL22" t="e">
        <f t="shared" si="15"/>
        <v>#VALUE!</v>
      </c>
      <c r="AM22" t="str">
        <f t="shared" si="16"/>
        <v/>
      </c>
      <c r="AN22" t="e">
        <f t="shared" si="17"/>
        <v>#VALUE!</v>
      </c>
      <c r="AO22" t="str">
        <f t="shared" si="18"/>
        <v/>
      </c>
      <c r="AP22" t="str">
        <f t="shared" si="19"/>
        <v/>
      </c>
      <c r="AQ22" t="str">
        <f t="shared" si="20"/>
        <v/>
      </c>
      <c r="AR22" t="str">
        <f t="shared" si="21"/>
        <v/>
      </c>
      <c r="AS22" t="str">
        <f t="shared" si="22"/>
        <v/>
      </c>
      <c r="AT22">
        <f t="shared" si="23"/>
        <v>0</v>
      </c>
      <c r="AU22">
        <f t="shared" si="24"/>
        <v>0</v>
      </c>
      <c r="AV22">
        <f t="shared" si="32"/>
        <v>0</v>
      </c>
      <c r="AW22" t="str">
        <f t="shared" si="25"/>
        <v/>
      </c>
      <c r="AX22" t="str">
        <f t="shared" si="26"/>
        <v/>
      </c>
      <c r="AY22" t="str">
        <f>calc!BI22</f>
        <v/>
      </c>
      <c r="AZ22" t="str">
        <f>IF(calc!BK22=0,"",calc!BK22)</f>
        <v/>
      </c>
      <c r="BA22" t="str">
        <f>IF(calc!BJ22=0,"",calc!BJ22)</f>
        <v/>
      </c>
      <c r="BF22" t="str">
        <f t="shared" si="39"/>
        <v/>
      </c>
      <c r="BG22" t="str">
        <f t="shared" si="40"/>
        <v/>
      </c>
      <c r="BH22" t="str">
        <f t="shared" si="33"/>
        <v/>
      </c>
      <c r="BI22" t="str">
        <f t="shared" si="34"/>
        <v/>
      </c>
      <c r="BJ22" t="str">
        <f t="shared" si="35"/>
        <v/>
      </c>
      <c r="BK22" t="str">
        <f t="shared" si="36"/>
        <v/>
      </c>
    </row>
    <row r="23" spans="1:63" ht="21.95" customHeight="1">
      <c r="C23" s="575"/>
      <c r="D23" s="420"/>
      <c r="E23" s="508"/>
      <c r="F23" s="627"/>
      <c r="G23" s="624"/>
      <c r="H23" s="625"/>
      <c r="I23" s="626"/>
      <c r="J23" s="594"/>
      <c r="K23" s="595"/>
      <c r="L23" s="596"/>
      <c r="M23" s="597"/>
      <c r="N23" s="620"/>
      <c r="O23" s="621"/>
      <c r="P23" s="629"/>
      <c r="Q23" s="629"/>
      <c r="R23" s="517"/>
      <c r="S23" s="517"/>
      <c r="T23" s="517"/>
      <c r="U23" s="517"/>
      <c r="V23" s="612"/>
      <c r="W23" s="613"/>
      <c r="X23" s="614"/>
      <c r="Y23" s="635"/>
      <c r="Z23" s="636"/>
      <c r="AA23" s="602"/>
      <c r="AB23">
        <f t="shared" si="8"/>
        <v>0</v>
      </c>
      <c r="AC23">
        <f t="shared" si="9"/>
        <v>0</v>
      </c>
      <c r="AE23" t="str">
        <f t="shared" si="10"/>
        <v>L</v>
      </c>
      <c r="AG23" t="str">
        <f t="shared" si="11"/>
        <v/>
      </c>
      <c r="AH23" t="str">
        <f t="shared" si="12"/>
        <v/>
      </c>
      <c r="AI23">
        <f t="shared" si="13"/>
        <v>0</v>
      </c>
      <c r="AJ23">
        <f t="shared" si="14"/>
        <v>0</v>
      </c>
      <c r="AK23">
        <f t="shared" si="38"/>
        <v>0</v>
      </c>
      <c r="AL23" t="e">
        <f t="shared" si="15"/>
        <v>#VALUE!</v>
      </c>
      <c r="AM23" t="str">
        <f t="shared" si="16"/>
        <v/>
      </c>
      <c r="AN23" t="e">
        <f t="shared" si="17"/>
        <v>#VALUE!</v>
      </c>
      <c r="AO23" t="str">
        <f t="shared" si="18"/>
        <v/>
      </c>
      <c r="AP23" t="str">
        <f t="shared" si="19"/>
        <v/>
      </c>
      <c r="AQ23" t="str">
        <f t="shared" si="20"/>
        <v/>
      </c>
      <c r="AR23" t="str">
        <f t="shared" si="21"/>
        <v/>
      </c>
      <c r="AS23" t="str">
        <f t="shared" si="22"/>
        <v/>
      </c>
      <c r="AT23">
        <f t="shared" si="23"/>
        <v>0</v>
      </c>
      <c r="AU23">
        <f t="shared" si="24"/>
        <v>0</v>
      </c>
      <c r="AV23">
        <f t="shared" si="32"/>
        <v>0</v>
      </c>
      <c r="AW23" t="str">
        <f t="shared" si="25"/>
        <v/>
      </c>
      <c r="AX23" t="str">
        <f t="shared" si="26"/>
        <v/>
      </c>
      <c r="AY23" t="str">
        <f>calc!BI23</f>
        <v/>
      </c>
      <c r="AZ23" t="str">
        <f>IF(calc!BK23=0,"",calc!BK23)</f>
        <v/>
      </c>
      <c r="BA23" t="str">
        <f>IF(calc!BJ23=0,"",calc!BJ23)</f>
        <v/>
      </c>
      <c r="BF23" t="str">
        <f t="shared" si="39"/>
        <v/>
      </c>
      <c r="BG23" t="str">
        <f t="shared" si="40"/>
        <v/>
      </c>
      <c r="BH23" t="str">
        <f t="shared" si="33"/>
        <v/>
      </c>
      <c r="BI23" t="str">
        <f t="shared" si="34"/>
        <v/>
      </c>
      <c r="BJ23" t="str">
        <f t="shared" si="35"/>
        <v/>
      </c>
      <c r="BK23" t="str">
        <f t="shared" si="36"/>
        <v/>
      </c>
    </row>
    <row r="24" spans="1:63" ht="21.95" customHeight="1">
      <c r="C24" s="575"/>
      <c r="D24" s="420"/>
      <c r="E24" s="508"/>
      <c r="F24" s="627"/>
      <c r="G24" s="624"/>
      <c r="H24" s="625"/>
      <c r="I24" s="626"/>
      <c r="J24" s="594"/>
      <c r="K24" s="595"/>
      <c r="L24" s="596"/>
      <c r="M24" s="597"/>
      <c r="N24" s="620"/>
      <c r="O24" s="621"/>
      <c r="P24" s="629"/>
      <c r="Q24" s="629"/>
      <c r="R24" s="517"/>
      <c r="S24" s="517"/>
      <c r="T24" s="517"/>
      <c r="U24" s="517"/>
      <c r="V24" s="612"/>
      <c r="W24" s="613"/>
      <c r="X24" s="614"/>
      <c r="Y24" s="635"/>
      <c r="Z24" s="636"/>
      <c r="AA24" s="602"/>
      <c r="AB24">
        <f t="shared" si="8"/>
        <v>0</v>
      </c>
      <c r="AC24">
        <f t="shared" si="9"/>
        <v>0</v>
      </c>
      <c r="AE24" t="str">
        <f t="shared" si="10"/>
        <v>L</v>
      </c>
      <c r="AG24" t="str">
        <f t="shared" si="11"/>
        <v/>
      </c>
      <c r="AH24" t="str">
        <f t="shared" si="12"/>
        <v/>
      </c>
      <c r="AI24">
        <f t="shared" si="13"/>
        <v>0</v>
      </c>
      <c r="AJ24">
        <f t="shared" si="14"/>
        <v>0</v>
      </c>
      <c r="AK24">
        <f t="shared" si="38"/>
        <v>0</v>
      </c>
      <c r="AL24" t="e">
        <f t="shared" si="15"/>
        <v>#VALUE!</v>
      </c>
      <c r="AM24" t="str">
        <f t="shared" si="16"/>
        <v/>
      </c>
      <c r="AN24" t="e">
        <f t="shared" si="17"/>
        <v>#VALUE!</v>
      </c>
      <c r="AO24" t="str">
        <f t="shared" si="18"/>
        <v/>
      </c>
      <c r="AP24" t="str">
        <f t="shared" si="19"/>
        <v/>
      </c>
      <c r="AQ24" t="str">
        <f t="shared" si="20"/>
        <v/>
      </c>
      <c r="AR24" t="str">
        <f t="shared" si="21"/>
        <v/>
      </c>
      <c r="AS24" t="str">
        <f t="shared" si="22"/>
        <v/>
      </c>
      <c r="AT24">
        <f t="shared" si="23"/>
        <v>0</v>
      </c>
      <c r="AU24">
        <f t="shared" si="24"/>
        <v>0</v>
      </c>
      <c r="AV24">
        <f t="shared" si="32"/>
        <v>0</v>
      </c>
      <c r="AW24" t="str">
        <f t="shared" si="25"/>
        <v/>
      </c>
      <c r="AX24" t="str">
        <f t="shared" si="26"/>
        <v/>
      </c>
      <c r="AY24" t="str">
        <f>calc!BI24</f>
        <v/>
      </c>
      <c r="AZ24" t="str">
        <f>IF(calc!BK24=0,"",calc!BK24)</f>
        <v/>
      </c>
      <c r="BA24" t="str">
        <f>IF(calc!BJ24=0,"",calc!BJ24)</f>
        <v/>
      </c>
      <c r="BF24" t="str">
        <f t="shared" si="39"/>
        <v/>
      </c>
      <c r="BG24" t="str">
        <f t="shared" si="40"/>
        <v/>
      </c>
      <c r="BH24" t="str">
        <f t="shared" si="33"/>
        <v/>
      </c>
      <c r="BI24" t="str">
        <f t="shared" si="34"/>
        <v/>
      </c>
      <c r="BJ24" t="str">
        <f t="shared" si="35"/>
        <v/>
      </c>
      <c r="BK24" t="str">
        <f t="shared" si="36"/>
        <v/>
      </c>
    </row>
    <row r="25" spans="1:63" ht="21.95" customHeight="1">
      <c r="C25" s="575"/>
      <c r="D25" s="420"/>
      <c r="E25" s="508"/>
      <c r="F25" s="627"/>
      <c r="G25" s="624"/>
      <c r="H25" s="625"/>
      <c r="I25" s="626"/>
      <c r="J25" s="594"/>
      <c r="K25" s="595"/>
      <c r="L25" s="596"/>
      <c r="M25" s="597"/>
      <c r="N25" s="620"/>
      <c r="O25" s="621"/>
      <c r="P25" s="629"/>
      <c r="Q25" s="629"/>
      <c r="R25" s="517"/>
      <c r="S25" s="517"/>
      <c r="T25" s="517"/>
      <c r="U25" s="517"/>
      <c r="V25" s="612"/>
      <c r="W25" s="613"/>
      <c r="X25" s="614"/>
      <c r="Y25" s="635"/>
      <c r="Z25" s="636"/>
      <c r="AA25" s="602"/>
      <c r="AB25">
        <f t="shared" si="8"/>
        <v>0</v>
      </c>
      <c r="AC25">
        <f t="shared" si="9"/>
        <v>0</v>
      </c>
      <c r="AE25" t="str">
        <f t="shared" si="10"/>
        <v>L</v>
      </c>
      <c r="AG25" t="str">
        <f t="shared" si="11"/>
        <v/>
      </c>
      <c r="AH25" t="str">
        <f t="shared" si="12"/>
        <v/>
      </c>
      <c r="AI25">
        <f t="shared" si="13"/>
        <v>0</v>
      </c>
      <c r="AJ25">
        <f t="shared" si="14"/>
        <v>0</v>
      </c>
      <c r="AK25">
        <f t="shared" si="38"/>
        <v>0</v>
      </c>
      <c r="AL25" t="e">
        <f t="shared" si="15"/>
        <v>#VALUE!</v>
      </c>
      <c r="AM25" t="str">
        <f t="shared" si="16"/>
        <v/>
      </c>
      <c r="AN25" t="e">
        <f t="shared" si="17"/>
        <v>#VALUE!</v>
      </c>
      <c r="AO25" t="str">
        <f t="shared" si="18"/>
        <v/>
      </c>
      <c r="AP25" t="str">
        <f t="shared" si="19"/>
        <v/>
      </c>
      <c r="AQ25" t="str">
        <f t="shared" si="20"/>
        <v/>
      </c>
      <c r="AR25" t="str">
        <f t="shared" si="21"/>
        <v/>
      </c>
      <c r="AS25" t="str">
        <f t="shared" si="22"/>
        <v/>
      </c>
      <c r="AT25">
        <f t="shared" si="23"/>
        <v>0</v>
      </c>
      <c r="AU25">
        <f t="shared" si="24"/>
        <v>0</v>
      </c>
      <c r="AV25">
        <f t="shared" si="32"/>
        <v>0</v>
      </c>
      <c r="AW25" t="str">
        <f t="shared" si="25"/>
        <v/>
      </c>
      <c r="AX25" t="str">
        <f t="shared" si="26"/>
        <v/>
      </c>
      <c r="AY25" t="str">
        <f>calc!BI25</f>
        <v/>
      </c>
      <c r="AZ25" t="str">
        <f>IF(calc!BK25=0,"",calc!BK25)</f>
        <v/>
      </c>
      <c r="BA25" t="str">
        <f>IF(calc!BJ25=0,"",calc!BJ25)</f>
        <v/>
      </c>
      <c r="BF25" t="str">
        <f t="shared" si="39"/>
        <v/>
      </c>
      <c r="BG25" t="str">
        <f t="shared" si="40"/>
        <v/>
      </c>
      <c r="BH25" t="str">
        <f t="shared" si="33"/>
        <v/>
      </c>
      <c r="BI25" t="str">
        <f t="shared" si="34"/>
        <v/>
      </c>
      <c r="BJ25" t="str">
        <f t="shared" si="35"/>
        <v/>
      </c>
      <c r="BK25" t="str">
        <f t="shared" si="36"/>
        <v/>
      </c>
    </row>
    <row r="26" spans="1:63" ht="21.95" customHeight="1">
      <c r="C26" s="575"/>
      <c r="D26" s="420"/>
      <c r="E26" s="508"/>
      <c r="F26" s="627"/>
      <c r="G26" s="624"/>
      <c r="H26" s="625"/>
      <c r="I26" s="626"/>
      <c r="J26" s="594"/>
      <c r="K26" s="595"/>
      <c r="L26" s="596"/>
      <c r="M26" s="597"/>
      <c r="N26" s="620"/>
      <c r="O26" s="621"/>
      <c r="P26" s="629"/>
      <c r="Q26" s="629"/>
      <c r="R26" s="517"/>
      <c r="S26" s="517"/>
      <c r="T26" s="517"/>
      <c r="U26" s="517"/>
      <c r="V26" s="612"/>
      <c r="W26" s="613"/>
      <c r="X26" s="614"/>
      <c r="Y26" s="635"/>
      <c r="Z26" s="636"/>
      <c r="AA26" s="602"/>
      <c r="AB26">
        <f t="shared" si="8"/>
        <v>0</v>
      </c>
      <c r="AC26">
        <f t="shared" si="9"/>
        <v>0</v>
      </c>
      <c r="AE26" t="str">
        <f t="shared" si="10"/>
        <v>L</v>
      </c>
      <c r="AG26" t="str">
        <f t="shared" si="11"/>
        <v/>
      </c>
      <c r="AH26" t="str">
        <f t="shared" si="12"/>
        <v/>
      </c>
      <c r="AI26">
        <f t="shared" si="13"/>
        <v>0</v>
      </c>
      <c r="AJ26">
        <f t="shared" si="14"/>
        <v>0</v>
      </c>
      <c r="AK26">
        <f t="shared" si="38"/>
        <v>0</v>
      </c>
      <c r="AL26" t="e">
        <f t="shared" si="15"/>
        <v>#VALUE!</v>
      </c>
      <c r="AM26" t="str">
        <f t="shared" si="16"/>
        <v/>
      </c>
      <c r="AN26" t="e">
        <f t="shared" si="17"/>
        <v>#VALUE!</v>
      </c>
      <c r="AO26" t="str">
        <f t="shared" si="18"/>
        <v/>
      </c>
      <c r="AP26" t="str">
        <f t="shared" si="19"/>
        <v/>
      </c>
      <c r="AQ26" t="str">
        <f t="shared" si="20"/>
        <v/>
      </c>
      <c r="AR26" t="str">
        <f t="shared" si="21"/>
        <v/>
      </c>
      <c r="AS26" t="str">
        <f t="shared" si="22"/>
        <v/>
      </c>
      <c r="AT26">
        <f t="shared" si="23"/>
        <v>0</v>
      </c>
      <c r="AU26">
        <f t="shared" si="24"/>
        <v>0</v>
      </c>
      <c r="AV26">
        <f t="shared" si="32"/>
        <v>0</v>
      </c>
      <c r="AW26" t="str">
        <f t="shared" si="25"/>
        <v/>
      </c>
      <c r="AX26" t="str">
        <f t="shared" si="26"/>
        <v/>
      </c>
      <c r="AY26" t="str">
        <f>calc!BI26</f>
        <v/>
      </c>
      <c r="AZ26" t="str">
        <f>IF(calc!BK26=0,"",calc!BK26)</f>
        <v/>
      </c>
      <c r="BA26" t="str">
        <f>IF(calc!BJ26=0,"",calc!BJ26)</f>
        <v/>
      </c>
      <c r="BF26" t="str">
        <f t="shared" si="39"/>
        <v/>
      </c>
      <c r="BG26" t="str">
        <f t="shared" si="40"/>
        <v/>
      </c>
      <c r="BH26" t="str">
        <f t="shared" si="33"/>
        <v/>
      </c>
      <c r="BI26" t="str">
        <f t="shared" si="34"/>
        <v/>
      </c>
      <c r="BJ26" t="str">
        <f t="shared" si="35"/>
        <v/>
      </c>
      <c r="BK26" t="str">
        <f t="shared" si="36"/>
        <v/>
      </c>
    </row>
    <row r="27" spans="1:63" ht="21.95" customHeight="1">
      <c r="C27" s="575"/>
      <c r="D27" s="420"/>
      <c r="E27" s="508"/>
      <c r="F27" s="627"/>
      <c r="G27" s="624"/>
      <c r="H27" s="625"/>
      <c r="I27" s="626"/>
      <c r="J27" s="594"/>
      <c r="K27" s="595"/>
      <c r="L27" s="596"/>
      <c r="M27" s="597"/>
      <c r="N27" s="620"/>
      <c r="O27" s="621"/>
      <c r="P27" s="629"/>
      <c r="Q27" s="629"/>
      <c r="R27" s="517"/>
      <c r="S27" s="517"/>
      <c r="T27" s="517"/>
      <c r="U27" s="517"/>
      <c r="V27" s="612"/>
      <c r="W27" s="613"/>
      <c r="X27" s="614"/>
      <c r="Y27" s="635"/>
      <c r="Z27" s="636"/>
      <c r="AA27" s="602"/>
      <c r="AB27">
        <f t="shared" si="8"/>
        <v>0</v>
      </c>
      <c r="AC27">
        <f t="shared" si="9"/>
        <v>0</v>
      </c>
      <c r="AE27" t="str">
        <f t="shared" si="10"/>
        <v>L</v>
      </c>
      <c r="AG27" t="str">
        <f t="shared" si="11"/>
        <v/>
      </c>
      <c r="AH27" t="str">
        <f t="shared" si="12"/>
        <v/>
      </c>
      <c r="AI27">
        <f t="shared" si="13"/>
        <v>0</v>
      </c>
      <c r="AJ27">
        <f t="shared" si="14"/>
        <v>0</v>
      </c>
      <c r="AK27">
        <f t="shared" si="38"/>
        <v>0</v>
      </c>
      <c r="AL27" t="e">
        <f t="shared" si="15"/>
        <v>#VALUE!</v>
      </c>
      <c r="AM27" t="str">
        <f t="shared" si="16"/>
        <v/>
      </c>
      <c r="AN27" t="e">
        <f t="shared" si="17"/>
        <v>#VALUE!</v>
      </c>
      <c r="AO27" t="str">
        <f t="shared" si="18"/>
        <v/>
      </c>
      <c r="AP27" t="str">
        <f t="shared" si="19"/>
        <v/>
      </c>
      <c r="AQ27" t="str">
        <f t="shared" si="20"/>
        <v/>
      </c>
      <c r="AR27" t="str">
        <f t="shared" si="21"/>
        <v/>
      </c>
      <c r="AS27" t="str">
        <f t="shared" si="22"/>
        <v/>
      </c>
      <c r="AT27">
        <f t="shared" si="23"/>
        <v>0</v>
      </c>
      <c r="AU27">
        <f t="shared" si="24"/>
        <v>0</v>
      </c>
      <c r="AV27">
        <f t="shared" si="32"/>
        <v>0</v>
      </c>
      <c r="AW27" t="str">
        <f t="shared" si="25"/>
        <v/>
      </c>
      <c r="AX27" t="str">
        <f t="shared" si="26"/>
        <v/>
      </c>
      <c r="AY27" t="str">
        <f>calc!BI27</f>
        <v/>
      </c>
      <c r="AZ27" t="str">
        <f>IF(calc!BK27=0,"",calc!BK27)</f>
        <v/>
      </c>
      <c r="BA27" t="str">
        <f>IF(calc!BJ27=0,"",calc!BJ27)</f>
        <v/>
      </c>
      <c r="BF27" t="str">
        <f t="shared" si="39"/>
        <v/>
      </c>
      <c r="BG27" t="str">
        <f t="shared" si="40"/>
        <v/>
      </c>
      <c r="BH27" t="str">
        <f t="shared" si="33"/>
        <v/>
      </c>
      <c r="BI27" t="str">
        <f t="shared" si="34"/>
        <v/>
      </c>
      <c r="BJ27" t="str">
        <f t="shared" si="35"/>
        <v/>
      </c>
      <c r="BK27" t="str">
        <f t="shared" si="36"/>
        <v/>
      </c>
    </row>
    <row r="28" spans="1:63" ht="21.95" customHeight="1">
      <c r="C28" s="575"/>
      <c r="D28" s="420"/>
      <c r="E28" s="508"/>
      <c r="F28" s="627"/>
      <c r="G28" s="624"/>
      <c r="H28" s="625"/>
      <c r="I28" s="626"/>
      <c r="J28" s="594"/>
      <c r="K28" s="595"/>
      <c r="L28" s="596"/>
      <c r="M28" s="597"/>
      <c r="N28" s="620"/>
      <c r="O28" s="621"/>
      <c r="P28" s="629"/>
      <c r="Q28" s="629"/>
      <c r="R28" s="517"/>
      <c r="S28" s="517"/>
      <c r="T28" s="517"/>
      <c r="U28" s="517"/>
      <c r="V28" s="612"/>
      <c r="W28" s="613"/>
      <c r="X28" s="614"/>
      <c r="Y28" s="635"/>
      <c r="Z28" s="636"/>
      <c r="AA28" s="602"/>
      <c r="AB28">
        <f t="shared" si="8"/>
        <v>0</v>
      </c>
      <c r="AC28">
        <f t="shared" si="9"/>
        <v>0</v>
      </c>
      <c r="AE28" t="str">
        <f t="shared" si="10"/>
        <v>L</v>
      </c>
      <c r="AG28" t="str">
        <f t="shared" si="11"/>
        <v/>
      </c>
      <c r="AH28" t="str">
        <f t="shared" si="12"/>
        <v/>
      </c>
      <c r="AI28">
        <f t="shared" si="13"/>
        <v>0</v>
      </c>
      <c r="AJ28">
        <f t="shared" si="14"/>
        <v>0</v>
      </c>
      <c r="AK28">
        <f t="shared" si="38"/>
        <v>0</v>
      </c>
      <c r="AL28" t="e">
        <f t="shared" si="15"/>
        <v>#VALUE!</v>
      </c>
      <c r="AM28" t="str">
        <f t="shared" si="16"/>
        <v/>
      </c>
      <c r="AN28" t="e">
        <f t="shared" si="17"/>
        <v>#VALUE!</v>
      </c>
      <c r="AO28" t="str">
        <f t="shared" si="18"/>
        <v/>
      </c>
      <c r="AP28" t="str">
        <f t="shared" si="19"/>
        <v/>
      </c>
      <c r="AQ28" t="str">
        <f t="shared" si="20"/>
        <v/>
      </c>
      <c r="AR28" t="str">
        <f t="shared" si="21"/>
        <v/>
      </c>
      <c r="AS28" t="str">
        <f t="shared" si="22"/>
        <v/>
      </c>
      <c r="AT28">
        <f t="shared" si="23"/>
        <v>0</v>
      </c>
      <c r="AU28">
        <f t="shared" si="24"/>
        <v>0</v>
      </c>
      <c r="AV28">
        <f t="shared" si="32"/>
        <v>0</v>
      </c>
      <c r="AW28" t="str">
        <f t="shared" si="25"/>
        <v/>
      </c>
      <c r="AX28" t="str">
        <f t="shared" si="26"/>
        <v/>
      </c>
      <c r="AY28" t="str">
        <f>calc!BI28</f>
        <v/>
      </c>
      <c r="AZ28" t="str">
        <f>IF(calc!BK28=0,"",calc!BK28)</f>
        <v/>
      </c>
      <c r="BA28" t="str">
        <f>IF(calc!BJ28=0,"",calc!BJ28)</f>
        <v/>
      </c>
      <c r="BF28" t="str">
        <f t="shared" si="39"/>
        <v/>
      </c>
      <c r="BG28" t="str">
        <f t="shared" si="40"/>
        <v/>
      </c>
      <c r="BH28" t="str">
        <f t="shared" si="33"/>
        <v/>
      </c>
      <c r="BI28" t="str">
        <f t="shared" si="34"/>
        <v/>
      </c>
      <c r="BJ28" t="str">
        <f t="shared" si="35"/>
        <v/>
      </c>
      <c r="BK28" t="str">
        <f t="shared" si="36"/>
        <v/>
      </c>
    </row>
    <row r="29" spans="1:63" ht="21.95" customHeight="1">
      <c r="C29" s="575"/>
      <c r="D29" s="420"/>
      <c r="E29" s="508"/>
      <c r="F29" s="627"/>
      <c r="G29" s="624"/>
      <c r="H29" s="625"/>
      <c r="I29" s="626"/>
      <c r="J29" s="594"/>
      <c r="K29" s="595"/>
      <c r="L29" s="596"/>
      <c r="M29" s="597"/>
      <c r="N29" s="620"/>
      <c r="O29" s="621"/>
      <c r="P29" s="629"/>
      <c r="Q29" s="629"/>
      <c r="R29" s="517"/>
      <c r="S29" s="517"/>
      <c r="T29" s="517"/>
      <c r="U29" s="517"/>
      <c r="V29" s="612"/>
      <c r="W29" s="613"/>
      <c r="X29" s="614"/>
      <c r="Y29" s="635"/>
      <c r="Z29" s="636"/>
      <c r="AA29" s="602"/>
      <c r="AB29">
        <f t="shared" si="8"/>
        <v>0</v>
      </c>
      <c r="AC29">
        <f t="shared" si="9"/>
        <v>0</v>
      </c>
      <c r="AE29" t="str">
        <f t="shared" si="10"/>
        <v>L</v>
      </c>
      <c r="AG29" t="str">
        <f t="shared" si="11"/>
        <v/>
      </c>
      <c r="AH29" t="str">
        <f t="shared" si="12"/>
        <v/>
      </c>
      <c r="AI29">
        <f t="shared" si="13"/>
        <v>0</v>
      </c>
      <c r="AJ29">
        <f t="shared" si="14"/>
        <v>0</v>
      </c>
      <c r="AK29">
        <f t="shared" si="38"/>
        <v>0</v>
      </c>
      <c r="AL29" t="e">
        <f t="shared" si="15"/>
        <v>#VALUE!</v>
      </c>
      <c r="AM29" t="str">
        <f t="shared" si="16"/>
        <v/>
      </c>
      <c r="AN29" t="e">
        <f t="shared" si="17"/>
        <v>#VALUE!</v>
      </c>
      <c r="AO29" t="str">
        <f t="shared" si="18"/>
        <v/>
      </c>
      <c r="AP29" t="str">
        <f t="shared" si="19"/>
        <v/>
      </c>
      <c r="AQ29" t="str">
        <f t="shared" si="20"/>
        <v/>
      </c>
      <c r="AR29" t="str">
        <f t="shared" si="21"/>
        <v/>
      </c>
      <c r="AS29" t="str">
        <f t="shared" si="22"/>
        <v/>
      </c>
      <c r="AT29">
        <f t="shared" si="23"/>
        <v>0</v>
      </c>
      <c r="AU29">
        <f t="shared" si="24"/>
        <v>0</v>
      </c>
      <c r="AV29">
        <f t="shared" si="32"/>
        <v>0</v>
      </c>
      <c r="AW29" t="str">
        <f t="shared" si="25"/>
        <v/>
      </c>
      <c r="AX29" t="str">
        <f t="shared" si="26"/>
        <v/>
      </c>
      <c r="AY29" t="str">
        <f>calc!BI29</f>
        <v/>
      </c>
      <c r="AZ29" t="str">
        <f>IF(calc!BK29=0,"",calc!BK29)</f>
        <v/>
      </c>
      <c r="BA29" t="str">
        <f>IF(calc!BJ29=0,"",calc!BJ29)</f>
        <v/>
      </c>
      <c r="BF29" t="str">
        <f t="shared" si="39"/>
        <v/>
      </c>
      <c r="BG29" t="str">
        <f t="shared" si="40"/>
        <v/>
      </c>
      <c r="BH29" t="str">
        <f t="shared" si="33"/>
        <v/>
      </c>
      <c r="BI29" t="str">
        <f t="shared" si="34"/>
        <v/>
      </c>
      <c r="BJ29" t="str">
        <f t="shared" si="35"/>
        <v/>
      </c>
      <c r="BK29" t="str">
        <f t="shared" si="36"/>
        <v/>
      </c>
    </row>
    <row r="30" spans="1:63" ht="21.95" customHeight="1">
      <c r="C30" s="575"/>
      <c r="D30" s="420"/>
      <c r="E30" s="508"/>
      <c r="F30" s="627"/>
      <c r="G30" s="624"/>
      <c r="H30" s="625"/>
      <c r="I30" s="626"/>
      <c r="J30" s="594"/>
      <c r="K30" s="595"/>
      <c r="L30" s="596"/>
      <c r="M30" s="597"/>
      <c r="N30" s="620"/>
      <c r="O30" s="621"/>
      <c r="P30" s="629"/>
      <c r="Q30" s="629"/>
      <c r="R30" s="517"/>
      <c r="S30" s="517"/>
      <c r="T30" s="517"/>
      <c r="U30" s="517"/>
      <c r="V30" s="612"/>
      <c r="W30" s="613"/>
      <c r="X30" s="614"/>
      <c r="Y30" s="635"/>
      <c r="Z30" s="636"/>
      <c r="AA30" s="602"/>
      <c r="AB30">
        <f t="shared" si="8"/>
        <v>0</v>
      </c>
      <c r="AC30">
        <f t="shared" si="9"/>
        <v>0</v>
      </c>
      <c r="AE30" t="str">
        <f t="shared" si="10"/>
        <v>L</v>
      </c>
      <c r="AG30" t="str">
        <f t="shared" si="11"/>
        <v/>
      </c>
      <c r="AH30" t="str">
        <f t="shared" si="12"/>
        <v/>
      </c>
      <c r="AI30">
        <f t="shared" si="13"/>
        <v>0</v>
      </c>
      <c r="AJ30">
        <f t="shared" si="14"/>
        <v>0</v>
      </c>
      <c r="AK30">
        <f t="shared" si="38"/>
        <v>0</v>
      </c>
      <c r="AL30" t="e">
        <f t="shared" si="15"/>
        <v>#VALUE!</v>
      </c>
      <c r="AM30" t="str">
        <f t="shared" si="16"/>
        <v/>
      </c>
      <c r="AN30" t="e">
        <f t="shared" si="17"/>
        <v>#VALUE!</v>
      </c>
      <c r="AO30" t="str">
        <f t="shared" si="18"/>
        <v/>
      </c>
      <c r="AP30" t="str">
        <f t="shared" si="19"/>
        <v/>
      </c>
      <c r="AQ30" t="str">
        <f t="shared" si="20"/>
        <v/>
      </c>
      <c r="AR30" t="str">
        <f t="shared" si="21"/>
        <v/>
      </c>
      <c r="AS30" t="str">
        <f t="shared" si="22"/>
        <v/>
      </c>
      <c r="AT30">
        <f t="shared" si="23"/>
        <v>0</v>
      </c>
      <c r="AU30">
        <f t="shared" si="24"/>
        <v>0</v>
      </c>
      <c r="AV30">
        <f t="shared" si="32"/>
        <v>0</v>
      </c>
      <c r="AW30" t="str">
        <f t="shared" si="25"/>
        <v/>
      </c>
      <c r="AX30" t="str">
        <f t="shared" si="26"/>
        <v/>
      </c>
      <c r="AY30" t="str">
        <f>calc!BI30</f>
        <v/>
      </c>
      <c r="AZ30" t="str">
        <f>IF(calc!BK30=0,"",calc!BK30)</f>
        <v/>
      </c>
      <c r="BA30" t="str">
        <f>IF(calc!BJ30=0,"",calc!BJ30)</f>
        <v/>
      </c>
      <c r="BF30" t="str">
        <f t="shared" si="39"/>
        <v/>
      </c>
      <c r="BG30" t="str">
        <f t="shared" si="40"/>
        <v/>
      </c>
      <c r="BH30" t="str">
        <f t="shared" si="33"/>
        <v/>
      </c>
      <c r="BI30" t="str">
        <f t="shared" si="34"/>
        <v/>
      </c>
      <c r="BJ30" t="str">
        <f t="shared" si="35"/>
        <v/>
      </c>
      <c r="BK30" t="str">
        <f t="shared" si="36"/>
        <v/>
      </c>
    </row>
    <row r="31" spans="1:63" ht="21.95" customHeight="1">
      <c r="C31" s="575"/>
      <c r="D31" s="420"/>
      <c r="E31" s="508"/>
      <c r="F31" s="627"/>
      <c r="G31" s="624"/>
      <c r="H31" s="625"/>
      <c r="I31" s="626"/>
      <c r="J31" s="594"/>
      <c r="K31" s="595"/>
      <c r="L31" s="596"/>
      <c r="M31" s="597"/>
      <c r="N31" s="620"/>
      <c r="O31" s="621"/>
      <c r="P31" s="629"/>
      <c r="Q31" s="629"/>
      <c r="R31" s="517"/>
      <c r="S31" s="517"/>
      <c r="T31" s="517"/>
      <c r="U31" s="517"/>
      <c r="V31" s="612"/>
      <c r="W31" s="613"/>
      <c r="X31" s="614"/>
      <c r="Y31" s="635"/>
      <c r="Z31" s="636"/>
      <c r="AA31" s="602"/>
      <c r="AB31">
        <f t="shared" si="8"/>
        <v>0</v>
      </c>
      <c r="AC31">
        <f t="shared" si="9"/>
        <v>0</v>
      </c>
      <c r="AE31" t="str">
        <f t="shared" si="10"/>
        <v>L</v>
      </c>
      <c r="AG31" t="str">
        <f t="shared" si="11"/>
        <v/>
      </c>
      <c r="AH31" t="str">
        <f t="shared" si="12"/>
        <v/>
      </c>
      <c r="AI31">
        <f t="shared" si="13"/>
        <v>0</v>
      </c>
      <c r="AJ31">
        <f t="shared" si="14"/>
        <v>0</v>
      </c>
      <c r="AK31">
        <f t="shared" si="38"/>
        <v>0</v>
      </c>
      <c r="AL31" t="e">
        <f t="shared" si="15"/>
        <v>#VALUE!</v>
      </c>
      <c r="AM31" t="str">
        <f t="shared" si="16"/>
        <v/>
      </c>
      <c r="AN31" t="e">
        <f t="shared" si="17"/>
        <v>#VALUE!</v>
      </c>
      <c r="AO31" t="str">
        <f t="shared" si="18"/>
        <v/>
      </c>
      <c r="AP31" t="str">
        <f t="shared" si="19"/>
        <v/>
      </c>
      <c r="AQ31" t="str">
        <f t="shared" si="20"/>
        <v/>
      </c>
      <c r="AR31" t="str">
        <f t="shared" si="21"/>
        <v/>
      </c>
      <c r="AS31" t="str">
        <f t="shared" si="22"/>
        <v/>
      </c>
      <c r="AT31">
        <f t="shared" si="23"/>
        <v>0</v>
      </c>
      <c r="AU31">
        <f t="shared" si="24"/>
        <v>0</v>
      </c>
      <c r="AV31">
        <f t="shared" si="32"/>
        <v>0</v>
      </c>
      <c r="AW31" t="str">
        <f t="shared" si="25"/>
        <v/>
      </c>
      <c r="AX31" t="str">
        <f t="shared" si="26"/>
        <v/>
      </c>
      <c r="AY31" t="str">
        <f>calc!BI31</f>
        <v/>
      </c>
      <c r="AZ31" t="str">
        <f>IF(calc!BK31=0,"",calc!BK31)</f>
        <v/>
      </c>
      <c r="BA31" t="str">
        <f>IF(calc!BJ31=0,"",calc!BJ31)</f>
        <v/>
      </c>
      <c r="BF31" t="str">
        <f t="shared" si="39"/>
        <v/>
      </c>
      <c r="BG31" t="str">
        <f t="shared" si="40"/>
        <v/>
      </c>
      <c r="BH31" t="str">
        <f t="shared" si="33"/>
        <v/>
      </c>
      <c r="BI31" t="str">
        <f t="shared" si="34"/>
        <v/>
      </c>
      <c r="BJ31" t="str">
        <f t="shared" si="35"/>
        <v/>
      </c>
      <c r="BK31" t="str">
        <f t="shared" si="36"/>
        <v/>
      </c>
    </row>
    <row r="32" spans="1:63" ht="21.95" customHeight="1">
      <c r="C32" s="575"/>
      <c r="D32" s="420"/>
      <c r="E32" s="508"/>
      <c r="F32" s="627"/>
      <c r="G32" s="624"/>
      <c r="H32" s="625"/>
      <c r="I32" s="626"/>
      <c r="J32" s="594"/>
      <c r="K32" s="595"/>
      <c r="L32" s="596"/>
      <c r="M32" s="597"/>
      <c r="N32" s="620"/>
      <c r="O32" s="621"/>
      <c r="P32" s="629"/>
      <c r="Q32" s="629"/>
      <c r="R32" s="517"/>
      <c r="S32" s="517"/>
      <c r="T32" s="517"/>
      <c r="U32" s="517"/>
      <c r="V32" s="612"/>
      <c r="W32" s="613"/>
      <c r="X32" s="614"/>
      <c r="Y32" s="635"/>
      <c r="Z32" s="636"/>
      <c r="AA32" s="602"/>
      <c r="AB32">
        <f t="shared" si="8"/>
        <v>0</v>
      </c>
      <c r="AC32">
        <f t="shared" si="9"/>
        <v>0</v>
      </c>
      <c r="AE32" t="str">
        <f t="shared" si="10"/>
        <v>L</v>
      </c>
      <c r="AG32" t="str">
        <f t="shared" si="11"/>
        <v/>
      </c>
      <c r="AH32" t="str">
        <f t="shared" si="12"/>
        <v/>
      </c>
      <c r="AI32">
        <f t="shared" si="13"/>
        <v>0</v>
      </c>
      <c r="AJ32">
        <f t="shared" si="14"/>
        <v>0</v>
      </c>
      <c r="AK32">
        <f t="shared" si="38"/>
        <v>0</v>
      </c>
      <c r="AL32" t="e">
        <f t="shared" si="15"/>
        <v>#VALUE!</v>
      </c>
      <c r="AM32" t="str">
        <f t="shared" si="16"/>
        <v/>
      </c>
      <c r="AN32" t="e">
        <f t="shared" si="17"/>
        <v>#VALUE!</v>
      </c>
      <c r="AO32" t="str">
        <f t="shared" si="18"/>
        <v/>
      </c>
      <c r="AP32" t="str">
        <f t="shared" si="19"/>
        <v/>
      </c>
      <c r="AQ32" t="str">
        <f t="shared" si="20"/>
        <v/>
      </c>
      <c r="AR32" t="str">
        <f t="shared" si="21"/>
        <v/>
      </c>
      <c r="AS32" t="str">
        <f t="shared" si="22"/>
        <v/>
      </c>
      <c r="AT32">
        <f t="shared" si="23"/>
        <v>0</v>
      </c>
      <c r="AU32">
        <f t="shared" si="24"/>
        <v>0</v>
      </c>
      <c r="AV32">
        <f t="shared" si="32"/>
        <v>0</v>
      </c>
      <c r="AW32" t="str">
        <f t="shared" si="25"/>
        <v/>
      </c>
      <c r="AX32" t="str">
        <f t="shared" si="26"/>
        <v/>
      </c>
      <c r="AY32" t="str">
        <f>calc!BI32</f>
        <v/>
      </c>
      <c r="AZ32" t="str">
        <f>IF(calc!BK32=0,"",calc!BK32)</f>
        <v/>
      </c>
      <c r="BA32" t="str">
        <f>IF(calc!BJ32=0,"",calc!BJ32)</f>
        <v/>
      </c>
      <c r="BF32" t="str">
        <f t="shared" si="39"/>
        <v/>
      </c>
      <c r="BG32" t="str">
        <f t="shared" si="40"/>
        <v/>
      </c>
      <c r="BH32" t="str">
        <f t="shared" si="33"/>
        <v/>
      </c>
      <c r="BI32" t="str">
        <f t="shared" si="34"/>
        <v/>
      </c>
      <c r="BJ32" t="str">
        <f t="shared" si="35"/>
        <v/>
      </c>
      <c r="BK32" t="str">
        <f t="shared" si="36"/>
        <v/>
      </c>
    </row>
    <row r="33" spans="3:63" ht="21.95" customHeight="1">
      <c r="C33" s="575"/>
      <c r="D33" s="420"/>
      <c r="E33" s="508"/>
      <c r="F33" s="627"/>
      <c r="G33" s="624"/>
      <c r="H33" s="625"/>
      <c r="I33" s="626"/>
      <c r="J33" s="594"/>
      <c r="K33" s="595"/>
      <c r="L33" s="596"/>
      <c r="M33" s="597"/>
      <c r="N33" s="620"/>
      <c r="O33" s="621"/>
      <c r="P33" s="629"/>
      <c r="Q33" s="629"/>
      <c r="R33" s="517"/>
      <c r="S33" s="517"/>
      <c r="T33" s="517"/>
      <c r="U33" s="517"/>
      <c r="V33" s="612"/>
      <c r="W33" s="613"/>
      <c r="X33" s="614"/>
      <c r="Y33" s="635"/>
      <c r="Z33" s="636"/>
      <c r="AA33" s="602"/>
      <c r="AB33">
        <f t="shared" si="8"/>
        <v>0</v>
      </c>
      <c r="AC33">
        <f t="shared" si="9"/>
        <v>0</v>
      </c>
      <c r="AE33" t="str">
        <f t="shared" si="10"/>
        <v>L</v>
      </c>
      <c r="AG33" t="str">
        <f t="shared" si="11"/>
        <v/>
      </c>
      <c r="AH33" t="str">
        <f t="shared" si="12"/>
        <v/>
      </c>
      <c r="AI33">
        <f t="shared" si="13"/>
        <v>0</v>
      </c>
      <c r="AJ33">
        <f t="shared" si="14"/>
        <v>0</v>
      </c>
      <c r="AK33">
        <f t="shared" si="38"/>
        <v>0</v>
      </c>
      <c r="AL33" t="e">
        <f t="shared" si="15"/>
        <v>#VALUE!</v>
      </c>
      <c r="AM33" t="str">
        <f t="shared" si="16"/>
        <v/>
      </c>
      <c r="AN33" t="e">
        <f t="shared" si="17"/>
        <v>#VALUE!</v>
      </c>
      <c r="AO33" t="str">
        <f t="shared" si="18"/>
        <v/>
      </c>
      <c r="AP33" t="str">
        <f t="shared" si="19"/>
        <v/>
      </c>
      <c r="AQ33" t="str">
        <f t="shared" si="20"/>
        <v/>
      </c>
      <c r="AR33" t="str">
        <f t="shared" si="21"/>
        <v/>
      </c>
      <c r="AS33" t="str">
        <f t="shared" si="22"/>
        <v/>
      </c>
      <c r="AT33">
        <f t="shared" si="23"/>
        <v>0</v>
      </c>
      <c r="AU33">
        <f t="shared" si="24"/>
        <v>0</v>
      </c>
      <c r="AV33">
        <f t="shared" si="32"/>
        <v>0</v>
      </c>
      <c r="AW33" t="str">
        <f t="shared" si="25"/>
        <v/>
      </c>
      <c r="AX33" t="str">
        <f t="shared" si="26"/>
        <v/>
      </c>
      <c r="AY33" t="str">
        <f>calc!BI33</f>
        <v/>
      </c>
      <c r="AZ33" t="str">
        <f>IF(calc!BK33=0,"",calc!BK33)</f>
        <v/>
      </c>
      <c r="BA33" t="str">
        <f>IF(calc!BJ33=0,"",calc!BJ33)</f>
        <v/>
      </c>
      <c r="BF33" t="str">
        <f t="shared" si="39"/>
        <v/>
      </c>
      <c r="BG33" t="str">
        <f t="shared" si="40"/>
        <v/>
      </c>
      <c r="BH33" t="str">
        <f t="shared" si="33"/>
        <v/>
      </c>
      <c r="BI33" t="str">
        <f t="shared" si="34"/>
        <v/>
      </c>
      <c r="BJ33" t="str">
        <f t="shared" si="35"/>
        <v/>
      </c>
      <c r="BK33" t="str">
        <f t="shared" si="36"/>
        <v/>
      </c>
    </row>
    <row r="34" spans="3:63" ht="21.95" customHeight="1">
      <c r="C34" s="575"/>
      <c r="D34" s="420"/>
      <c r="E34" s="508"/>
      <c r="F34" s="627"/>
      <c r="G34" s="624"/>
      <c r="H34" s="625"/>
      <c r="I34" s="626"/>
      <c r="J34" s="594"/>
      <c r="K34" s="595"/>
      <c r="L34" s="596"/>
      <c r="M34" s="597"/>
      <c r="N34" s="620"/>
      <c r="O34" s="621"/>
      <c r="P34" s="629"/>
      <c r="Q34" s="629"/>
      <c r="R34" s="517"/>
      <c r="S34" s="517"/>
      <c r="T34" s="517"/>
      <c r="U34" s="517"/>
      <c r="V34" s="612"/>
      <c r="W34" s="613"/>
      <c r="X34" s="614"/>
      <c r="Y34" s="635"/>
      <c r="Z34" s="636"/>
      <c r="AA34" s="602"/>
      <c r="AB34">
        <f t="shared" si="8"/>
        <v>0</v>
      </c>
      <c r="AC34">
        <f t="shared" si="9"/>
        <v>0</v>
      </c>
      <c r="AE34" t="str">
        <f t="shared" si="10"/>
        <v>L</v>
      </c>
      <c r="AG34" t="str">
        <f t="shared" si="11"/>
        <v/>
      </c>
      <c r="AH34" t="str">
        <f t="shared" si="12"/>
        <v/>
      </c>
      <c r="AI34">
        <f t="shared" si="13"/>
        <v>0</v>
      </c>
      <c r="AJ34">
        <f t="shared" si="14"/>
        <v>0</v>
      </c>
      <c r="AK34">
        <f t="shared" si="38"/>
        <v>0</v>
      </c>
      <c r="AL34" t="e">
        <f t="shared" si="15"/>
        <v>#VALUE!</v>
      </c>
      <c r="AM34" t="str">
        <f t="shared" si="16"/>
        <v/>
      </c>
      <c r="AN34" t="e">
        <f t="shared" si="17"/>
        <v>#VALUE!</v>
      </c>
      <c r="AO34" t="str">
        <f t="shared" si="18"/>
        <v/>
      </c>
      <c r="AP34" t="str">
        <f t="shared" si="19"/>
        <v/>
      </c>
      <c r="AQ34" t="str">
        <f t="shared" si="20"/>
        <v/>
      </c>
      <c r="AR34" t="str">
        <f t="shared" si="21"/>
        <v/>
      </c>
      <c r="AS34" t="str">
        <f t="shared" si="22"/>
        <v/>
      </c>
      <c r="AT34">
        <f t="shared" si="23"/>
        <v>0</v>
      </c>
      <c r="AU34">
        <f t="shared" si="24"/>
        <v>0</v>
      </c>
      <c r="AV34">
        <f t="shared" si="32"/>
        <v>0</v>
      </c>
      <c r="AW34" t="str">
        <f t="shared" si="25"/>
        <v/>
      </c>
      <c r="AX34" t="str">
        <f t="shared" si="26"/>
        <v/>
      </c>
      <c r="AY34" t="str">
        <f>calc!BI34</f>
        <v/>
      </c>
      <c r="AZ34" t="str">
        <f>IF(calc!BK34=0,"",calc!BK34)</f>
        <v/>
      </c>
      <c r="BA34" t="str">
        <f>IF(calc!BJ34=0,"",calc!BJ34)</f>
        <v/>
      </c>
      <c r="BF34" t="str">
        <f t="shared" si="39"/>
        <v/>
      </c>
      <c r="BG34" t="str">
        <f t="shared" si="40"/>
        <v/>
      </c>
      <c r="BH34" t="str">
        <f t="shared" si="33"/>
        <v/>
      </c>
      <c r="BI34" t="str">
        <f t="shared" si="34"/>
        <v/>
      </c>
      <c r="BJ34" t="str">
        <f t="shared" si="35"/>
        <v/>
      </c>
      <c r="BK34" t="str">
        <f t="shared" si="36"/>
        <v/>
      </c>
    </row>
    <row r="35" spans="3:63" ht="21.95" customHeight="1">
      <c r="C35" s="575"/>
      <c r="D35" s="420"/>
      <c r="E35" s="508"/>
      <c r="F35" s="627"/>
      <c r="G35" s="624"/>
      <c r="H35" s="625"/>
      <c r="I35" s="626"/>
      <c r="J35" s="594"/>
      <c r="K35" s="595"/>
      <c r="L35" s="596"/>
      <c r="M35" s="597"/>
      <c r="N35" s="620"/>
      <c r="O35" s="621"/>
      <c r="P35" s="629"/>
      <c r="Q35" s="629"/>
      <c r="R35" s="517"/>
      <c r="S35" s="517"/>
      <c r="T35" s="517"/>
      <c r="U35" s="517"/>
      <c r="V35" s="612"/>
      <c r="W35" s="613"/>
      <c r="X35" s="614"/>
      <c r="Y35" s="635"/>
      <c r="Z35" s="636"/>
      <c r="AA35" s="602"/>
      <c r="AB35">
        <f t="shared" si="8"/>
        <v>0</v>
      </c>
      <c r="AC35">
        <f t="shared" si="9"/>
        <v>0</v>
      </c>
      <c r="AE35" t="str">
        <f t="shared" si="10"/>
        <v>L</v>
      </c>
      <c r="AG35" t="str">
        <f t="shared" si="11"/>
        <v/>
      </c>
      <c r="AH35" t="str">
        <f t="shared" si="12"/>
        <v/>
      </c>
      <c r="AI35">
        <f t="shared" si="13"/>
        <v>0</v>
      </c>
      <c r="AJ35">
        <f t="shared" si="14"/>
        <v>0</v>
      </c>
      <c r="AK35">
        <f t="shared" si="38"/>
        <v>0</v>
      </c>
      <c r="AL35" t="e">
        <f t="shared" si="15"/>
        <v>#VALUE!</v>
      </c>
      <c r="AM35" t="str">
        <f t="shared" si="16"/>
        <v/>
      </c>
      <c r="AN35" t="e">
        <f t="shared" si="17"/>
        <v>#VALUE!</v>
      </c>
      <c r="AO35" t="str">
        <f t="shared" si="18"/>
        <v/>
      </c>
      <c r="AP35" t="str">
        <f t="shared" si="19"/>
        <v/>
      </c>
      <c r="AQ35" t="str">
        <f t="shared" si="20"/>
        <v/>
      </c>
      <c r="AR35" t="str">
        <f t="shared" si="21"/>
        <v/>
      </c>
      <c r="AS35" t="str">
        <f t="shared" si="22"/>
        <v/>
      </c>
      <c r="AT35">
        <f t="shared" si="23"/>
        <v>0</v>
      </c>
      <c r="AU35">
        <f t="shared" si="24"/>
        <v>0</v>
      </c>
      <c r="AV35">
        <f t="shared" si="32"/>
        <v>0</v>
      </c>
      <c r="AW35" t="str">
        <f t="shared" si="25"/>
        <v/>
      </c>
      <c r="AX35" t="str">
        <f t="shared" si="26"/>
        <v/>
      </c>
      <c r="AY35" t="str">
        <f>calc!BI35</f>
        <v/>
      </c>
      <c r="AZ35" t="str">
        <f>IF(calc!BK35=0,"",calc!BK35)</f>
        <v/>
      </c>
      <c r="BA35" t="str">
        <f>IF(calc!BJ35=0,"",calc!BJ35)</f>
        <v/>
      </c>
      <c r="BF35" t="str">
        <f t="shared" si="39"/>
        <v/>
      </c>
      <c r="BG35" t="str">
        <f t="shared" si="40"/>
        <v/>
      </c>
      <c r="BH35" t="str">
        <f t="shared" si="33"/>
        <v/>
      </c>
      <c r="BI35" t="str">
        <f t="shared" si="34"/>
        <v/>
      </c>
      <c r="BJ35" t="str">
        <f t="shared" si="35"/>
        <v/>
      </c>
      <c r="BK35" t="str">
        <f t="shared" si="36"/>
        <v/>
      </c>
    </row>
    <row r="36" spans="3:63" ht="21.95" customHeight="1">
      <c r="C36" s="575"/>
      <c r="D36" s="420"/>
      <c r="E36" s="508"/>
      <c r="F36" s="627"/>
      <c r="G36" s="624"/>
      <c r="H36" s="625"/>
      <c r="I36" s="626"/>
      <c r="J36" s="594"/>
      <c r="K36" s="595"/>
      <c r="L36" s="596"/>
      <c r="M36" s="597"/>
      <c r="N36" s="620"/>
      <c r="O36" s="621"/>
      <c r="P36" s="629"/>
      <c r="Q36" s="629"/>
      <c r="R36" s="517"/>
      <c r="S36" s="517"/>
      <c r="T36" s="517"/>
      <c r="U36" s="517"/>
      <c r="V36" s="612"/>
      <c r="W36" s="613"/>
      <c r="X36" s="614"/>
      <c r="Y36" s="635"/>
      <c r="Z36" s="636"/>
      <c r="AA36" s="602"/>
      <c r="AB36">
        <f t="shared" si="8"/>
        <v>0</v>
      </c>
      <c r="AC36">
        <f t="shared" si="9"/>
        <v>0</v>
      </c>
      <c r="AE36" t="str">
        <f t="shared" si="10"/>
        <v>L</v>
      </c>
      <c r="AG36" t="str">
        <f t="shared" si="11"/>
        <v/>
      </c>
      <c r="AH36" t="str">
        <f t="shared" si="12"/>
        <v/>
      </c>
      <c r="AI36">
        <f t="shared" si="13"/>
        <v>0</v>
      </c>
      <c r="AJ36">
        <f t="shared" si="14"/>
        <v>0</v>
      </c>
      <c r="AK36">
        <f t="shared" si="38"/>
        <v>0</v>
      </c>
      <c r="AL36" t="e">
        <f t="shared" si="15"/>
        <v>#VALUE!</v>
      </c>
      <c r="AM36" t="str">
        <f t="shared" si="16"/>
        <v/>
      </c>
      <c r="AN36" t="e">
        <f t="shared" si="17"/>
        <v>#VALUE!</v>
      </c>
      <c r="AO36" t="str">
        <f t="shared" si="18"/>
        <v/>
      </c>
      <c r="AP36" t="str">
        <f t="shared" si="19"/>
        <v/>
      </c>
      <c r="AQ36" t="str">
        <f t="shared" si="20"/>
        <v/>
      </c>
      <c r="AR36" t="str">
        <f t="shared" si="21"/>
        <v/>
      </c>
      <c r="AS36" t="str">
        <f t="shared" si="22"/>
        <v/>
      </c>
      <c r="AT36">
        <f t="shared" si="23"/>
        <v>0</v>
      </c>
      <c r="AU36">
        <f t="shared" si="24"/>
        <v>0</v>
      </c>
      <c r="AV36">
        <f t="shared" si="32"/>
        <v>0</v>
      </c>
      <c r="AW36" t="str">
        <f t="shared" si="25"/>
        <v/>
      </c>
      <c r="AX36" t="str">
        <f t="shared" si="26"/>
        <v/>
      </c>
      <c r="AY36" t="str">
        <f>calc!BI36</f>
        <v/>
      </c>
      <c r="AZ36" t="str">
        <f>IF(calc!BK36=0,"",calc!BK36)</f>
        <v/>
      </c>
      <c r="BA36" t="str">
        <f>IF(calc!BJ36=0,"",calc!BJ36)</f>
        <v/>
      </c>
      <c r="BF36" t="str">
        <f t="shared" si="39"/>
        <v/>
      </c>
      <c r="BG36" t="str">
        <f t="shared" si="40"/>
        <v/>
      </c>
      <c r="BH36" t="str">
        <f t="shared" si="33"/>
        <v/>
      </c>
      <c r="BI36" t="str">
        <f t="shared" si="34"/>
        <v/>
      </c>
      <c r="BJ36" t="str">
        <f t="shared" si="35"/>
        <v/>
      </c>
      <c r="BK36" t="str">
        <f t="shared" si="36"/>
        <v/>
      </c>
    </row>
    <row r="37" spans="3:63" ht="21.95" customHeight="1">
      <c r="C37" s="575"/>
      <c r="D37" s="420"/>
      <c r="E37" s="508"/>
      <c r="F37" s="627"/>
      <c r="G37" s="624"/>
      <c r="H37" s="625"/>
      <c r="I37" s="626"/>
      <c r="J37" s="594"/>
      <c r="K37" s="595"/>
      <c r="L37" s="596"/>
      <c r="M37" s="597"/>
      <c r="N37" s="620"/>
      <c r="O37" s="621"/>
      <c r="P37" s="629"/>
      <c r="Q37" s="629"/>
      <c r="R37" s="517"/>
      <c r="S37" s="517"/>
      <c r="T37" s="517"/>
      <c r="U37" s="517"/>
      <c r="V37" s="612"/>
      <c r="W37" s="613"/>
      <c r="X37" s="614"/>
      <c r="Y37" s="635"/>
      <c r="Z37" s="636"/>
      <c r="AA37" s="602"/>
      <c r="AB37">
        <f t="shared" si="8"/>
        <v>0</v>
      </c>
      <c r="AC37">
        <f t="shared" si="9"/>
        <v>0</v>
      </c>
      <c r="AE37" t="str">
        <f t="shared" si="10"/>
        <v>L</v>
      </c>
      <c r="AG37" t="str">
        <f t="shared" si="11"/>
        <v/>
      </c>
      <c r="AH37" t="str">
        <f t="shared" si="12"/>
        <v/>
      </c>
      <c r="AI37">
        <f t="shared" si="13"/>
        <v>0</v>
      </c>
      <c r="AJ37">
        <f t="shared" si="14"/>
        <v>0</v>
      </c>
      <c r="AK37">
        <f t="shared" si="38"/>
        <v>0</v>
      </c>
      <c r="AL37" t="e">
        <f t="shared" si="15"/>
        <v>#VALUE!</v>
      </c>
      <c r="AM37" t="str">
        <f t="shared" si="16"/>
        <v/>
      </c>
      <c r="AN37" t="e">
        <f t="shared" si="17"/>
        <v>#VALUE!</v>
      </c>
      <c r="AO37" t="str">
        <f t="shared" si="18"/>
        <v/>
      </c>
      <c r="AP37" t="str">
        <f t="shared" si="19"/>
        <v/>
      </c>
      <c r="AQ37" t="str">
        <f t="shared" si="20"/>
        <v/>
      </c>
      <c r="AR37" t="str">
        <f t="shared" si="21"/>
        <v/>
      </c>
      <c r="AS37" t="str">
        <f t="shared" si="22"/>
        <v/>
      </c>
      <c r="AT37">
        <f t="shared" si="23"/>
        <v>0</v>
      </c>
      <c r="AU37">
        <f t="shared" si="24"/>
        <v>0</v>
      </c>
      <c r="AV37">
        <f t="shared" si="32"/>
        <v>0</v>
      </c>
      <c r="AW37" t="str">
        <f t="shared" si="25"/>
        <v/>
      </c>
      <c r="AX37" t="str">
        <f t="shared" si="26"/>
        <v/>
      </c>
      <c r="AY37" t="str">
        <f>calc!BI37</f>
        <v/>
      </c>
      <c r="AZ37" t="str">
        <f>IF(calc!BK37=0,"",calc!BK37)</f>
        <v/>
      </c>
      <c r="BA37" t="str">
        <f>IF(calc!BJ37=0,"",calc!BJ37)</f>
        <v/>
      </c>
      <c r="BF37" t="str">
        <f t="shared" si="39"/>
        <v/>
      </c>
      <c r="BG37" t="str">
        <f t="shared" si="40"/>
        <v/>
      </c>
      <c r="BH37" t="str">
        <f t="shared" si="33"/>
        <v/>
      </c>
      <c r="BI37" t="str">
        <f t="shared" si="34"/>
        <v/>
      </c>
      <c r="BJ37" t="str">
        <f t="shared" si="35"/>
        <v/>
      </c>
      <c r="BK37" t="str">
        <f t="shared" si="36"/>
        <v/>
      </c>
    </row>
    <row r="38" spans="3:63" ht="21.95" customHeight="1">
      <c r="C38" s="575"/>
      <c r="D38" s="420"/>
      <c r="E38" s="508"/>
      <c r="F38" s="627"/>
      <c r="G38" s="624"/>
      <c r="H38" s="625"/>
      <c r="I38" s="626"/>
      <c r="J38" s="594"/>
      <c r="K38" s="595"/>
      <c r="L38" s="596"/>
      <c r="M38" s="597"/>
      <c r="N38" s="620"/>
      <c r="O38" s="621"/>
      <c r="P38" s="629"/>
      <c r="Q38" s="629"/>
      <c r="R38" s="517"/>
      <c r="S38" s="517"/>
      <c r="T38" s="517"/>
      <c r="U38" s="517"/>
      <c r="V38" s="612"/>
      <c r="W38" s="613"/>
      <c r="X38" s="614"/>
      <c r="Y38" s="635"/>
      <c r="Z38" s="636"/>
      <c r="AA38" s="602"/>
      <c r="AB38">
        <f t="shared" si="8"/>
        <v>0</v>
      </c>
      <c r="AC38">
        <f t="shared" si="9"/>
        <v>0</v>
      </c>
      <c r="AE38" t="str">
        <f t="shared" si="10"/>
        <v>L</v>
      </c>
      <c r="AG38" t="str">
        <f t="shared" si="11"/>
        <v/>
      </c>
      <c r="AH38" t="str">
        <f t="shared" si="12"/>
        <v/>
      </c>
      <c r="AI38">
        <f t="shared" si="13"/>
        <v>0</v>
      </c>
      <c r="AJ38">
        <f t="shared" si="14"/>
        <v>0</v>
      </c>
      <c r="AK38">
        <f t="shared" si="38"/>
        <v>0</v>
      </c>
      <c r="AL38" t="e">
        <f t="shared" si="15"/>
        <v>#VALUE!</v>
      </c>
      <c r="AM38" t="str">
        <f t="shared" si="16"/>
        <v/>
      </c>
      <c r="AN38" t="e">
        <f t="shared" si="17"/>
        <v>#VALUE!</v>
      </c>
      <c r="AO38" t="str">
        <f t="shared" si="18"/>
        <v/>
      </c>
      <c r="AP38" t="str">
        <f t="shared" si="19"/>
        <v/>
      </c>
      <c r="AQ38" t="str">
        <f t="shared" si="20"/>
        <v/>
      </c>
      <c r="AR38" t="str">
        <f t="shared" si="21"/>
        <v/>
      </c>
      <c r="AS38" t="str">
        <f t="shared" si="22"/>
        <v/>
      </c>
      <c r="AT38">
        <f t="shared" si="23"/>
        <v>0</v>
      </c>
      <c r="AU38">
        <f t="shared" si="24"/>
        <v>0</v>
      </c>
      <c r="AV38">
        <f t="shared" si="32"/>
        <v>0</v>
      </c>
      <c r="AW38" t="str">
        <f t="shared" si="25"/>
        <v/>
      </c>
      <c r="AX38" t="str">
        <f t="shared" si="26"/>
        <v/>
      </c>
      <c r="AY38" t="str">
        <f>calc!BI38</f>
        <v/>
      </c>
      <c r="AZ38" t="str">
        <f>IF(calc!BK38=0,"",calc!BK38)</f>
        <v/>
      </c>
      <c r="BA38" t="str">
        <f>IF(calc!BJ38=0,"",calc!BJ38)</f>
        <v/>
      </c>
      <c r="BF38" t="str">
        <f t="shared" si="39"/>
        <v/>
      </c>
      <c r="BG38" t="str">
        <f t="shared" si="40"/>
        <v/>
      </c>
      <c r="BH38" t="str">
        <f t="shared" si="33"/>
        <v/>
      </c>
      <c r="BI38" t="str">
        <f t="shared" si="34"/>
        <v/>
      </c>
      <c r="BJ38" t="str">
        <f t="shared" si="35"/>
        <v/>
      </c>
      <c r="BK38" t="str">
        <f t="shared" si="36"/>
        <v/>
      </c>
    </row>
    <row r="39" spans="3:63" ht="21.95" customHeight="1">
      <c r="C39" s="575"/>
      <c r="D39" s="420"/>
      <c r="E39" s="508"/>
      <c r="F39" s="627"/>
      <c r="G39" s="624"/>
      <c r="H39" s="625"/>
      <c r="I39" s="626"/>
      <c r="J39" s="594"/>
      <c r="K39" s="595"/>
      <c r="L39" s="596"/>
      <c r="M39" s="597"/>
      <c r="N39" s="620"/>
      <c r="O39" s="621"/>
      <c r="P39" s="629"/>
      <c r="Q39" s="629"/>
      <c r="R39" s="517"/>
      <c r="S39" s="517"/>
      <c r="T39" s="517"/>
      <c r="U39" s="517"/>
      <c r="V39" s="612"/>
      <c r="W39" s="613"/>
      <c r="X39" s="614"/>
      <c r="Y39" s="635"/>
      <c r="Z39" s="636"/>
      <c r="AA39" s="602"/>
      <c r="AB39">
        <f t="shared" si="8"/>
        <v>0</v>
      </c>
      <c r="AC39">
        <f t="shared" si="9"/>
        <v>0</v>
      </c>
      <c r="AE39" t="str">
        <f t="shared" si="10"/>
        <v>L</v>
      </c>
      <c r="AG39" t="str">
        <f t="shared" si="11"/>
        <v/>
      </c>
      <c r="AH39" t="str">
        <f t="shared" si="12"/>
        <v/>
      </c>
      <c r="AI39">
        <f t="shared" si="13"/>
        <v>0</v>
      </c>
      <c r="AJ39">
        <f t="shared" si="14"/>
        <v>0</v>
      </c>
      <c r="AK39">
        <f t="shared" si="38"/>
        <v>0</v>
      </c>
      <c r="AL39" t="e">
        <f t="shared" si="15"/>
        <v>#VALUE!</v>
      </c>
      <c r="AM39" t="str">
        <f t="shared" si="16"/>
        <v/>
      </c>
      <c r="AN39" t="e">
        <f t="shared" si="17"/>
        <v>#VALUE!</v>
      </c>
      <c r="AO39" t="str">
        <f t="shared" si="18"/>
        <v/>
      </c>
      <c r="AP39" t="str">
        <f t="shared" si="19"/>
        <v/>
      </c>
      <c r="AQ39" t="str">
        <f t="shared" si="20"/>
        <v/>
      </c>
      <c r="AR39" t="str">
        <f t="shared" si="21"/>
        <v/>
      </c>
      <c r="AS39" t="str">
        <f t="shared" si="22"/>
        <v/>
      </c>
      <c r="AT39">
        <f t="shared" si="23"/>
        <v>0</v>
      </c>
      <c r="AU39">
        <f t="shared" si="24"/>
        <v>0</v>
      </c>
      <c r="AV39">
        <f t="shared" si="32"/>
        <v>0</v>
      </c>
      <c r="AW39" t="str">
        <f t="shared" si="25"/>
        <v/>
      </c>
      <c r="AX39" t="str">
        <f t="shared" si="26"/>
        <v/>
      </c>
      <c r="AY39" t="str">
        <f>calc!BI39</f>
        <v/>
      </c>
      <c r="AZ39" t="str">
        <f>IF(calc!BK39=0,"",calc!BK39)</f>
        <v/>
      </c>
      <c r="BA39" t="str">
        <f>IF(calc!BJ39=0,"",calc!BJ39)</f>
        <v/>
      </c>
      <c r="BF39" t="str">
        <f t="shared" si="39"/>
        <v/>
      </c>
      <c r="BG39" t="str">
        <f t="shared" si="40"/>
        <v/>
      </c>
      <c r="BH39" t="str">
        <f t="shared" si="33"/>
        <v/>
      </c>
      <c r="BI39" t="str">
        <f t="shared" si="34"/>
        <v/>
      </c>
      <c r="BJ39" t="str">
        <f t="shared" si="35"/>
        <v/>
      </c>
      <c r="BK39" t="str">
        <f t="shared" si="36"/>
        <v/>
      </c>
    </row>
    <row r="40" spans="3:63" ht="21.95" customHeight="1">
      <c r="C40" s="575"/>
      <c r="D40" s="420"/>
      <c r="E40" s="508"/>
      <c r="F40" s="627"/>
      <c r="G40" s="624"/>
      <c r="H40" s="625"/>
      <c r="I40" s="626"/>
      <c r="J40" s="594"/>
      <c r="K40" s="595"/>
      <c r="L40" s="596"/>
      <c r="M40" s="597"/>
      <c r="N40" s="620"/>
      <c r="O40" s="621"/>
      <c r="P40" s="629"/>
      <c r="Q40" s="629"/>
      <c r="R40" s="517"/>
      <c r="S40" s="517"/>
      <c r="T40" s="517"/>
      <c r="U40" s="517"/>
      <c r="V40" s="612"/>
      <c r="W40" s="613"/>
      <c r="X40" s="614"/>
      <c r="Y40" s="635"/>
      <c r="Z40" s="636"/>
      <c r="AA40" s="602"/>
      <c r="AB40">
        <f t="shared" si="8"/>
        <v>0</v>
      </c>
      <c r="AC40">
        <f t="shared" si="9"/>
        <v>0</v>
      </c>
      <c r="AE40" t="str">
        <f t="shared" si="10"/>
        <v>L</v>
      </c>
      <c r="AG40" t="str">
        <f t="shared" si="11"/>
        <v/>
      </c>
      <c r="AH40" t="str">
        <f t="shared" si="12"/>
        <v/>
      </c>
      <c r="AI40">
        <f t="shared" si="13"/>
        <v>0</v>
      </c>
      <c r="AJ40">
        <f t="shared" si="14"/>
        <v>0</v>
      </c>
      <c r="AK40">
        <f t="shared" si="38"/>
        <v>0</v>
      </c>
      <c r="AL40" t="e">
        <f t="shared" si="15"/>
        <v>#VALUE!</v>
      </c>
      <c r="AM40" t="str">
        <f t="shared" si="16"/>
        <v/>
      </c>
      <c r="AN40" t="e">
        <f t="shared" si="17"/>
        <v>#VALUE!</v>
      </c>
      <c r="AO40" t="str">
        <f t="shared" si="18"/>
        <v/>
      </c>
      <c r="AP40" t="str">
        <f t="shared" si="19"/>
        <v/>
      </c>
      <c r="AQ40" t="str">
        <f t="shared" si="20"/>
        <v/>
      </c>
      <c r="AR40" t="str">
        <f t="shared" si="21"/>
        <v/>
      </c>
      <c r="AS40" t="str">
        <f t="shared" si="22"/>
        <v/>
      </c>
      <c r="AT40">
        <f t="shared" si="23"/>
        <v>0</v>
      </c>
      <c r="AU40">
        <f t="shared" si="24"/>
        <v>0</v>
      </c>
      <c r="AV40">
        <f t="shared" si="32"/>
        <v>0</v>
      </c>
      <c r="AW40" t="str">
        <f t="shared" si="25"/>
        <v/>
      </c>
      <c r="AX40" t="str">
        <f t="shared" si="26"/>
        <v/>
      </c>
      <c r="AY40" t="str">
        <f>calc!BI40</f>
        <v/>
      </c>
      <c r="AZ40" t="str">
        <f>IF(calc!BK40=0,"",calc!BK40)</f>
        <v/>
      </c>
      <c r="BA40" t="str">
        <f>IF(calc!BJ40=0,"",calc!BJ40)</f>
        <v/>
      </c>
      <c r="BF40" t="str">
        <f t="shared" si="39"/>
        <v/>
      </c>
      <c r="BG40" t="str">
        <f t="shared" si="40"/>
        <v/>
      </c>
      <c r="BH40" t="str">
        <f t="shared" si="33"/>
        <v/>
      </c>
      <c r="BI40" t="str">
        <f t="shared" si="34"/>
        <v/>
      </c>
      <c r="BJ40" t="str">
        <f t="shared" si="35"/>
        <v/>
      </c>
      <c r="BK40" t="str">
        <f t="shared" si="36"/>
        <v/>
      </c>
    </row>
    <row r="41" spans="3:63" ht="21.95" customHeight="1">
      <c r="C41" s="575"/>
      <c r="D41" s="420"/>
      <c r="E41" s="508"/>
      <c r="F41" s="627"/>
      <c r="G41" s="624"/>
      <c r="H41" s="625"/>
      <c r="I41" s="626"/>
      <c r="J41" s="594"/>
      <c r="K41" s="595"/>
      <c r="L41" s="596"/>
      <c r="M41" s="597"/>
      <c r="N41" s="620"/>
      <c r="O41" s="621"/>
      <c r="P41" s="629"/>
      <c r="Q41" s="629"/>
      <c r="R41" s="517"/>
      <c r="S41" s="517"/>
      <c r="T41" s="517"/>
      <c r="U41" s="517"/>
      <c r="V41" s="612"/>
      <c r="W41" s="613"/>
      <c r="X41" s="614"/>
      <c r="Y41" s="635"/>
      <c r="Z41" s="636"/>
      <c r="AA41" s="602"/>
      <c r="AB41">
        <f t="shared" si="8"/>
        <v>0</v>
      </c>
      <c r="AC41">
        <f t="shared" si="9"/>
        <v>0</v>
      </c>
      <c r="AE41" t="str">
        <f t="shared" si="10"/>
        <v>L</v>
      </c>
      <c r="AG41" t="str">
        <f t="shared" si="11"/>
        <v/>
      </c>
      <c r="AH41" t="str">
        <f t="shared" si="12"/>
        <v/>
      </c>
      <c r="AI41">
        <f t="shared" si="13"/>
        <v>0</v>
      </c>
      <c r="AJ41">
        <f t="shared" si="14"/>
        <v>0</v>
      </c>
      <c r="AK41">
        <f t="shared" si="38"/>
        <v>0</v>
      </c>
      <c r="AL41" t="e">
        <f t="shared" si="15"/>
        <v>#VALUE!</v>
      </c>
      <c r="AM41" t="str">
        <f t="shared" si="16"/>
        <v/>
      </c>
      <c r="AN41" t="e">
        <f t="shared" si="17"/>
        <v>#VALUE!</v>
      </c>
      <c r="AO41" t="str">
        <f t="shared" si="18"/>
        <v/>
      </c>
      <c r="AP41" t="str">
        <f t="shared" si="19"/>
        <v/>
      </c>
      <c r="AQ41" t="str">
        <f t="shared" si="20"/>
        <v/>
      </c>
      <c r="AR41" t="str">
        <f t="shared" si="21"/>
        <v/>
      </c>
      <c r="AS41" t="str">
        <f t="shared" si="22"/>
        <v/>
      </c>
      <c r="AT41">
        <f t="shared" si="23"/>
        <v>0</v>
      </c>
      <c r="AU41">
        <f t="shared" si="24"/>
        <v>0</v>
      </c>
      <c r="AV41">
        <f t="shared" si="32"/>
        <v>0</v>
      </c>
      <c r="AW41" t="str">
        <f t="shared" si="25"/>
        <v/>
      </c>
      <c r="AX41" t="str">
        <f t="shared" si="26"/>
        <v/>
      </c>
      <c r="AY41" t="str">
        <f>calc!BI41</f>
        <v/>
      </c>
      <c r="AZ41" t="str">
        <f>IF(calc!BK41=0,"",calc!BK41)</f>
        <v/>
      </c>
      <c r="BA41" t="str">
        <f>IF(calc!BJ41=0,"",calc!BJ41)</f>
        <v/>
      </c>
      <c r="BF41" t="str">
        <f t="shared" si="39"/>
        <v/>
      </c>
      <c r="BG41" t="str">
        <f t="shared" si="40"/>
        <v/>
      </c>
      <c r="BH41" t="str">
        <f t="shared" si="33"/>
        <v/>
      </c>
      <c r="BI41" t="str">
        <f t="shared" si="34"/>
        <v/>
      </c>
      <c r="BJ41" t="str">
        <f t="shared" si="35"/>
        <v/>
      </c>
      <c r="BK41" t="str">
        <f t="shared" si="36"/>
        <v/>
      </c>
    </row>
    <row r="42" spans="3:63" ht="21.95" customHeight="1">
      <c r="C42" s="575"/>
      <c r="D42" s="420"/>
      <c r="E42" s="508"/>
      <c r="F42" s="627"/>
      <c r="G42" s="624"/>
      <c r="H42" s="625"/>
      <c r="I42" s="626"/>
      <c r="J42" s="594"/>
      <c r="K42" s="595"/>
      <c r="L42" s="596"/>
      <c r="M42" s="597"/>
      <c r="N42" s="620"/>
      <c r="O42" s="621"/>
      <c r="P42" s="629"/>
      <c r="Q42" s="629"/>
      <c r="R42" s="517"/>
      <c r="S42" s="517"/>
      <c r="T42" s="517"/>
      <c r="U42" s="517"/>
      <c r="V42" s="612"/>
      <c r="W42" s="613"/>
      <c r="X42" s="614"/>
      <c r="Y42" s="635"/>
      <c r="Z42" s="636"/>
      <c r="AA42" s="602"/>
      <c r="AB42">
        <f t="shared" si="8"/>
        <v>0</v>
      </c>
      <c r="AC42">
        <f t="shared" si="9"/>
        <v>0</v>
      </c>
      <c r="AE42" t="str">
        <f t="shared" si="10"/>
        <v>L</v>
      </c>
      <c r="AG42" t="str">
        <f t="shared" si="11"/>
        <v/>
      </c>
      <c r="AH42" t="str">
        <f t="shared" si="12"/>
        <v/>
      </c>
      <c r="AI42">
        <f t="shared" si="13"/>
        <v>0</v>
      </c>
      <c r="AJ42">
        <f t="shared" si="14"/>
        <v>0</v>
      </c>
      <c r="AK42">
        <f t="shared" si="38"/>
        <v>0</v>
      </c>
      <c r="AL42" t="e">
        <f t="shared" si="15"/>
        <v>#VALUE!</v>
      </c>
      <c r="AM42" t="str">
        <f t="shared" si="16"/>
        <v/>
      </c>
      <c r="AN42" t="e">
        <f t="shared" si="17"/>
        <v>#VALUE!</v>
      </c>
      <c r="AO42" t="str">
        <f t="shared" si="18"/>
        <v/>
      </c>
      <c r="AP42" t="str">
        <f t="shared" si="19"/>
        <v/>
      </c>
      <c r="AQ42" t="str">
        <f t="shared" si="20"/>
        <v/>
      </c>
      <c r="AR42" t="str">
        <f t="shared" si="21"/>
        <v/>
      </c>
      <c r="AS42" t="str">
        <f t="shared" si="22"/>
        <v/>
      </c>
      <c r="AT42">
        <f t="shared" si="23"/>
        <v>0</v>
      </c>
      <c r="AU42">
        <f t="shared" si="24"/>
        <v>0</v>
      </c>
      <c r="AV42">
        <f t="shared" si="32"/>
        <v>0</v>
      </c>
      <c r="AW42" t="str">
        <f t="shared" si="25"/>
        <v/>
      </c>
      <c r="AX42" t="str">
        <f t="shared" si="26"/>
        <v/>
      </c>
      <c r="AY42" t="str">
        <f>calc!BI42</f>
        <v/>
      </c>
      <c r="AZ42" t="str">
        <f>IF(calc!BK42=0,"",calc!BK42)</f>
        <v/>
      </c>
      <c r="BA42" t="str">
        <f>IF(calc!BJ42=0,"",calc!BJ42)</f>
        <v/>
      </c>
      <c r="BF42" t="str">
        <f t="shared" si="39"/>
        <v/>
      </c>
      <c r="BG42" t="str">
        <f t="shared" si="40"/>
        <v/>
      </c>
      <c r="BH42" t="str">
        <f t="shared" si="33"/>
        <v/>
      </c>
      <c r="BI42" t="str">
        <f t="shared" si="34"/>
        <v/>
      </c>
      <c r="BJ42" t="str">
        <f t="shared" si="35"/>
        <v/>
      </c>
      <c r="BK42" t="str">
        <f t="shared" si="36"/>
        <v/>
      </c>
    </row>
    <row r="43" spans="3:63" ht="21.95" customHeight="1">
      <c r="C43" s="575"/>
      <c r="D43" s="420"/>
      <c r="E43" s="508"/>
      <c r="F43" s="627"/>
      <c r="G43" s="624"/>
      <c r="H43" s="625"/>
      <c r="I43" s="626"/>
      <c r="J43" s="594"/>
      <c r="K43" s="595"/>
      <c r="L43" s="596"/>
      <c r="M43" s="597"/>
      <c r="N43" s="620"/>
      <c r="O43" s="621"/>
      <c r="P43" s="629"/>
      <c r="Q43" s="629"/>
      <c r="R43" s="517"/>
      <c r="S43" s="517"/>
      <c r="T43" s="517"/>
      <c r="U43" s="517"/>
      <c r="V43" s="612"/>
      <c r="W43" s="613"/>
      <c r="X43" s="614"/>
      <c r="Y43" s="635"/>
      <c r="Z43" s="636"/>
      <c r="AA43" s="602"/>
      <c r="AB43">
        <f t="shared" si="8"/>
        <v>0</v>
      </c>
      <c r="AC43">
        <f t="shared" si="9"/>
        <v>0</v>
      </c>
      <c r="AE43" t="str">
        <f t="shared" si="10"/>
        <v>L</v>
      </c>
      <c r="AG43" t="str">
        <f t="shared" si="11"/>
        <v/>
      </c>
      <c r="AH43" t="str">
        <f t="shared" si="12"/>
        <v/>
      </c>
      <c r="AI43">
        <f t="shared" si="13"/>
        <v>0</v>
      </c>
      <c r="AJ43">
        <f t="shared" si="14"/>
        <v>0</v>
      </c>
      <c r="AK43">
        <f t="shared" si="38"/>
        <v>0</v>
      </c>
      <c r="AL43" t="e">
        <f t="shared" si="15"/>
        <v>#VALUE!</v>
      </c>
      <c r="AM43" t="str">
        <f t="shared" si="16"/>
        <v/>
      </c>
      <c r="AN43" t="e">
        <f t="shared" si="17"/>
        <v>#VALUE!</v>
      </c>
      <c r="AO43" t="str">
        <f t="shared" si="18"/>
        <v/>
      </c>
      <c r="AP43" t="str">
        <f t="shared" si="19"/>
        <v/>
      </c>
      <c r="AQ43" t="str">
        <f t="shared" si="20"/>
        <v/>
      </c>
      <c r="AR43" t="str">
        <f t="shared" si="21"/>
        <v/>
      </c>
      <c r="AS43" t="str">
        <f t="shared" si="22"/>
        <v/>
      </c>
      <c r="AT43">
        <f t="shared" si="23"/>
        <v>0</v>
      </c>
      <c r="AU43">
        <f t="shared" si="24"/>
        <v>0</v>
      </c>
      <c r="AV43">
        <f t="shared" si="32"/>
        <v>0</v>
      </c>
      <c r="AW43" t="str">
        <f t="shared" si="25"/>
        <v/>
      </c>
      <c r="AX43" t="str">
        <f t="shared" si="26"/>
        <v/>
      </c>
      <c r="AY43" t="str">
        <f>calc!BI43</f>
        <v/>
      </c>
      <c r="AZ43" t="str">
        <f>IF(calc!BK43=0,"",calc!BK43)</f>
        <v/>
      </c>
      <c r="BA43" t="str">
        <f>IF(calc!BJ43=0,"",calc!BJ43)</f>
        <v/>
      </c>
      <c r="BF43" t="str">
        <f t="shared" si="39"/>
        <v/>
      </c>
      <c r="BG43" t="str">
        <f t="shared" si="40"/>
        <v/>
      </c>
      <c r="BH43" t="str">
        <f t="shared" si="33"/>
        <v/>
      </c>
      <c r="BI43" t="str">
        <f t="shared" si="34"/>
        <v/>
      </c>
      <c r="BJ43" t="str">
        <f t="shared" si="35"/>
        <v/>
      </c>
      <c r="BK43" t="str">
        <f t="shared" si="36"/>
        <v/>
      </c>
    </row>
    <row r="44" spans="3:63" ht="21.95" customHeight="1" thickBot="1">
      <c r="C44" s="575"/>
      <c r="D44" s="420"/>
      <c r="E44" s="508"/>
      <c r="F44" s="627"/>
      <c r="G44" s="624"/>
      <c r="H44" s="625"/>
      <c r="I44" s="626"/>
      <c r="J44" s="598"/>
      <c r="K44" s="599"/>
      <c r="L44" s="600"/>
      <c r="M44" s="601"/>
      <c r="N44" s="622"/>
      <c r="O44" s="623"/>
      <c r="P44" s="630"/>
      <c r="Q44" s="630"/>
      <c r="R44" s="522"/>
      <c r="S44" s="522"/>
      <c r="T44" s="522"/>
      <c r="U44" s="522"/>
      <c r="V44" s="615"/>
      <c r="W44" s="616"/>
      <c r="X44" s="617"/>
      <c r="Y44" s="637"/>
      <c r="Z44" s="638"/>
      <c r="AA44" s="602"/>
      <c r="AB44">
        <f t="shared" si="8"/>
        <v>0</v>
      </c>
      <c r="AC44">
        <f t="shared" si="9"/>
        <v>0</v>
      </c>
      <c r="AE44" t="str">
        <f t="shared" si="10"/>
        <v>L</v>
      </c>
      <c r="AG44" t="str">
        <f t="shared" si="11"/>
        <v/>
      </c>
      <c r="AH44" t="str">
        <f t="shared" si="12"/>
        <v/>
      </c>
      <c r="AI44">
        <f t="shared" si="13"/>
        <v>0</v>
      </c>
      <c r="AJ44">
        <f t="shared" si="14"/>
        <v>0</v>
      </c>
      <c r="AK44">
        <f t="shared" si="38"/>
        <v>0</v>
      </c>
      <c r="AL44" t="e">
        <f t="shared" si="15"/>
        <v>#VALUE!</v>
      </c>
      <c r="AM44" t="str">
        <f t="shared" si="16"/>
        <v/>
      </c>
      <c r="AN44" t="e">
        <f t="shared" si="17"/>
        <v>#VALUE!</v>
      </c>
      <c r="AO44" t="str">
        <f t="shared" si="18"/>
        <v/>
      </c>
      <c r="AP44" t="str">
        <f t="shared" si="19"/>
        <v/>
      </c>
      <c r="AQ44" t="str">
        <f t="shared" si="20"/>
        <v/>
      </c>
      <c r="AR44" t="str">
        <f t="shared" si="21"/>
        <v/>
      </c>
      <c r="AS44" t="str">
        <f t="shared" si="22"/>
        <v/>
      </c>
      <c r="AT44">
        <f t="shared" si="23"/>
        <v>0</v>
      </c>
      <c r="AU44">
        <f t="shared" si="24"/>
        <v>0</v>
      </c>
      <c r="AV44">
        <f t="shared" si="32"/>
        <v>0</v>
      </c>
      <c r="AW44" t="str">
        <f t="shared" si="25"/>
        <v/>
      </c>
      <c r="AX44" t="str">
        <f t="shared" si="26"/>
        <v/>
      </c>
      <c r="AY44" t="str">
        <f>calc!BI44</f>
        <v/>
      </c>
      <c r="AZ44" t="str">
        <f>IF(calc!BK44=0,"",calc!BK44)</f>
        <v/>
      </c>
      <c r="BA44" t="str">
        <f>IF(calc!BJ44=0,"",calc!BJ44)</f>
        <v/>
      </c>
      <c r="BF44" t="str">
        <f t="shared" si="39"/>
        <v/>
      </c>
      <c r="BG44" t="str">
        <f t="shared" si="40"/>
        <v/>
      </c>
      <c r="BH44" t="str">
        <f t="shared" si="33"/>
        <v/>
      </c>
      <c r="BI44" t="str">
        <f t="shared" si="34"/>
        <v/>
      </c>
      <c r="BJ44" t="str">
        <f t="shared" si="35"/>
        <v/>
      </c>
      <c r="BK44" t="str">
        <f t="shared" si="36"/>
        <v/>
      </c>
    </row>
    <row r="45" spans="3:63" ht="21.95" hidden="1" customHeight="1">
      <c r="C45" s="78"/>
      <c r="D45" s="96"/>
      <c r="E45" s="579"/>
      <c r="F45" s="580"/>
      <c r="G45" s="581"/>
      <c r="H45" s="582"/>
      <c r="I45" s="583"/>
      <c r="J45" s="586"/>
      <c r="K45" s="587"/>
      <c r="L45" s="588"/>
      <c r="M45" s="589"/>
      <c r="N45" s="584"/>
      <c r="O45" s="585"/>
      <c r="P45" s="603"/>
      <c r="Q45" s="604"/>
      <c r="V45" s="605"/>
      <c r="W45" s="606"/>
      <c r="X45" s="140"/>
      <c r="Y45" s="607"/>
      <c r="Z45" s="608"/>
      <c r="AA45" s="93"/>
    </row>
    <row r="46" spans="3:63" ht="21.95" hidden="1" customHeight="1">
      <c r="C46" s="129"/>
      <c r="D46" s="105">
        <v>0</v>
      </c>
      <c r="E46" s="106"/>
      <c r="F46" s="107"/>
      <c r="G46" s="108"/>
      <c r="H46" s="109"/>
      <c r="I46" s="114"/>
      <c r="J46" s="116"/>
      <c r="K46" s="110"/>
      <c r="L46" s="155"/>
      <c r="M46" s="117"/>
      <c r="N46" s="115"/>
      <c r="O46" s="118"/>
      <c r="P46" s="120"/>
      <c r="Q46" s="112"/>
      <c r="V46" s="111"/>
      <c r="W46" s="113"/>
      <c r="Y46" s="141"/>
      <c r="Z46" s="121"/>
      <c r="AA46" s="119"/>
    </row>
    <row r="47" spans="3:63" ht="21.95" customHeight="1">
      <c r="C47" s="157"/>
      <c r="D47" s="157"/>
      <c r="E47" s="157"/>
      <c r="F47" s="157"/>
      <c r="G47" s="157"/>
      <c r="H47" s="157"/>
      <c r="I47" s="157"/>
      <c r="J47" s="157"/>
      <c r="K47" s="157"/>
      <c r="L47" s="576"/>
      <c r="M47" s="157"/>
      <c r="N47" s="157"/>
      <c r="O47" s="157"/>
      <c r="P47" s="157"/>
      <c r="Q47" s="157"/>
      <c r="R47" s="157"/>
      <c r="S47" s="157"/>
      <c r="T47" s="157"/>
      <c r="U47" s="157"/>
      <c r="V47" s="577"/>
      <c r="W47" s="157"/>
      <c r="X47" s="157"/>
      <c r="Y47" s="578"/>
      <c r="Z47" s="157"/>
      <c r="AA47" s="157"/>
    </row>
    <row r="48" spans="3:63" ht="23.25" customHeight="1">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row>
    <row r="49" spans="3:27" ht="23.25" customHeight="1">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row>
    <row r="50" spans="3:27" ht="23.25" customHeight="1">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row>
    <row r="51" spans="3:27" ht="23.25" customHeight="1">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row>
    <row r="52" spans="3:27" ht="23.25" customHeight="1">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row>
    <row r="53" spans="3:27" ht="23.25" customHeight="1">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row>
    <row r="54" spans="3:27" ht="23.25" customHeight="1">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row>
    <row r="55" spans="3:2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row>
    <row r="56" spans="3:2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3:2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row>
    <row r="58" spans="3:2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row>
    <row r="59" spans="3:2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row>
    <row r="60" spans="3:2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row>
    <row r="61" spans="3:2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row>
    <row r="62" spans="3:2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row>
    <row r="63" spans="3:2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row>
    <row r="64" spans="3:2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row>
    <row r="65" spans="3:2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row>
    <row r="66" spans="3:2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row>
    <row r="67" spans="3:2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row>
  </sheetData>
  <sheetProtection algorithmName="SHA-512" hashValue="pywVqKXiSF0QMKr4teNALahmY6WyXABm71UPYzgt8J/9EqEOlM/aGW5g0JFaucTMErMAQfUSKOin8XL06D1M9g==" saltValue="HFxpF6aOQxVCsNbLIA7qpA==" spinCount="100000" sheet="1" objects="1" scenarios="1" formatCells="0"/>
  <protectedRanges>
    <protectedRange sqref="D4:E9 I4:I9 P4:P9 V4:Z4 D13:M14 V13:AA14" name="text"/>
    <protectedRange sqref="P14:Q14 G9 G6 N15:O44 X14 V4:Z4 AA15:AA44 E15:I44" name="editable"/>
    <protectedRange sqref="BB15:BE45" name="Range2"/>
  </protectedRanges>
  <mergeCells count="33">
    <mergeCell ref="C13:C14"/>
    <mergeCell ref="E13:E14"/>
    <mergeCell ref="F13:F14"/>
    <mergeCell ref="I13:I14"/>
    <mergeCell ref="H13:H14"/>
    <mergeCell ref="D13:D14"/>
    <mergeCell ref="G13:G14"/>
    <mergeCell ref="J13:J14"/>
    <mergeCell ref="G8:H8"/>
    <mergeCell ref="G9:H9"/>
    <mergeCell ref="L6:M6"/>
    <mergeCell ref="L9:M9"/>
    <mergeCell ref="N13:N14"/>
    <mergeCell ref="O13:O14"/>
    <mergeCell ref="K13:M13"/>
    <mergeCell ref="V9:W9"/>
    <mergeCell ref="Y9:Z9"/>
    <mergeCell ref="N12:O12"/>
    <mergeCell ref="P12:Q12"/>
    <mergeCell ref="G4:H4"/>
    <mergeCell ref="G5:H5"/>
    <mergeCell ref="L5:M5"/>
    <mergeCell ref="G7:H7"/>
    <mergeCell ref="Y5:Z5"/>
    <mergeCell ref="G6:H6"/>
    <mergeCell ref="V4:W4"/>
    <mergeCell ref="Y4:Z4"/>
    <mergeCell ref="L7:M7"/>
    <mergeCell ref="Y6:Z6"/>
    <mergeCell ref="V6:W6"/>
    <mergeCell ref="V5:W5"/>
    <mergeCell ref="V7:W7"/>
    <mergeCell ref="Y7:Z7"/>
  </mergeCells>
  <conditionalFormatting sqref="L7 M8 W8 V7 Z8 Y7">
    <cfRule type="cellIs" dxfId="39" priority="1475" operator="lessThan">
      <formula>0</formula>
    </cfRule>
  </conditionalFormatting>
  <conditionalFormatting sqref="V15:W44 M15:M44 Y15:Z44">
    <cfRule type="cellIs" dxfId="38" priority="7" operator="lessThan">
      <formula>0</formula>
    </cfRule>
  </conditionalFormatting>
  <conditionalFormatting sqref="Y15:Y44">
    <cfRule type="expression" dxfId="37" priority="6">
      <formula>Z15&lt;0</formula>
    </cfRule>
  </conditionalFormatting>
  <conditionalFormatting sqref="Y15:Y44 V15:V44">
    <cfRule type="expression" dxfId="36" priority="5">
      <formula>W15&lt;0</formula>
    </cfRule>
  </conditionalFormatting>
  <conditionalFormatting sqref="L15:L44">
    <cfRule type="expression" dxfId="35" priority="8">
      <formula>AND(AM15&lt;=-$G$7,I15&gt;0)</formula>
    </cfRule>
    <cfRule type="expression" dxfId="34" priority="9">
      <formula>AM15&gt;0</formula>
    </cfRule>
  </conditionalFormatting>
  <conditionalFormatting sqref="J15:J44">
    <cfRule type="cellIs" dxfId="33" priority="4" operator="equal">
      <formula>0</formula>
    </cfRule>
  </conditionalFormatting>
  <conditionalFormatting sqref="D15:D44">
    <cfRule type="cellIs" dxfId="32" priority="3" operator="equal">
      <formula>0</formula>
    </cfRule>
  </conditionalFormatting>
  <conditionalFormatting sqref="E15:E44">
    <cfRule type="containsText" dxfId="31" priority="1" operator="containsText" text="SHORT">
      <formula>NOT(ISERROR(SEARCH("SHORT",E15)))</formula>
    </cfRule>
    <cfRule type="containsText" dxfId="30" priority="2" operator="containsText" text="LONG">
      <formula>NOT(ISERROR(SEARCH("LONG",E15)))</formula>
    </cfRule>
  </conditionalFormatting>
  <dataValidations count="6">
    <dataValidation type="list" allowBlank="1" showInputMessage="1" showErrorMessage="1" sqref="G9" xr:uid="{00000000-0002-0000-0500-000000000000}">
      <formula1>$AB$11:$AB$12</formula1>
    </dataValidation>
    <dataValidation type="list" allowBlank="1" showInputMessage="1" showErrorMessage="1" sqref="E15:E44" xr:uid="{00000000-0002-0000-0500-000001000000}">
      <formula1>$AB$9:$AB$10</formula1>
    </dataValidation>
    <dataValidation errorStyle="information" allowBlank="1" showInputMessage="1" showErrorMessage="1" error="Account does not have Stock position" sqref="F15:F44" xr:uid="{00000000-0002-0000-0500-000002000000}"/>
    <dataValidation type="list" allowBlank="1" showInputMessage="1" showErrorMessage="1" sqref="AC12" xr:uid="{00000000-0002-0000-0500-000003000000}">
      <formula1>OFFSET(#REF!,0,0,COUNTA($AB$15:$AB$100)-1)</formula1>
    </dataValidation>
    <dataValidation type="list" allowBlank="1" showInputMessage="1" showErrorMessage="1" sqref="X4" xr:uid="{00000000-0002-0000-0500-000004000000}">
      <formula1>$N$13:$Q$13</formula1>
    </dataValidation>
    <dataValidation allowBlank="1" showInputMessage="1" showErrorMessage="1" prompt="Manual Price Entry, Leave Blank to activate auto R stop/target" sqref="N15:O17" xr:uid="{00000000-0002-0000-0500-000005000000}"/>
  </dataValidations>
  <pageMargins left="0.7" right="0.7" top="0.75" bottom="0.75" header="0.3" footer="0.3"/>
  <pageSetup orientation="portrait"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Dashboard</vt:lpstr>
      <vt:lpstr>Trade Log</vt:lpstr>
      <vt:lpstr>Bank Transfers</vt:lpstr>
      <vt:lpstr>Trade Review</vt:lpstr>
      <vt:lpstr>Monthly Report</vt:lpstr>
      <vt:lpstr>Calendar</vt:lpstr>
      <vt:lpstr>Portfolio</vt:lpstr>
      <vt:lpstr>Stock Position</vt:lpstr>
      <vt:lpstr>Dividends</vt:lpstr>
      <vt:lpstr>Settings</vt:lpstr>
      <vt:lpstr>actionLog</vt:lpstr>
      <vt:lpstr>dateCode</vt:lpstr>
      <vt:lpstr>dateLog</vt:lpstr>
      <vt:lpstr>emotion</vt:lpstr>
      <vt:lpstr>execution</vt:lpstr>
      <vt:lpstr>Dashboard!Print_Area</vt:lpstr>
      <vt:lpstr>'Trade Review'!Print_Area</vt:lpstr>
      <vt:lpstr>profitLoss</vt:lpstr>
      <vt:lpstr>profitPercent</vt:lpstr>
      <vt:lpstr>reviewNo</vt:lpstr>
      <vt:lpstr>setupLog</vt:lpstr>
      <vt:lpstr>stats</vt:lpstr>
      <vt:lpstr>symbol</vt:lpstr>
      <vt:lpstr>symbolCode</vt:lpstr>
      <vt:lpstr>volume</vt:lpstr>
    </vt:vector>
  </TitlesOfParts>
  <Manager>AA Excel Spreadsheets</Manager>
  <Company>rocketsheets.com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Trading Journal</dc:title>
  <dc:creator>rocketsheets.com</dc:creator>
  <cp:keywords/>
  <cp:lastModifiedBy>USER</cp:lastModifiedBy>
  <cp:lastPrinted>2023-04-03T14:59:25Z</cp:lastPrinted>
  <dcterms:created xsi:type="dcterms:W3CDTF">2016-10-21T06:11:34Z</dcterms:created>
  <dcterms:modified xsi:type="dcterms:W3CDTF">2023-07-21T11:10:35Z</dcterms:modified>
  <cp:category>Trading Journal</cp:category>
  <cp:version>9.0</cp:version>
</cp:coreProperties>
</file>